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hornsbycouncil-my.sharepoint.com/personal/lriese_hornsby_nsw_gov_au/Documents/Desktop/"/>
    </mc:Choice>
  </mc:AlternateContent>
  <xr:revisionPtr revIDLastSave="0" documentId="8_{AE61A942-D14C-4B9D-91A9-8021E1966C7D}" xr6:coauthVersionLast="47" xr6:coauthVersionMax="47" xr10:uidLastSave="{00000000-0000-0000-0000-000000000000}"/>
  <workbookProtection workbookAlgorithmName="SHA-512" workbookHashValue="nk8p/LRu4pjoINS42GUEP+54ipKICguCWBoxLVRGGO6JaywEpfsn6wtbv9oqC+0T0ZcmGtbjQ1KyKqCif0boKQ==" workbookSaltValue="o91gGZfSJjwBPxeKm7i2mw==" workbookSpinCount="100000" lockStructure="1"/>
  <bookViews>
    <workbookView xWindow="-108" yWindow="-108" windowWidth="41496" windowHeight="16896" tabRatio="902" firstSheet="4" activeTab="4" xr2:uid="{00000000-000D-0000-FFFF-FFFF00000000}"/>
  </bookViews>
  <sheets>
    <sheet name="Examples" sheetId="25" state="hidden" r:id="rId1"/>
    <sheet name="Other QA scope" sheetId="35" state="hidden" r:id="rId2"/>
    <sheet name="Export" sheetId="33" state="hidden" r:id="rId3"/>
    <sheet name="WK0 - Input data" sheetId="22" state="hidden" r:id="rId4"/>
    <sheet name="Instructions" sheetId="16" r:id="rId5"/>
    <sheet name="WK1 - Identification" sheetId="13" r:id="rId6"/>
    <sheet name="WK2 - Notional General Income" sheetId="3" r:id="rId7"/>
    <sheet name="WK3 - Notional GI Yr1 YIELD" sheetId="4" r:id="rId8"/>
    <sheet name="WK4 - PGI summary" sheetId="14" r:id="rId9"/>
    <sheet name="WK5a - Impact on Rates" sheetId="15" r:id="rId10"/>
    <sheet name="WK6 - Expenditure Program" sheetId="18" r:id="rId11"/>
    <sheet name="WK7 - Financials" sheetId="31" r:id="rId12"/>
    <sheet name="WK8 - LTFP" sheetId="21" r:id="rId13"/>
    <sheet name="WK9 - Ratios" sheetId="32" r:id="rId14"/>
  </sheets>
  <definedNames>
    <definedName name="No">'Other QA scope'!$J$101:$J$102</definedName>
    <definedName name="OldNameOfPage_WK0" hidden="1">"WK0 - Input data"</definedName>
    <definedName name="OldNameOfPage_WK1" hidden="1">"WK1 - Identification"</definedName>
    <definedName name="OldNameOfPage_WK2" hidden="1">"WK2 - Notional General Income"</definedName>
    <definedName name="OldNameOfPage_WK3" hidden="1">"WK3 - Notional GI Yr1 YIELD"</definedName>
    <definedName name="OldNameOfPage_WK4" hidden="1">"WK4 - PGI summary"</definedName>
    <definedName name="OldNameOfPage_WK5a" hidden="1">"WK5a - Impact on Rates"</definedName>
    <definedName name="OldNameOfPage_WK5b" hidden="1">"WK5b - Impact on Rates"</definedName>
    <definedName name="OldNameOfPage_WK6" hidden="1">"WK6 - Expenditure Program"</definedName>
    <definedName name="OldNameOfPage_WK7" hidden="1">"WK7 - Long Term Financial Plan"</definedName>
    <definedName name="_xlnm.Print_Area" localSheetId="4">Instructions!$B$2:$N$229</definedName>
    <definedName name="_xlnm.Print_Area" localSheetId="1">'Other QA scope'!$B$1:$G$130</definedName>
    <definedName name="_xlnm.Print_Area" localSheetId="5">'WK1 - Identification'!$C$2:$N$77</definedName>
    <definedName name="_xlnm.Print_Area" localSheetId="6">'WK2 - Notional General Income'!$B$2:$N$164</definedName>
    <definedName name="_xlnm.Print_Area" localSheetId="7">'WK3 - Notional GI Yr1 YIELD'!$B$1:$N$169</definedName>
    <definedName name="_xlnm.Print_Area" localSheetId="8">'WK4 - PGI summary'!$B$2:$P$109</definedName>
    <definedName name="_xlnm.Print_Area" localSheetId="9">'WK5a - Impact on Rates'!$B$2:$AW$455</definedName>
    <definedName name="_xlnm.Print_Area" localSheetId="10">'WK6 - Expenditure Program'!$B$2:$Q$155</definedName>
    <definedName name="_xlnm.Print_Area" localSheetId="11">'WK7 - Financials'!$A$1:$U$127</definedName>
    <definedName name="_xlnm.Print_Area" localSheetId="12">'WK8 - LTFP'!$A$1:$U$245</definedName>
    <definedName name="_xlnm.Print_Area" localSheetId="13">'WK9 - Ratios'!$B$1:$V$83</definedName>
    <definedName name="VbaUpdate" comment="ExportSheet Aligned To Master@22Mar_16:15">"Latest update for Export sheet: 22Mar1881_161507"</definedName>
    <definedName name="xFormulasToWatchOut">#REF!,#REF!,#REF!,#REF!,#REF!,#REF!,#REF!,#REF!,#REF!,#REF!,#REF!</definedName>
    <definedName name="Year0">'WK0 - Input data'!$D$45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0" i="15" l="1"/>
  <c r="I310" i="15" s="1"/>
  <c r="J310" i="15" s="1"/>
  <c r="K310" i="15" s="1"/>
  <c r="L310" i="15" s="1"/>
  <c r="G310" i="15"/>
  <c r="H300" i="15"/>
  <c r="I300" i="15" s="1"/>
  <c r="J300" i="15" s="1"/>
  <c r="K300" i="15" s="1"/>
  <c r="L300" i="15" s="1"/>
  <c r="G300" i="15"/>
  <c r="G281" i="15"/>
  <c r="H281" i="15" s="1"/>
  <c r="I281" i="15" s="1"/>
  <c r="J281" i="15" s="1"/>
  <c r="K281" i="15" s="1"/>
  <c r="L281" i="15" s="1"/>
  <c r="G280" i="15"/>
  <c r="H280" i="15" s="1"/>
  <c r="I280" i="15" s="1"/>
  <c r="J280" i="15" s="1"/>
  <c r="K280" i="15" s="1"/>
  <c r="L280" i="15" s="1"/>
  <c r="G279" i="15"/>
  <c r="H279" i="15" s="1"/>
  <c r="I279" i="15" s="1"/>
  <c r="J279" i="15" s="1"/>
  <c r="K279" i="15" s="1"/>
  <c r="L279" i="15" s="1"/>
  <c r="G256" i="15"/>
  <c r="H256" i="15" s="1"/>
  <c r="I256" i="15" s="1"/>
  <c r="J256" i="15" s="1"/>
  <c r="K256" i="15" s="1"/>
  <c r="L256" i="15" s="1"/>
  <c r="G255" i="15"/>
  <c r="H255" i="15" s="1"/>
  <c r="I255" i="15" s="1"/>
  <c r="J255" i="15" s="1"/>
  <c r="K255" i="15" s="1"/>
  <c r="L255" i="15" s="1"/>
  <c r="G254" i="15"/>
  <c r="H254" i="15" s="1"/>
  <c r="I254" i="15" s="1"/>
  <c r="J254" i="15" s="1"/>
  <c r="K254" i="15" s="1"/>
  <c r="L254" i="15" s="1"/>
  <c r="G243" i="15"/>
  <c r="H243" i="15" s="1"/>
  <c r="I243" i="15" s="1"/>
  <c r="J243" i="15" s="1"/>
  <c r="K243" i="15" s="1"/>
  <c r="L243" i="15" s="1"/>
  <c r="H223" i="15"/>
  <c r="G223" i="15"/>
  <c r="I223" i="15" l="1"/>
  <c r="J223" i="15" s="1"/>
  <c r="K223" i="15" s="1"/>
  <c r="L223" i="15" s="1"/>
  <c r="F310" i="15"/>
  <c r="F300" i="15"/>
  <c r="F281" i="15"/>
  <c r="F280" i="15"/>
  <c r="F279" i="15"/>
  <c r="F256" i="15"/>
  <c r="F255" i="15"/>
  <c r="F254" i="15"/>
  <c r="F243" i="15"/>
  <c r="F223" i="15"/>
  <c r="I23" i="31" l="1"/>
  <c r="J25" i="31"/>
  <c r="J23" i="31" l="1"/>
  <c r="K23" i="31"/>
  <c r="I36" i="31"/>
  <c r="K19" i="31"/>
  <c r="K36" i="31"/>
  <c r="J34" i="31"/>
  <c r="J36" i="31"/>
  <c r="H19" i="31"/>
  <c r="H36" i="31"/>
  <c r="L351" i="15" l="1"/>
  <c r="K351" i="15"/>
  <c r="J351" i="15"/>
  <c r="I351" i="15"/>
  <c r="H351" i="15"/>
  <c r="G351" i="15"/>
  <c r="F351" i="15"/>
  <c r="B1533" i="33" l="1"/>
  <c r="I1533" i="33"/>
  <c r="J1533" i="33"/>
  <c r="K1533" i="33"/>
  <c r="L1533" i="33"/>
  <c r="M1533" i="33"/>
  <c r="N1533" i="33"/>
  <c r="O1533" i="33"/>
  <c r="P1533" i="33"/>
  <c r="Q1533" i="33"/>
  <c r="R1533" i="33"/>
  <c r="S1533" i="33"/>
  <c r="F148" i="31"/>
  <c r="E1533" i="33" s="1"/>
  <c r="G148" i="31"/>
  <c r="F1533" i="33" s="1"/>
  <c r="H148" i="31"/>
  <c r="G1533" i="33" s="1"/>
  <c r="I148" i="31"/>
  <c r="H1533" i="33" s="1"/>
  <c r="E148" i="31"/>
  <c r="D1533" i="33" s="1"/>
  <c r="E138" i="31" l="1"/>
  <c r="F138" i="31"/>
  <c r="G138" i="31"/>
  <c r="H138" i="31"/>
  <c r="I138" i="31"/>
  <c r="I137" i="31"/>
  <c r="F137" i="31"/>
  <c r="G137" i="31"/>
  <c r="H137" i="31"/>
  <c r="E137" i="31"/>
  <c r="G26" i="18" l="1"/>
  <c r="H21" i="15"/>
  <c r="E45" i="14" l="1"/>
  <c r="I144" i="31" l="1"/>
  <c r="D1530" i="33" s="1"/>
  <c r="J121" i="31"/>
  <c r="I1507" i="33" s="1"/>
  <c r="J132" i="31"/>
  <c r="I1519" i="33" s="1"/>
  <c r="E1481" i="33"/>
  <c r="E1441" i="33"/>
  <c r="I1530" i="33" l="1"/>
  <c r="D1507" i="33"/>
  <c r="D1519" i="33"/>
  <c r="B697" i="33" l="1"/>
  <c r="B696" i="33"/>
  <c r="B1412" i="33"/>
  <c r="B1411" i="33"/>
  <c r="B1437" i="33"/>
  <c r="B1436" i="33"/>
  <c r="B1477" i="33"/>
  <c r="B1476" i="33"/>
  <c r="G12" i="32"/>
  <c r="C1504" i="33" l="1"/>
  <c r="D1505" i="33"/>
  <c r="E1505" i="33"/>
  <c r="F1505" i="33"/>
  <c r="G1505" i="33"/>
  <c r="H1505" i="33"/>
  <c r="I1505" i="33"/>
  <c r="J1505" i="33"/>
  <c r="K1505" i="33"/>
  <c r="L1505" i="33"/>
  <c r="M1505" i="33"/>
  <c r="D1509" i="33"/>
  <c r="E1509" i="33"/>
  <c r="F1509" i="33"/>
  <c r="G1509" i="33"/>
  <c r="H1509" i="33"/>
  <c r="I1509" i="33"/>
  <c r="J1509" i="33"/>
  <c r="K1509" i="33"/>
  <c r="L1509" i="33"/>
  <c r="M1509" i="33"/>
  <c r="N1509" i="33"/>
  <c r="O1509" i="33"/>
  <c r="P1509" i="33"/>
  <c r="Q1509" i="33"/>
  <c r="R1509" i="33"/>
  <c r="S1509" i="33"/>
  <c r="D1510" i="33"/>
  <c r="E1510" i="33"/>
  <c r="F1510" i="33"/>
  <c r="G1510" i="33"/>
  <c r="H1510" i="33"/>
  <c r="I1510" i="33"/>
  <c r="J1510" i="33"/>
  <c r="K1510" i="33"/>
  <c r="L1510" i="33"/>
  <c r="M1510" i="33"/>
  <c r="N1510" i="33"/>
  <c r="O1510" i="33"/>
  <c r="P1510" i="33"/>
  <c r="Q1510" i="33"/>
  <c r="R1510" i="33"/>
  <c r="S1510" i="33"/>
  <c r="C1516" i="33"/>
  <c r="D1517" i="33"/>
  <c r="E1517" i="33"/>
  <c r="F1517" i="33"/>
  <c r="G1517" i="33"/>
  <c r="H1517" i="33"/>
  <c r="I1517" i="33"/>
  <c r="J1517" i="33"/>
  <c r="K1517" i="33"/>
  <c r="L1517" i="33"/>
  <c r="M1517" i="33"/>
  <c r="D1521" i="33"/>
  <c r="E1521" i="33"/>
  <c r="F1521" i="33"/>
  <c r="G1521" i="33"/>
  <c r="H1521" i="33"/>
  <c r="I1521" i="33"/>
  <c r="J1521" i="33"/>
  <c r="K1521" i="33"/>
  <c r="L1521" i="33"/>
  <c r="M1521" i="33"/>
  <c r="N1521" i="33"/>
  <c r="O1521" i="33"/>
  <c r="P1521" i="33"/>
  <c r="Q1521" i="33"/>
  <c r="R1521" i="33"/>
  <c r="S1521" i="33"/>
  <c r="D1522" i="33"/>
  <c r="E1522" i="33"/>
  <c r="F1522" i="33"/>
  <c r="G1522" i="33"/>
  <c r="H1522" i="33"/>
  <c r="I1522" i="33"/>
  <c r="J1522" i="33"/>
  <c r="K1522" i="33"/>
  <c r="L1522" i="33"/>
  <c r="M1522" i="33"/>
  <c r="N1522" i="33"/>
  <c r="O1522" i="33"/>
  <c r="P1522" i="33"/>
  <c r="Q1522" i="33"/>
  <c r="R1522" i="33"/>
  <c r="S1522" i="33"/>
  <c r="C1528" i="33"/>
  <c r="D1529" i="33"/>
  <c r="E1529" i="33"/>
  <c r="F1529" i="33"/>
  <c r="G1529" i="33"/>
  <c r="H1529" i="33"/>
  <c r="I1529" i="33"/>
  <c r="J1529" i="33"/>
  <c r="K1529" i="33"/>
  <c r="L1529" i="33"/>
  <c r="M1529" i="33"/>
  <c r="D1532" i="33"/>
  <c r="E1532" i="33"/>
  <c r="F1532" i="33"/>
  <c r="G1532" i="33"/>
  <c r="H1532" i="33"/>
  <c r="I1532" i="33"/>
  <c r="J1532" i="33"/>
  <c r="K1532" i="33"/>
  <c r="L1532" i="33"/>
  <c r="M1532" i="33"/>
  <c r="N1532" i="33"/>
  <c r="O1532" i="33"/>
  <c r="P1532" i="33"/>
  <c r="Q1532" i="33"/>
  <c r="R1532" i="33"/>
  <c r="S1532" i="33"/>
  <c r="B1504" i="33"/>
  <c r="B1508" i="33"/>
  <c r="B1509" i="33"/>
  <c r="B1510" i="33"/>
  <c r="B1511" i="33"/>
  <c r="B1515" i="33"/>
  <c r="B1516" i="33"/>
  <c r="B1520" i="33"/>
  <c r="B1521" i="33"/>
  <c r="B1522" i="33"/>
  <c r="B1523" i="33"/>
  <c r="B1527" i="33"/>
  <c r="B1528" i="33"/>
  <c r="B1532" i="33"/>
  <c r="B1503" i="33"/>
  <c r="B1502" i="33"/>
  <c r="B1501" i="33"/>
  <c r="F1493" i="33"/>
  <c r="F1494" i="33"/>
  <c r="F1495" i="33"/>
  <c r="F1496" i="33"/>
  <c r="E1494" i="33"/>
  <c r="E1495" i="33"/>
  <c r="E1496" i="33"/>
  <c r="E1493" i="33"/>
  <c r="F1488" i="33"/>
  <c r="F1489" i="33"/>
  <c r="F1490" i="33"/>
  <c r="F1491" i="33"/>
  <c r="E1489" i="33"/>
  <c r="E1490" i="33"/>
  <c r="E1491" i="33"/>
  <c r="E1488" i="33"/>
  <c r="F1483" i="33"/>
  <c r="F1484" i="33"/>
  <c r="F1485" i="33"/>
  <c r="F1486" i="33"/>
  <c r="E1484" i="33"/>
  <c r="E1485" i="33"/>
  <c r="E1486" i="33"/>
  <c r="E1483" i="33"/>
  <c r="D1494" i="33"/>
  <c r="D1495" i="33"/>
  <c r="D1496" i="33"/>
  <c r="D1493" i="33"/>
  <c r="B1493" i="33"/>
  <c r="B1494" i="33"/>
  <c r="B1495" i="33"/>
  <c r="B1496" i="33"/>
  <c r="B1492" i="33"/>
  <c r="D1489" i="33"/>
  <c r="D1490" i="33"/>
  <c r="D1491" i="33"/>
  <c r="D1488" i="33"/>
  <c r="B1488" i="33"/>
  <c r="B1489" i="33"/>
  <c r="B1490" i="33"/>
  <c r="B1491" i="33"/>
  <c r="B1487" i="33"/>
  <c r="D1484" i="33"/>
  <c r="D1485" i="33"/>
  <c r="D1486" i="33"/>
  <c r="D1483" i="33"/>
  <c r="B1483" i="33"/>
  <c r="B1484" i="33"/>
  <c r="B1485" i="33"/>
  <c r="B1486" i="33"/>
  <c r="B1482" i="33"/>
  <c r="E1478" i="33"/>
  <c r="E1479" i="33"/>
  <c r="F1479" i="33"/>
  <c r="E1416" i="33"/>
  <c r="B1469" i="33"/>
  <c r="B1465" i="33"/>
  <c r="B1460" i="33"/>
  <c r="B1458" i="33"/>
  <c r="B1453" i="33"/>
  <c r="B1449" i="33"/>
  <c r="B1444" i="33"/>
  <c r="B1442" i="33"/>
  <c r="E1439" i="33"/>
  <c r="F1439" i="33"/>
  <c r="E1438" i="33"/>
  <c r="F698" i="33"/>
  <c r="F1413" i="33"/>
  <c r="G33" i="32"/>
  <c r="G34" i="32" s="1"/>
  <c r="E1455" i="33" s="1"/>
  <c r="H33" i="32"/>
  <c r="H34" i="32" s="1"/>
  <c r="F1455" i="33" s="1"/>
  <c r="G40" i="32"/>
  <c r="G41" i="32" s="1"/>
  <c r="E1462" i="33" s="1"/>
  <c r="H40" i="32"/>
  <c r="H41" i="32" s="1"/>
  <c r="F1462" i="33" s="1"/>
  <c r="G46" i="32"/>
  <c r="G47" i="32" s="1"/>
  <c r="E1467" i="33" s="1"/>
  <c r="H46" i="32"/>
  <c r="H47" i="32" s="1"/>
  <c r="F1467" i="33" s="1"/>
  <c r="F128" i="31"/>
  <c r="G128" i="31"/>
  <c r="H128" i="31"/>
  <c r="I128" i="31"/>
  <c r="J128" i="31"/>
  <c r="I1511" i="33" s="1"/>
  <c r="K128" i="31"/>
  <c r="J1511" i="33" s="1"/>
  <c r="L128" i="31"/>
  <c r="K1511" i="33" s="1"/>
  <c r="M128" i="31"/>
  <c r="L1511" i="33" s="1"/>
  <c r="N128" i="31"/>
  <c r="M1511" i="33" s="1"/>
  <c r="O128" i="31"/>
  <c r="N1511" i="33" s="1"/>
  <c r="P128" i="31"/>
  <c r="O1511" i="33" s="1"/>
  <c r="Q128" i="31"/>
  <c r="P1511" i="33" s="1"/>
  <c r="R128" i="31"/>
  <c r="Q1511" i="33" s="1"/>
  <c r="S128" i="31"/>
  <c r="R1511" i="33" s="1"/>
  <c r="T128" i="31"/>
  <c r="S1511" i="33" s="1"/>
  <c r="E128" i="31"/>
  <c r="J139" i="31"/>
  <c r="I1523" i="33" s="1"/>
  <c r="K139" i="31"/>
  <c r="J1523" i="33" s="1"/>
  <c r="L139" i="31"/>
  <c r="K1523" i="33" s="1"/>
  <c r="M139" i="31"/>
  <c r="L1523" i="33" s="1"/>
  <c r="N139" i="31"/>
  <c r="M1523" i="33" s="1"/>
  <c r="O139" i="31"/>
  <c r="N1523" i="33" s="1"/>
  <c r="P139" i="31"/>
  <c r="O1523" i="33" s="1"/>
  <c r="Q139" i="31"/>
  <c r="P1523" i="33" s="1"/>
  <c r="R139" i="31"/>
  <c r="Q1523" i="33" s="1"/>
  <c r="S139" i="31"/>
  <c r="R1523" i="33" s="1"/>
  <c r="T139" i="31"/>
  <c r="S1523" i="33" s="1"/>
  <c r="O145" i="31"/>
  <c r="P145" i="31" s="1"/>
  <c r="Q145" i="31" s="1"/>
  <c r="R145" i="31" s="1"/>
  <c r="S145" i="31" s="1"/>
  <c r="T145" i="31" s="1"/>
  <c r="S1529" i="33" s="1"/>
  <c r="O134" i="31"/>
  <c r="P134" i="31" s="1"/>
  <c r="Q134" i="31" s="1"/>
  <c r="R134" i="31" s="1"/>
  <c r="S134" i="31" s="1"/>
  <c r="T134" i="31" s="1"/>
  <c r="S1517" i="33" s="1"/>
  <c r="O123" i="31"/>
  <c r="P123" i="31" s="1"/>
  <c r="Q123" i="31" s="1"/>
  <c r="R123" i="31" s="1"/>
  <c r="S123" i="31" s="1"/>
  <c r="T123" i="31" s="1"/>
  <c r="S1505" i="33" s="1"/>
  <c r="G27" i="31"/>
  <c r="G28" i="31" s="1"/>
  <c r="G52" i="32" s="1"/>
  <c r="H27" i="31"/>
  <c r="H28" i="31" s="1"/>
  <c r="H52" i="32" s="1"/>
  <c r="G42" i="31"/>
  <c r="G43" i="31" s="1"/>
  <c r="G44" i="31" s="1"/>
  <c r="H42" i="31"/>
  <c r="H43" i="31" s="1"/>
  <c r="H44" i="31" s="1"/>
  <c r="H1511" i="33" l="1"/>
  <c r="I139" i="31"/>
  <c r="H1523" i="33" s="1"/>
  <c r="F1511" i="33"/>
  <c r="G139" i="31"/>
  <c r="F1523" i="33" s="1"/>
  <c r="G1511" i="33"/>
  <c r="H139" i="31"/>
  <c r="G1523" i="33" s="1"/>
  <c r="D1511" i="33"/>
  <c r="E139" i="31"/>
  <c r="D1523" i="33" s="1"/>
  <c r="E1511" i="33"/>
  <c r="F139" i="31"/>
  <c r="E1523" i="33" s="1"/>
  <c r="Q1517" i="33"/>
  <c r="P1529" i="33"/>
  <c r="R1505" i="33"/>
  <c r="E1454" i="33"/>
  <c r="H53" i="32"/>
  <c r="F1471" i="33" s="1"/>
  <c r="F1470" i="33"/>
  <c r="G53" i="32"/>
  <c r="E1471" i="33" s="1"/>
  <c r="E1470" i="33"/>
  <c r="F1454" i="33"/>
  <c r="O1529" i="33"/>
  <c r="P1517" i="33"/>
  <c r="Q1505" i="33"/>
  <c r="E1461" i="33"/>
  <c r="F1466" i="33"/>
  <c r="N1529" i="33"/>
  <c r="O1517" i="33"/>
  <c r="P1505" i="33"/>
  <c r="N1517" i="33"/>
  <c r="O1505" i="33"/>
  <c r="E1466" i="33"/>
  <c r="F1461" i="33"/>
  <c r="N1505" i="33"/>
  <c r="R1529" i="33"/>
  <c r="Q1529" i="33"/>
  <c r="R1517" i="33"/>
  <c r="H46" i="31"/>
  <c r="H29" i="31"/>
  <c r="H28" i="32" s="1"/>
  <c r="G29" i="31"/>
  <c r="G28" i="32" s="1"/>
  <c r="G46" i="31"/>
  <c r="G45" i="31"/>
  <c r="H45" i="31"/>
  <c r="G29" i="32" l="1"/>
  <c r="E1451" i="33" s="1"/>
  <c r="E1450" i="33"/>
  <c r="H29" i="32"/>
  <c r="F1451" i="33" s="1"/>
  <c r="F1450" i="33"/>
  <c r="G47" i="31"/>
  <c r="G49" i="31" s="1"/>
  <c r="G22" i="32" s="1"/>
  <c r="H47" i="31"/>
  <c r="H49" i="31" s="1"/>
  <c r="H22" i="32" s="1"/>
  <c r="F1445" i="33" l="1"/>
  <c r="H24" i="32"/>
  <c r="F1447" i="33" s="1"/>
  <c r="H23" i="32"/>
  <c r="F1446" i="33" s="1"/>
  <c r="E1445" i="33"/>
  <c r="G23" i="32"/>
  <c r="E1446" i="33" s="1"/>
  <c r="G24" i="32"/>
  <c r="E1447" i="33" s="1"/>
  <c r="D54" i="22"/>
  <c r="D55" i="22" s="1"/>
  <c r="C63" i="22"/>
  <c r="D272" i="22"/>
  <c r="D273" i="22"/>
  <c r="D274" i="22"/>
  <c r="D275" i="22"/>
  <c r="D276" i="22"/>
  <c r="D277" i="22"/>
  <c r="D278" i="22"/>
  <c r="D279" i="22"/>
  <c r="D280" i="22"/>
  <c r="D281" i="22"/>
  <c r="D282" i="22"/>
  <c r="D283" i="22"/>
  <c r="D284" i="22"/>
  <c r="D285" i="22"/>
  <c r="D286" i="22"/>
  <c r="D287" i="22"/>
  <c r="D288" i="22"/>
  <c r="D289" i="22"/>
  <c r="D290" i="22"/>
  <c r="D291" i="22"/>
  <c r="D292" i="22"/>
  <c r="D293" i="22"/>
  <c r="D294" i="22"/>
  <c r="D295" i="22"/>
  <c r="D296" i="22"/>
  <c r="D297" i="22"/>
  <c r="D298" i="22"/>
  <c r="D299" i="22"/>
  <c r="D300" i="22"/>
  <c r="D301" i="22"/>
  <c r="D302" i="22"/>
  <c r="D303" i="22"/>
  <c r="D304" i="22"/>
  <c r="D305" i="22"/>
  <c r="D306" i="22"/>
  <c r="D307" i="22"/>
  <c r="D308" i="22"/>
  <c r="D309" i="22"/>
  <c r="D310" i="22"/>
  <c r="D311" i="22"/>
  <c r="D312" i="22"/>
  <c r="D313" i="22"/>
  <c r="D314" i="22"/>
  <c r="D315" i="22"/>
  <c r="D316" i="22"/>
  <c r="D317" i="22"/>
  <c r="D318" i="22"/>
  <c r="D319" i="22"/>
  <c r="D320" i="22"/>
  <c r="D321" i="22"/>
  <c r="D322" i="22"/>
  <c r="D323" i="22"/>
  <c r="D324" i="22"/>
  <c r="D325" i="22"/>
  <c r="D326" i="22"/>
  <c r="D327" i="22"/>
  <c r="D328" i="22"/>
  <c r="D329" i="22"/>
  <c r="D330" i="22"/>
  <c r="D331" i="22"/>
  <c r="D332" i="22"/>
  <c r="D333" i="22"/>
  <c r="D334" i="22"/>
  <c r="D335" i="22"/>
  <c r="D336" i="22"/>
  <c r="D337" i="22"/>
  <c r="D338" i="22"/>
  <c r="D339" i="22"/>
  <c r="D340" i="22"/>
  <c r="D341" i="22"/>
  <c r="D342" i="22"/>
  <c r="D343" i="22"/>
  <c r="D344" i="22"/>
  <c r="D345" i="22"/>
  <c r="D346" i="22"/>
  <c r="D347" i="22"/>
  <c r="D348" i="22"/>
  <c r="D349" i="22"/>
  <c r="D350" i="22"/>
  <c r="D351" i="22"/>
  <c r="D352" i="22"/>
  <c r="D353" i="22"/>
  <c r="D354" i="22"/>
  <c r="D355" i="22"/>
  <c r="D356" i="22"/>
  <c r="D357" i="22"/>
  <c r="D358" i="22"/>
  <c r="D359" i="22"/>
  <c r="D360" i="22"/>
  <c r="D361" i="22"/>
  <c r="D362" i="22"/>
  <c r="D363" i="22"/>
  <c r="D364" i="22"/>
  <c r="D365" i="22"/>
  <c r="D366" i="22"/>
  <c r="D367" i="22"/>
  <c r="D368" i="22"/>
  <c r="D369" i="22"/>
  <c r="D370" i="22"/>
  <c r="D371" i="22"/>
  <c r="D372" i="22"/>
  <c r="D373" i="22"/>
  <c r="D374" i="22"/>
  <c r="D375" i="22"/>
  <c r="D376" i="22"/>
  <c r="D377" i="22"/>
  <c r="D378" i="22"/>
  <c r="D379" i="22"/>
  <c r="D380" i="22"/>
  <c r="D381" i="22"/>
  <c r="D382" i="22"/>
  <c r="D383" i="22"/>
  <c r="D384" i="22"/>
  <c r="D385" i="22"/>
  <c r="D386" i="22"/>
  <c r="D387" i="22"/>
  <c r="D388" i="22"/>
  <c r="D389" i="22"/>
  <c r="D390" i="22"/>
  <c r="D391" i="22"/>
  <c r="D392" i="22"/>
  <c r="D393" i="22"/>
  <c r="D394" i="22"/>
  <c r="D395" i="22"/>
  <c r="D396" i="22"/>
  <c r="D397" i="22"/>
  <c r="D398" i="22"/>
  <c r="D271" i="22"/>
  <c r="C54" i="22" l="1"/>
  <c r="C55" i="22" s="1"/>
  <c r="K32" i="13"/>
  <c r="E384" i="22"/>
  <c r="E372" i="22"/>
  <c r="B393" i="22"/>
  <c r="E393" i="22" s="1"/>
  <c r="B394" i="22"/>
  <c r="E394" i="22" s="1"/>
  <c r="B395" i="22"/>
  <c r="E395" i="22" s="1"/>
  <c r="B396" i="22"/>
  <c r="E396" i="22" s="1"/>
  <c r="B397" i="22"/>
  <c r="E397" i="22" s="1"/>
  <c r="B398" i="22"/>
  <c r="E398" i="22" s="1"/>
  <c r="B377" i="22"/>
  <c r="E377" i="22" s="1"/>
  <c r="B378" i="22"/>
  <c r="E378" i="22" s="1"/>
  <c r="B379" i="22"/>
  <c r="E379" i="22" s="1"/>
  <c r="B380" i="22"/>
  <c r="E380" i="22" s="1"/>
  <c r="B381" i="22"/>
  <c r="E381" i="22" s="1"/>
  <c r="B382" i="22"/>
  <c r="E382" i="22" s="1"/>
  <c r="B383" i="22"/>
  <c r="E383" i="22" s="1"/>
  <c r="B384" i="22"/>
  <c r="B385" i="22"/>
  <c r="E385" i="22" s="1"/>
  <c r="B386" i="22"/>
  <c r="E386" i="22" s="1"/>
  <c r="B387" i="22"/>
  <c r="E387" i="22" s="1"/>
  <c r="B388" i="22"/>
  <c r="E388" i="22" s="1"/>
  <c r="B389" i="22"/>
  <c r="E389" i="22" s="1"/>
  <c r="B390" i="22"/>
  <c r="E390" i="22" s="1"/>
  <c r="B391" i="22"/>
  <c r="E391" i="22" s="1"/>
  <c r="B392" i="22"/>
  <c r="E392" i="22" s="1"/>
  <c r="B357" i="22"/>
  <c r="E357" i="22" s="1"/>
  <c r="B358" i="22"/>
  <c r="E358" i="22" s="1"/>
  <c r="B359" i="22"/>
  <c r="E359" i="22" s="1"/>
  <c r="B360" i="22"/>
  <c r="E360" i="22" s="1"/>
  <c r="B361" i="22"/>
  <c r="E361" i="22" s="1"/>
  <c r="B362" i="22"/>
  <c r="E362" i="22" s="1"/>
  <c r="B363" i="22"/>
  <c r="E363" i="22" s="1"/>
  <c r="B364" i="22"/>
  <c r="E364" i="22" s="1"/>
  <c r="B365" i="22"/>
  <c r="E365" i="22" s="1"/>
  <c r="B366" i="22"/>
  <c r="E366" i="22" s="1"/>
  <c r="B367" i="22"/>
  <c r="E367" i="22" s="1"/>
  <c r="B368" i="22"/>
  <c r="E368" i="22" s="1"/>
  <c r="B369" i="22"/>
  <c r="E369" i="22" s="1"/>
  <c r="B370" i="22"/>
  <c r="E370" i="22" s="1"/>
  <c r="B371" i="22"/>
  <c r="E371" i="22" s="1"/>
  <c r="B372" i="22"/>
  <c r="B373" i="22"/>
  <c r="E373" i="22" s="1"/>
  <c r="B374" i="22"/>
  <c r="E374" i="22" s="1"/>
  <c r="B375" i="22"/>
  <c r="E375" i="22" s="1"/>
  <c r="B376" i="22"/>
  <c r="E376" i="22" s="1"/>
  <c r="B344" i="22"/>
  <c r="E344" i="22" s="1"/>
  <c r="B345" i="22"/>
  <c r="E345" i="22" s="1"/>
  <c r="B346" i="22"/>
  <c r="E346" i="22" s="1"/>
  <c r="B347" i="22"/>
  <c r="E347" i="22" s="1"/>
  <c r="B348" i="22"/>
  <c r="E348" i="22" s="1"/>
  <c r="B349" i="22"/>
  <c r="E349" i="22" s="1"/>
  <c r="B350" i="22"/>
  <c r="E350" i="22" s="1"/>
  <c r="B351" i="22"/>
  <c r="E351" i="22" s="1"/>
  <c r="B352" i="22"/>
  <c r="E352" i="22" s="1"/>
  <c r="B353" i="22"/>
  <c r="E353" i="22" s="1"/>
  <c r="B354" i="22"/>
  <c r="E354" i="22" s="1"/>
  <c r="B355" i="22"/>
  <c r="E355" i="22" s="1"/>
  <c r="B356" i="22"/>
  <c r="E356" i="22" s="1"/>
  <c r="B328" i="22"/>
  <c r="E328" i="22" s="1"/>
  <c r="B329" i="22"/>
  <c r="E329" i="22" s="1"/>
  <c r="B330" i="22"/>
  <c r="E330" i="22" s="1"/>
  <c r="B331" i="22"/>
  <c r="E331" i="22" s="1"/>
  <c r="B332" i="22"/>
  <c r="E332" i="22" s="1"/>
  <c r="B333" i="22"/>
  <c r="E333" i="22" s="1"/>
  <c r="B334" i="22"/>
  <c r="E334" i="22" s="1"/>
  <c r="B335" i="22"/>
  <c r="E335" i="22" s="1"/>
  <c r="B336" i="22"/>
  <c r="E336" i="22" s="1"/>
  <c r="B337" i="22"/>
  <c r="E337" i="22" s="1"/>
  <c r="B338" i="22"/>
  <c r="E338" i="22" s="1"/>
  <c r="B339" i="22"/>
  <c r="E339" i="22" s="1"/>
  <c r="B340" i="22"/>
  <c r="E340" i="22" s="1"/>
  <c r="B341" i="22"/>
  <c r="E341" i="22" s="1"/>
  <c r="B342" i="22"/>
  <c r="E342" i="22" s="1"/>
  <c r="B343" i="22"/>
  <c r="E343" i="22" s="1"/>
  <c r="B307" i="22"/>
  <c r="E307" i="22" s="1"/>
  <c r="B308" i="22"/>
  <c r="E308" i="22" s="1"/>
  <c r="B309" i="22"/>
  <c r="E309" i="22" s="1"/>
  <c r="B310" i="22"/>
  <c r="E310" i="22" s="1"/>
  <c r="B311" i="22"/>
  <c r="E311" i="22" s="1"/>
  <c r="B312" i="22"/>
  <c r="E312" i="22" s="1"/>
  <c r="B313" i="22"/>
  <c r="E313" i="22" s="1"/>
  <c r="B314" i="22"/>
  <c r="E314" i="22" s="1"/>
  <c r="B315" i="22"/>
  <c r="E315" i="22" s="1"/>
  <c r="B316" i="22"/>
  <c r="E316" i="22" s="1"/>
  <c r="B317" i="22"/>
  <c r="E317" i="22" s="1"/>
  <c r="B318" i="22"/>
  <c r="E318" i="22" s="1"/>
  <c r="B319" i="22"/>
  <c r="E319" i="22" s="1"/>
  <c r="B320" i="22"/>
  <c r="E320" i="22" s="1"/>
  <c r="B321" i="22"/>
  <c r="E321" i="22" s="1"/>
  <c r="B322" i="22"/>
  <c r="E322" i="22" s="1"/>
  <c r="B323" i="22"/>
  <c r="E323" i="22" s="1"/>
  <c r="B324" i="22"/>
  <c r="E324" i="22" s="1"/>
  <c r="B325" i="22"/>
  <c r="E325" i="22" s="1"/>
  <c r="B326" i="22"/>
  <c r="E326" i="22" s="1"/>
  <c r="B327" i="22"/>
  <c r="E327" i="22" s="1"/>
  <c r="B285" i="22"/>
  <c r="E285" i="22" s="1"/>
  <c r="B286" i="22"/>
  <c r="E286" i="22" s="1"/>
  <c r="B287" i="22"/>
  <c r="E287" i="22" s="1"/>
  <c r="B288" i="22"/>
  <c r="E288" i="22" s="1"/>
  <c r="B289" i="22"/>
  <c r="E289" i="22" s="1"/>
  <c r="B290" i="22"/>
  <c r="E290" i="22" s="1"/>
  <c r="B291" i="22"/>
  <c r="E291" i="22" s="1"/>
  <c r="B292" i="22"/>
  <c r="E292" i="22" s="1"/>
  <c r="B293" i="22"/>
  <c r="E293" i="22" s="1"/>
  <c r="B294" i="22"/>
  <c r="E294" i="22" s="1"/>
  <c r="B295" i="22"/>
  <c r="E295" i="22" s="1"/>
  <c r="B296" i="22"/>
  <c r="E296" i="22" s="1"/>
  <c r="B297" i="22"/>
  <c r="E297" i="22" s="1"/>
  <c r="B298" i="22"/>
  <c r="B299" i="22"/>
  <c r="E299" i="22" s="1"/>
  <c r="B300" i="22"/>
  <c r="E300" i="22" s="1"/>
  <c r="B301" i="22"/>
  <c r="E301" i="22" s="1"/>
  <c r="B302" i="22"/>
  <c r="E302" i="22" s="1"/>
  <c r="B303" i="22"/>
  <c r="E303" i="22" s="1"/>
  <c r="B304" i="22"/>
  <c r="E304" i="22" s="1"/>
  <c r="B305" i="22"/>
  <c r="E305" i="22" s="1"/>
  <c r="B306" i="22"/>
  <c r="E306" i="22" s="1"/>
  <c r="B272" i="22"/>
  <c r="E272" i="22" s="1"/>
  <c r="B273" i="22"/>
  <c r="E273" i="22" s="1"/>
  <c r="B274" i="22"/>
  <c r="E274" i="22" s="1"/>
  <c r="B275" i="22"/>
  <c r="E275" i="22" s="1"/>
  <c r="B276" i="22"/>
  <c r="E276" i="22" s="1"/>
  <c r="B277" i="22"/>
  <c r="E277" i="22" s="1"/>
  <c r="B278" i="22"/>
  <c r="E278" i="22" s="1"/>
  <c r="B279" i="22"/>
  <c r="E279" i="22" s="1"/>
  <c r="B280" i="22"/>
  <c r="E280" i="22" s="1"/>
  <c r="B281" i="22"/>
  <c r="E281" i="22" s="1"/>
  <c r="B282" i="22"/>
  <c r="E282" i="22" s="1"/>
  <c r="B283" i="22"/>
  <c r="E283" i="22" s="1"/>
  <c r="B284" i="22"/>
  <c r="E284" i="22" s="1"/>
  <c r="B271" i="22"/>
  <c r="E271" i="22" s="1"/>
  <c r="E298" i="22" l="1"/>
  <c r="C41" i="13"/>
  <c r="F1428" i="33" l="1"/>
  <c r="G1428" i="33"/>
  <c r="H1428" i="33"/>
  <c r="I1428" i="33"/>
  <c r="J1428" i="33"/>
  <c r="K1428" i="33"/>
  <c r="L1428" i="33"/>
  <c r="M1428" i="33"/>
  <c r="N1428" i="33"/>
  <c r="O1428" i="33"/>
  <c r="P1428" i="33"/>
  <c r="Q1428" i="33"/>
  <c r="R1428" i="33"/>
  <c r="F1429" i="33"/>
  <c r="G1429" i="33"/>
  <c r="H1429" i="33"/>
  <c r="I1429" i="33"/>
  <c r="J1429" i="33"/>
  <c r="K1429" i="33"/>
  <c r="L1429" i="33"/>
  <c r="M1429" i="33"/>
  <c r="N1429" i="33"/>
  <c r="O1429" i="33"/>
  <c r="P1429" i="33"/>
  <c r="Q1429" i="33"/>
  <c r="R1429" i="33"/>
  <c r="F1430" i="33"/>
  <c r="G1430" i="33"/>
  <c r="H1430" i="33"/>
  <c r="I1430" i="33"/>
  <c r="J1430" i="33"/>
  <c r="K1430" i="33"/>
  <c r="L1430" i="33"/>
  <c r="M1430" i="33"/>
  <c r="N1430" i="33"/>
  <c r="O1430" i="33"/>
  <c r="P1430" i="33"/>
  <c r="Q1430" i="33"/>
  <c r="R1430" i="33"/>
  <c r="F1431" i="33"/>
  <c r="G1431" i="33"/>
  <c r="H1431" i="33"/>
  <c r="I1431" i="33"/>
  <c r="J1431" i="33"/>
  <c r="K1431" i="33"/>
  <c r="L1431" i="33"/>
  <c r="M1431" i="33"/>
  <c r="N1431" i="33"/>
  <c r="O1431" i="33"/>
  <c r="P1431" i="33"/>
  <c r="Q1431" i="33"/>
  <c r="R1431" i="33"/>
  <c r="E1429" i="33"/>
  <c r="E1430" i="33"/>
  <c r="E1431" i="33"/>
  <c r="E1428" i="33"/>
  <c r="B1428" i="33"/>
  <c r="B1429" i="33"/>
  <c r="B1430" i="33"/>
  <c r="B1431" i="33"/>
  <c r="F1423" i="33"/>
  <c r="G1423" i="33"/>
  <c r="H1423" i="33"/>
  <c r="I1423" i="33"/>
  <c r="J1423" i="33"/>
  <c r="K1423" i="33"/>
  <c r="L1423" i="33"/>
  <c r="M1423" i="33"/>
  <c r="N1423" i="33"/>
  <c r="O1423" i="33"/>
  <c r="P1423" i="33"/>
  <c r="Q1423" i="33"/>
  <c r="R1423" i="33"/>
  <c r="F1424" i="33"/>
  <c r="G1424" i="33"/>
  <c r="H1424" i="33"/>
  <c r="I1424" i="33"/>
  <c r="J1424" i="33"/>
  <c r="K1424" i="33"/>
  <c r="L1424" i="33"/>
  <c r="M1424" i="33"/>
  <c r="N1424" i="33"/>
  <c r="O1424" i="33"/>
  <c r="P1424" i="33"/>
  <c r="Q1424" i="33"/>
  <c r="R1424" i="33"/>
  <c r="F1425" i="33"/>
  <c r="G1425" i="33"/>
  <c r="H1425" i="33"/>
  <c r="I1425" i="33"/>
  <c r="J1425" i="33"/>
  <c r="K1425" i="33"/>
  <c r="L1425" i="33"/>
  <c r="M1425" i="33"/>
  <c r="N1425" i="33"/>
  <c r="O1425" i="33"/>
  <c r="P1425" i="33"/>
  <c r="Q1425" i="33"/>
  <c r="R1425" i="33"/>
  <c r="F1426" i="33"/>
  <c r="G1426" i="33"/>
  <c r="H1426" i="33"/>
  <c r="I1426" i="33"/>
  <c r="J1426" i="33"/>
  <c r="K1426" i="33"/>
  <c r="L1426" i="33"/>
  <c r="M1426" i="33"/>
  <c r="N1426" i="33"/>
  <c r="O1426" i="33"/>
  <c r="P1426" i="33"/>
  <c r="Q1426" i="33"/>
  <c r="R1426" i="33"/>
  <c r="E1424" i="33"/>
  <c r="E1425" i="33"/>
  <c r="E1426" i="33"/>
  <c r="E1423" i="33"/>
  <c r="B1423" i="33"/>
  <c r="B1424" i="33"/>
  <c r="B1425" i="33"/>
  <c r="B1426" i="33"/>
  <c r="F1418" i="33"/>
  <c r="G1418" i="33"/>
  <c r="H1418" i="33"/>
  <c r="I1418" i="33"/>
  <c r="J1418" i="33"/>
  <c r="K1418" i="33"/>
  <c r="L1418" i="33"/>
  <c r="M1418" i="33"/>
  <c r="N1418" i="33"/>
  <c r="O1418" i="33"/>
  <c r="P1418" i="33"/>
  <c r="Q1418" i="33"/>
  <c r="R1418" i="33"/>
  <c r="F1419" i="33"/>
  <c r="G1419" i="33"/>
  <c r="H1419" i="33"/>
  <c r="I1419" i="33"/>
  <c r="J1419" i="33"/>
  <c r="K1419" i="33"/>
  <c r="L1419" i="33"/>
  <c r="M1419" i="33"/>
  <c r="N1419" i="33"/>
  <c r="O1419" i="33"/>
  <c r="P1419" i="33"/>
  <c r="Q1419" i="33"/>
  <c r="R1419" i="33"/>
  <c r="F1420" i="33"/>
  <c r="G1420" i="33"/>
  <c r="H1420" i="33"/>
  <c r="I1420" i="33"/>
  <c r="J1420" i="33"/>
  <c r="K1420" i="33"/>
  <c r="L1420" i="33"/>
  <c r="M1420" i="33"/>
  <c r="N1420" i="33"/>
  <c r="O1420" i="33"/>
  <c r="P1420" i="33"/>
  <c r="Q1420" i="33"/>
  <c r="R1420" i="33"/>
  <c r="F1421" i="33"/>
  <c r="G1421" i="33"/>
  <c r="H1421" i="33"/>
  <c r="I1421" i="33"/>
  <c r="J1421" i="33"/>
  <c r="K1421" i="33"/>
  <c r="L1421" i="33"/>
  <c r="M1421" i="33"/>
  <c r="N1421" i="33"/>
  <c r="O1421" i="33"/>
  <c r="P1421" i="33"/>
  <c r="Q1421" i="33"/>
  <c r="R1421" i="33"/>
  <c r="E1419" i="33"/>
  <c r="E1420" i="33"/>
  <c r="E1421" i="33"/>
  <c r="E1418" i="33"/>
  <c r="B1419" i="33"/>
  <c r="B1420" i="33"/>
  <c r="B1421" i="33"/>
  <c r="B1418" i="33"/>
  <c r="H1416" i="33"/>
  <c r="L1413" i="33"/>
  <c r="D47" i="22" l="1"/>
  <c r="C71" i="32" l="1"/>
  <c r="B1427" i="33" s="1"/>
  <c r="F75" i="32"/>
  <c r="D1431" i="33" s="1"/>
  <c r="F74" i="32"/>
  <c r="D1430" i="33" s="1"/>
  <c r="F73" i="32"/>
  <c r="D1429" i="33" s="1"/>
  <c r="F72" i="32"/>
  <c r="D1428" i="33" s="1"/>
  <c r="C65" i="32"/>
  <c r="B1422" i="33" s="1"/>
  <c r="C59" i="32"/>
  <c r="B1417" i="33" s="1"/>
  <c r="F69" i="32"/>
  <c r="D1426" i="33" s="1"/>
  <c r="F68" i="32"/>
  <c r="D1425" i="33" s="1"/>
  <c r="F67" i="32"/>
  <c r="D1424" i="33" s="1"/>
  <c r="F66" i="32"/>
  <c r="D1423" i="33" s="1"/>
  <c r="F63" i="32"/>
  <c r="D1421" i="33" s="1"/>
  <c r="F62" i="32"/>
  <c r="D1420" i="33" s="1"/>
  <c r="F61" i="32"/>
  <c r="D1419" i="33" s="1"/>
  <c r="F60" i="32"/>
  <c r="D1418" i="33" s="1"/>
  <c r="K815" i="33" l="1"/>
  <c r="K817" i="33"/>
  <c r="J818" i="33"/>
  <c r="K818" i="33"/>
  <c r="L818" i="33"/>
  <c r="E815" i="33"/>
  <c r="F815" i="33"/>
  <c r="F819" i="33" s="1"/>
  <c r="G815" i="33"/>
  <c r="H815" i="33"/>
  <c r="E816" i="33"/>
  <c r="F816" i="33"/>
  <c r="G816" i="33"/>
  <c r="H816" i="33"/>
  <c r="E817" i="33"/>
  <c r="F817" i="33"/>
  <c r="G817" i="33"/>
  <c r="H817" i="33"/>
  <c r="E818" i="33"/>
  <c r="F818" i="33"/>
  <c r="G818" i="33"/>
  <c r="H818" i="33"/>
  <c r="E819" i="33" l="1"/>
  <c r="H819" i="33"/>
  <c r="G819" i="33"/>
  <c r="H181" i="33"/>
  <c r="I181" i="33"/>
  <c r="J181" i="33"/>
  <c r="K181" i="33"/>
  <c r="L181" i="33"/>
  <c r="M181" i="33"/>
  <c r="N181" i="33"/>
  <c r="O181" i="33"/>
  <c r="H182" i="33"/>
  <c r="I182" i="33"/>
  <c r="J182" i="33"/>
  <c r="K182" i="33"/>
  <c r="L182" i="33"/>
  <c r="M182" i="33"/>
  <c r="N182" i="33"/>
  <c r="O182" i="33"/>
  <c r="H183" i="33"/>
  <c r="I183" i="33"/>
  <c r="J183" i="33"/>
  <c r="K183" i="33"/>
  <c r="L183" i="33"/>
  <c r="M183" i="33"/>
  <c r="N183" i="33"/>
  <c r="O183" i="33"/>
  <c r="H184" i="33"/>
  <c r="I184" i="33"/>
  <c r="J184" i="33"/>
  <c r="K184" i="33"/>
  <c r="L184" i="33"/>
  <c r="M184" i="33"/>
  <c r="N184" i="33"/>
  <c r="O184" i="33"/>
  <c r="H185" i="33"/>
  <c r="I185" i="33"/>
  <c r="J185" i="33"/>
  <c r="K185" i="33"/>
  <c r="L185" i="33"/>
  <c r="M185" i="33"/>
  <c r="N185" i="33"/>
  <c r="O185" i="33"/>
  <c r="H186" i="33"/>
  <c r="I186" i="33"/>
  <c r="J186" i="33"/>
  <c r="K186" i="33"/>
  <c r="L186" i="33"/>
  <c r="M186" i="33"/>
  <c r="N186" i="33"/>
  <c r="O186" i="33"/>
  <c r="H187" i="33"/>
  <c r="I187" i="33"/>
  <c r="J187" i="33"/>
  <c r="K187" i="33"/>
  <c r="L187" i="33"/>
  <c r="M187" i="33"/>
  <c r="N187" i="33"/>
  <c r="O187" i="33"/>
  <c r="H171" i="33"/>
  <c r="I171" i="33"/>
  <c r="J171" i="33"/>
  <c r="K171" i="33"/>
  <c r="L171" i="33"/>
  <c r="M171" i="33"/>
  <c r="N171" i="33"/>
  <c r="O171" i="33"/>
  <c r="H172" i="33"/>
  <c r="I172" i="33"/>
  <c r="J172" i="33"/>
  <c r="K172" i="33"/>
  <c r="L172" i="33"/>
  <c r="M172" i="33"/>
  <c r="N172" i="33"/>
  <c r="O172" i="33"/>
  <c r="H173" i="33"/>
  <c r="I173" i="33"/>
  <c r="J173" i="33"/>
  <c r="K173" i="33"/>
  <c r="L173" i="33"/>
  <c r="M173" i="33"/>
  <c r="N173" i="33"/>
  <c r="O173" i="33"/>
  <c r="H174" i="33"/>
  <c r="I174" i="33"/>
  <c r="J174" i="33"/>
  <c r="K174" i="33"/>
  <c r="L174" i="33"/>
  <c r="M174" i="33"/>
  <c r="N174" i="33"/>
  <c r="O174" i="33"/>
  <c r="C175" i="33"/>
  <c r="H175" i="33"/>
  <c r="I175" i="33"/>
  <c r="J175" i="33"/>
  <c r="K175" i="33"/>
  <c r="L175" i="33"/>
  <c r="M175" i="33"/>
  <c r="N175" i="33"/>
  <c r="O175" i="33"/>
  <c r="H176" i="33"/>
  <c r="I176" i="33"/>
  <c r="J176" i="33"/>
  <c r="K176" i="33"/>
  <c r="L176" i="33"/>
  <c r="M176" i="33"/>
  <c r="N176" i="33"/>
  <c r="O176" i="33"/>
  <c r="H177" i="33"/>
  <c r="I177" i="33"/>
  <c r="J177" i="33"/>
  <c r="K177" i="33"/>
  <c r="L177" i="33"/>
  <c r="M177" i="33"/>
  <c r="N177" i="33"/>
  <c r="O177" i="33"/>
  <c r="H150" i="33"/>
  <c r="I150" i="33"/>
  <c r="J150" i="33"/>
  <c r="K150" i="33"/>
  <c r="L150" i="33"/>
  <c r="M150" i="33"/>
  <c r="N150" i="33"/>
  <c r="O150" i="33"/>
  <c r="H151" i="33"/>
  <c r="I151" i="33"/>
  <c r="J151" i="33"/>
  <c r="K151" i="33"/>
  <c r="L151" i="33"/>
  <c r="M151" i="33"/>
  <c r="N151" i="33"/>
  <c r="O151" i="33"/>
  <c r="H152" i="33"/>
  <c r="I152" i="33"/>
  <c r="J152" i="33"/>
  <c r="K152" i="33"/>
  <c r="L152" i="33"/>
  <c r="M152" i="33"/>
  <c r="N152" i="33"/>
  <c r="O152" i="33"/>
  <c r="H153" i="33"/>
  <c r="I153" i="33"/>
  <c r="J153" i="33"/>
  <c r="K153" i="33"/>
  <c r="L153" i="33"/>
  <c r="M153" i="33"/>
  <c r="N153" i="33"/>
  <c r="O153" i="33"/>
  <c r="H154" i="33"/>
  <c r="I154" i="33"/>
  <c r="J154" i="33"/>
  <c r="K154" i="33"/>
  <c r="L154" i="33"/>
  <c r="M154" i="33"/>
  <c r="N154" i="33"/>
  <c r="O154" i="33"/>
  <c r="H155" i="33"/>
  <c r="I155" i="33"/>
  <c r="J155" i="33"/>
  <c r="K155" i="33"/>
  <c r="L155" i="33"/>
  <c r="M155" i="33"/>
  <c r="N155" i="33"/>
  <c r="O155" i="33"/>
  <c r="H156" i="33"/>
  <c r="I156" i="33"/>
  <c r="J156" i="33"/>
  <c r="K156" i="33"/>
  <c r="L156" i="33"/>
  <c r="M156" i="33"/>
  <c r="N156" i="33"/>
  <c r="O156" i="33"/>
  <c r="H157" i="33"/>
  <c r="I157" i="33"/>
  <c r="J157" i="33"/>
  <c r="K157" i="33"/>
  <c r="L157" i="33"/>
  <c r="M157" i="33"/>
  <c r="N157" i="33"/>
  <c r="O157" i="33"/>
  <c r="H158" i="33"/>
  <c r="I158" i="33"/>
  <c r="J158" i="33"/>
  <c r="K158" i="33"/>
  <c r="L158" i="33"/>
  <c r="M158" i="33"/>
  <c r="N158" i="33"/>
  <c r="O158" i="33"/>
  <c r="H159" i="33"/>
  <c r="I159" i="33"/>
  <c r="J159" i="33"/>
  <c r="K159" i="33"/>
  <c r="L159" i="33"/>
  <c r="M159" i="33"/>
  <c r="N159" i="33"/>
  <c r="O159" i="33"/>
  <c r="H160" i="33"/>
  <c r="I160" i="33"/>
  <c r="J160" i="33"/>
  <c r="K160" i="33"/>
  <c r="L160" i="33"/>
  <c r="M160" i="33"/>
  <c r="N160" i="33"/>
  <c r="O160" i="33"/>
  <c r="H161" i="33"/>
  <c r="I161" i="33"/>
  <c r="J161" i="33"/>
  <c r="K161" i="33"/>
  <c r="L161" i="33"/>
  <c r="M161" i="33"/>
  <c r="N161" i="33"/>
  <c r="O161" i="33"/>
  <c r="H162" i="33"/>
  <c r="I162" i="33"/>
  <c r="J162" i="33"/>
  <c r="K162" i="33"/>
  <c r="L162" i="33"/>
  <c r="M162" i="33"/>
  <c r="N162" i="33"/>
  <c r="O162" i="33"/>
  <c r="H163" i="33"/>
  <c r="I163" i="33"/>
  <c r="J163" i="33"/>
  <c r="K163" i="33"/>
  <c r="L163" i="33"/>
  <c r="M163" i="33"/>
  <c r="N163" i="33"/>
  <c r="O163" i="33"/>
  <c r="H164" i="33"/>
  <c r="I164" i="33"/>
  <c r="J164" i="33"/>
  <c r="K164" i="33"/>
  <c r="L164" i="33"/>
  <c r="M164" i="33"/>
  <c r="N164" i="33"/>
  <c r="O164" i="33"/>
  <c r="H165" i="33"/>
  <c r="I165" i="33"/>
  <c r="J165" i="33"/>
  <c r="K165" i="33"/>
  <c r="L165" i="33"/>
  <c r="M165" i="33"/>
  <c r="N165" i="33"/>
  <c r="O165" i="33"/>
  <c r="H166" i="33"/>
  <c r="I166" i="33"/>
  <c r="J166" i="33"/>
  <c r="K166" i="33"/>
  <c r="L166" i="33"/>
  <c r="M166" i="33"/>
  <c r="N166" i="33"/>
  <c r="O166" i="33"/>
  <c r="H167" i="33"/>
  <c r="I167" i="33"/>
  <c r="J167" i="33"/>
  <c r="K167" i="33"/>
  <c r="L167" i="33"/>
  <c r="M167" i="33"/>
  <c r="N167" i="33"/>
  <c r="O167" i="33"/>
  <c r="H142" i="33"/>
  <c r="I142" i="33"/>
  <c r="J142" i="33"/>
  <c r="K142" i="33"/>
  <c r="L142" i="33"/>
  <c r="M142" i="33"/>
  <c r="N142" i="33"/>
  <c r="O142" i="33"/>
  <c r="H127" i="33"/>
  <c r="I127" i="33"/>
  <c r="J127" i="33"/>
  <c r="K127" i="33"/>
  <c r="L127" i="33"/>
  <c r="M127" i="33"/>
  <c r="N127" i="33"/>
  <c r="O127" i="33"/>
  <c r="H128" i="33"/>
  <c r="I128" i="33"/>
  <c r="J128" i="33"/>
  <c r="K128" i="33"/>
  <c r="L128" i="33"/>
  <c r="M128" i="33"/>
  <c r="N128" i="33"/>
  <c r="O128" i="33"/>
  <c r="H129" i="33"/>
  <c r="I129" i="33"/>
  <c r="J129" i="33"/>
  <c r="K129" i="33"/>
  <c r="L129" i="33"/>
  <c r="M129" i="33"/>
  <c r="N129" i="33"/>
  <c r="O129" i="33"/>
  <c r="H130" i="33"/>
  <c r="I130" i="33"/>
  <c r="J130" i="33"/>
  <c r="K130" i="33"/>
  <c r="L130" i="33"/>
  <c r="M130" i="33"/>
  <c r="N130" i="33"/>
  <c r="O130" i="33"/>
  <c r="H131" i="33"/>
  <c r="I131" i="33"/>
  <c r="J131" i="33"/>
  <c r="K131" i="33"/>
  <c r="L131" i="33"/>
  <c r="M131" i="33"/>
  <c r="N131" i="33"/>
  <c r="O131" i="33"/>
  <c r="H132" i="33"/>
  <c r="I132" i="33"/>
  <c r="J132" i="33"/>
  <c r="K132" i="33"/>
  <c r="L132" i="33"/>
  <c r="M132" i="33"/>
  <c r="N132" i="33"/>
  <c r="O132" i="33"/>
  <c r="H133" i="33"/>
  <c r="I133" i="33"/>
  <c r="J133" i="33"/>
  <c r="K133" i="33"/>
  <c r="L133" i="33"/>
  <c r="M133" i="33"/>
  <c r="N133" i="33"/>
  <c r="O133" i="33"/>
  <c r="H134" i="33"/>
  <c r="I134" i="33"/>
  <c r="J134" i="33"/>
  <c r="K134" i="33"/>
  <c r="L134" i="33"/>
  <c r="M134" i="33"/>
  <c r="N134" i="33"/>
  <c r="O134" i="33"/>
  <c r="H135" i="33"/>
  <c r="I135" i="33"/>
  <c r="J135" i="33"/>
  <c r="K135" i="33"/>
  <c r="L135" i="33"/>
  <c r="M135" i="33"/>
  <c r="N135" i="33"/>
  <c r="O135" i="33"/>
  <c r="H136" i="33"/>
  <c r="I136" i="33"/>
  <c r="J136" i="33"/>
  <c r="K136" i="33"/>
  <c r="L136" i="33"/>
  <c r="M136" i="33"/>
  <c r="N136" i="33"/>
  <c r="O136" i="33"/>
  <c r="H137" i="33"/>
  <c r="I137" i="33"/>
  <c r="J137" i="33"/>
  <c r="K137" i="33"/>
  <c r="L137" i="33"/>
  <c r="M137" i="33"/>
  <c r="N137" i="33"/>
  <c r="O137" i="33"/>
  <c r="H138" i="33"/>
  <c r="I138" i="33"/>
  <c r="J138" i="33"/>
  <c r="K138" i="33"/>
  <c r="L138" i="33"/>
  <c r="M138" i="33"/>
  <c r="N138" i="33"/>
  <c r="O138" i="33"/>
  <c r="H139" i="33"/>
  <c r="I139" i="33"/>
  <c r="J139" i="33"/>
  <c r="K139" i="33"/>
  <c r="L139" i="33"/>
  <c r="M139" i="33"/>
  <c r="N139" i="33"/>
  <c r="O139" i="33"/>
  <c r="H140" i="33"/>
  <c r="I140" i="33"/>
  <c r="J140" i="33"/>
  <c r="K140" i="33"/>
  <c r="L140" i="33"/>
  <c r="M140" i="33"/>
  <c r="N140" i="33"/>
  <c r="O140" i="33"/>
  <c r="H141" i="33"/>
  <c r="I141" i="33"/>
  <c r="J141" i="33"/>
  <c r="K141" i="33"/>
  <c r="L141" i="33"/>
  <c r="M141" i="33"/>
  <c r="N141" i="33"/>
  <c r="O141" i="33"/>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94" i="4"/>
  <c r="D78" i="4"/>
  <c r="D79" i="4"/>
  <c r="D80" i="4"/>
  <c r="D81" i="4"/>
  <c r="D82" i="4"/>
  <c r="D83" i="4"/>
  <c r="D84" i="4"/>
  <c r="D85" i="4"/>
  <c r="D86" i="4"/>
  <c r="D77" i="4"/>
  <c r="D67" i="4"/>
  <c r="D68" i="4"/>
  <c r="D69" i="4"/>
  <c r="D70" i="4"/>
  <c r="D71" i="4"/>
  <c r="D72" i="4"/>
  <c r="D73" i="4"/>
  <c r="D74" i="4"/>
  <c r="D75" i="4"/>
  <c r="D66" i="4"/>
  <c r="D41" i="4"/>
  <c r="D42" i="4"/>
  <c r="D43" i="4"/>
  <c r="D44" i="4"/>
  <c r="D45" i="4"/>
  <c r="D46" i="4"/>
  <c r="D47" i="4"/>
  <c r="D48" i="4"/>
  <c r="D49" i="4"/>
  <c r="D50" i="4"/>
  <c r="D51" i="4"/>
  <c r="D52" i="4"/>
  <c r="D53" i="4"/>
  <c r="D54" i="4"/>
  <c r="D55" i="4"/>
  <c r="D56" i="4"/>
  <c r="D57" i="4"/>
  <c r="D58" i="4"/>
  <c r="D59" i="4"/>
  <c r="D60" i="4"/>
  <c r="D61" i="4"/>
  <c r="D62" i="4"/>
  <c r="D63" i="4"/>
  <c r="D64" i="4"/>
  <c r="D40" i="4"/>
  <c r="D21" i="4"/>
  <c r="D22" i="4"/>
  <c r="D23" i="4"/>
  <c r="D24" i="4"/>
  <c r="D25" i="4"/>
  <c r="D26" i="4"/>
  <c r="D27" i="4"/>
  <c r="D28" i="4"/>
  <c r="D29" i="4"/>
  <c r="D30" i="4"/>
  <c r="D31" i="4"/>
  <c r="D32" i="4"/>
  <c r="D33" i="4"/>
  <c r="D34" i="4"/>
  <c r="D35" i="4"/>
  <c r="D36" i="4"/>
  <c r="D37" i="4"/>
  <c r="D38" i="4"/>
  <c r="D20" i="4"/>
  <c r="D19" i="4"/>
  <c r="D83" i="15"/>
  <c r="D84" i="15"/>
  <c r="D85" i="15"/>
  <c r="C181" i="33" s="1"/>
  <c r="D86" i="15"/>
  <c r="C182" i="33" s="1"/>
  <c r="D87" i="15"/>
  <c r="C183" i="33" s="1"/>
  <c r="D88" i="15"/>
  <c r="C184" i="33" s="1"/>
  <c r="D89" i="15"/>
  <c r="C185" i="33" s="1"/>
  <c r="D90" i="15"/>
  <c r="C186" i="33" s="1"/>
  <c r="D91" i="15"/>
  <c r="C187" i="33" s="1"/>
  <c r="D82" i="15"/>
  <c r="D72" i="15"/>
  <c r="D73" i="15"/>
  <c r="D74" i="15"/>
  <c r="C171" i="33" s="1"/>
  <c r="D75" i="15"/>
  <c r="C172" i="33" s="1"/>
  <c r="D76" i="15"/>
  <c r="C173" i="33" s="1"/>
  <c r="D77" i="15"/>
  <c r="C174" i="33" s="1"/>
  <c r="D78" i="15"/>
  <c r="D79" i="15"/>
  <c r="C176" i="33" s="1"/>
  <c r="D80" i="15"/>
  <c r="C177" i="33" s="1"/>
  <c r="D71" i="15"/>
  <c r="D46" i="15"/>
  <c r="D47" i="15"/>
  <c r="D48" i="15"/>
  <c r="D49" i="15"/>
  <c r="D50" i="15"/>
  <c r="D51" i="15"/>
  <c r="D52" i="15"/>
  <c r="C150" i="33" s="1"/>
  <c r="D53" i="15"/>
  <c r="C151" i="33" s="1"/>
  <c r="D54" i="15"/>
  <c r="C152" i="33" s="1"/>
  <c r="D55" i="15"/>
  <c r="C153" i="33" s="1"/>
  <c r="D56" i="15"/>
  <c r="C154" i="33" s="1"/>
  <c r="D57" i="15"/>
  <c r="C155" i="33" s="1"/>
  <c r="D58" i="15"/>
  <c r="C156" i="33" s="1"/>
  <c r="D59" i="15"/>
  <c r="C157" i="33" s="1"/>
  <c r="D60" i="15"/>
  <c r="C158" i="33" s="1"/>
  <c r="D61" i="15"/>
  <c r="C159" i="33" s="1"/>
  <c r="D62" i="15"/>
  <c r="C160" i="33" s="1"/>
  <c r="D63" i="15"/>
  <c r="C161" i="33" s="1"/>
  <c r="D64" i="15"/>
  <c r="C162" i="33" s="1"/>
  <c r="D65" i="15"/>
  <c r="C163" i="33" s="1"/>
  <c r="D66" i="15"/>
  <c r="C164" i="33" s="1"/>
  <c r="D67" i="15"/>
  <c r="C165" i="33" s="1"/>
  <c r="D68" i="15"/>
  <c r="C166" i="33" s="1"/>
  <c r="D69" i="15"/>
  <c r="C167" i="33" s="1"/>
  <c r="D45" i="15"/>
  <c r="D25" i="15"/>
  <c r="D26" i="15"/>
  <c r="D27" i="15"/>
  <c r="D28" i="15"/>
  <c r="C127" i="33" s="1"/>
  <c r="D29" i="15"/>
  <c r="C128" i="33" s="1"/>
  <c r="D30" i="15"/>
  <c r="C129" i="33" s="1"/>
  <c r="D31" i="15"/>
  <c r="C130" i="33" s="1"/>
  <c r="D32" i="15"/>
  <c r="C131" i="33" s="1"/>
  <c r="D33" i="15"/>
  <c r="C132" i="33" s="1"/>
  <c r="D34" i="15"/>
  <c r="C133" i="33" s="1"/>
  <c r="D35" i="15"/>
  <c r="C134" i="33" s="1"/>
  <c r="D36" i="15"/>
  <c r="C135" i="33" s="1"/>
  <c r="D37" i="15"/>
  <c r="C136" i="33" s="1"/>
  <c r="D38" i="15"/>
  <c r="C137" i="33" s="1"/>
  <c r="D39" i="15"/>
  <c r="C138" i="33" s="1"/>
  <c r="D40" i="15"/>
  <c r="C139" i="33" s="1"/>
  <c r="D41" i="15"/>
  <c r="C140" i="33" s="1"/>
  <c r="D42" i="15"/>
  <c r="C141" i="33" s="1"/>
  <c r="D43" i="15"/>
  <c r="C142" i="33" s="1"/>
  <c r="D24" i="15"/>
  <c r="S29" i="15"/>
  <c r="T29" i="15"/>
  <c r="U29" i="15"/>
  <c r="V29" i="15"/>
  <c r="W29" i="15"/>
  <c r="AM29" i="15" s="1"/>
  <c r="X29" i="15"/>
  <c r="AN29" i="15" s="1"/>
  <c r="Y29" i="15"/>
  <c r="AO29" i="15" s="1"/>
  <c r="AA29" i="15"/>
  <c r="AB29" i="15"/>
  <c r="AC29" i="15"/>
  <c r="AD29" i="15"/>
  <c r="AE29" i="15"/>
  <c r="AF29" i="15"/>
  <c r="AG29" i="15"/>
  <c r="AI29" i="15"/>
  <c r="AJ29" i="15"/>
  <c r="AK29" i="15"/>
  <c r="AL29" i="15"/>
  <c r="AQ29" i="15"/>
  <c r="AR29" i="15"/>
  <c r="AS29" i="15"/>
  <c r="AT29" i="15"/>
  <c r="AU29" i="15"/>
  <c r="AV29" i="15"/>
  <c r="AW29" i="15"/>
  <c r="S30" i="15"/>
  <c r="AI30" i="15" s="1"/>
  <c r="T30" i="15"/>
  <c r="U30" i="15"/>
  <c r="AK30" i="15" s="1"/>
  <c r="V30" i="15"/>
  <c r="AL30" i="15" s="1"/>
  <c r="W30" i="15"/>
  <c r="AM30" i="15" s="1"/>
  <c r="X30" i="15"/>
  <c r="Y30" i="15"/>
  <c r="AA30" i="15"/>
  <c r="AB30" i="15"/>
  <c r="AC30" i="15"/>
  <c r="AD30" i="15"/>
  <c r="AE30" i="15"/>
  <c r="AF30" i="15"/>
  <c r="AG30" i="15"/>
  <c r="AJ30" i="15"/>
  <c r="AN30" i="15"/>
  <c r="AO30" i="15"/>
  <c r="AQ30" i="15"/>
  <c r="AR30" i="15"/>
  <c r="AS30" i="15"/>
  <c r="AT30" i="15"/>
  <c r="AU30" i="15"/>
  <c r="AV30" i="15"/>
  <c r="AW30" i="15"/>
  <c r="S31" i="15"/>
  <c r="AI31" i="15" s="1"/>
  <c r="T31" i="15"/>
  <c r="AJ31" i="15" s="1"/>
  <c r="U31" i="15"/>
  <c r="AK31" i="15" s="1"/>
  <c r="V31" i="15"/>
  <c r="AL31" i="15" s="1"/>
  <c r="W31" i="15"/>
  <c r="AM31" i="15" s="1"/>
  <c r="X31" i="15"/>
  <c r="Y31" i="15"/>
  <c r="AA31" i="15"/>
  <c r="AB31" i="15"/>
  <c r="AC31" i="15"/>
  <c r="AD31" i="15"/>
  <c r="AE31" i="15"/>
  <c r="AF31" i="15"/>
  <c r="AG31" i="15"/>
  <c r="AN31" i="15"/>
  <c r="AO31" i="15"/>
  <c r="AQ31" i="15"/>
  <c r="AR31" i="15"/>
  <c r="AS31" i="15"/>
  <c r="AT31" i="15"/>
  <c r="AU31" i="15"/>
  <c r="AV31" i="15"/>
  <c r="AW31" i="15"/>
  <c r="S32" i="15"/>
  <c r="AI32" i="15" s="1"/>
  <c r="T32" i="15"/>
  <c r="AJ32" i="15" s="1"/>
  <c r="U32" i="15"/>
  <c r="V32" i="15"/>
  <c r="AL32" i="15" s="1"/>
  <c r="W32" i="15"/>
  <c r="AM32" i="15" s="1"/>
  <c r="X32" i="15"/>
  <c r="Y32" i="15"/>
  <c r="AA32" i="15"/>
  <c r="AB32" i="15"/>
  <c r="AC32" i="15"/>
  <c r="AD32" i="15"/>
  <c r="AE32" i="15"/>
  <c r="AF32" i="15"/>
  <c r="AG32" i="15"/>
  <c r="AK32" i="15"/>
  <c r="AN32" i="15"/>
  <c r="AO32" i="15"/>
  <c r="AQ32" i="15"/>
  <c r="AR32" i="15"/>
  <c r="AS32" i="15"/>
  <c r="AT32" i="15"/>
  <c r="AU32" i="15"/>
  <c r="AV32" i="15"/>
  <c r="AW32" i="15"/>
  <c r="S33" i="15"/>
  <c r="AI33" i="15" s="1"/>
  <c r="T33" i="15"/>
  <c r="U33" i="15"/>
  <c r="V33" i="15"/>
  <c r="W33" i="15"/>
  <c r="AM33" i="15" s="1"/>
  <c r="X33" i="15"/>
  <c r="Y33" i="15"/>
  <c r="AO33" i="15" s="1"/>
  <c r="AA33" i="15"/>
  <c r="AB33" i="15"/>
  <c r="AC33" i="15"/>
  <c r="AD33" i="15"/>
  <c r="AE33" i="15"/>
  <c r="AF33" i="15"/>
  <c r="AG33" i="15"/>
  <c r="AJ33" i="15"/>
  <c r="AK33" i="15"/>
  <c r="AL33" i="15"/>
  <c r="AN33" i="15"/>
  <c r="AQ33" i="15"/>
  <c r="AR33" i="15"/>
  <c r="AS33" i="15"/>
  <c r="AT33" i="15"/>
  <c r="AU33" i="15"/>
  <c r="AV33" i="15"/>
  <c r="AW33" i="15"/>
  <c r="S34" i="15"/>
  <c r="AI34" i="15" s="1"/>
  <c r="T34" i="15"/>
  <c r="U34" i="15"/>
  <c r="AK34" i="15" s="1"/>
  <c r="V34" i="15"/>
  <c r="AL34" i="15" s="1"/>
  <c r="W34" i="15"/>
  <c r="AM34" i="15" s="1"/>
  <c r="X34" i="15"/>
  <c r="AN34" i="15" s="1"/>
  <c r="Y34" i="15"/>
  <c r="AO34" i="15" s="1"/>
  <c r="AA34" i="15"/>
  <c r="AB34" i="15"/>
  <c r="AC34" i="15"/>
  <c r="AD34" i="15"/>
  <c r="AE34" i="15"/>
  <c r="AF34" i="15"/>
  <c r="AG34" i="15"/>
  <c r="AJ34" i="15"/>
  <c r="AQ34" i="15"/>
  <c r="AR34" i="15"/>
  <c r="AS34" i="15"/>
  <c r="AT34" i="15"/>
  <c r="AU34" i="15"/>
  <c r="AV34" i="15"/>
  <c r="AW34" i="15"/>
  <c r="S35" i="15"/>
  <c r="AI35" i="15" s="1"/>
  <c r="T35" i="15"/>
  <c r="AJ35" i="15" s="1"/>
  <c r="U35" i="15"/>
  <c r="V35" i="15"/>
  <c r="AL35" i="15" s="1"/>
  <c r="W35" i="15"/>
  <c r="AM35" i="15" s="1"/>
  <c r="X35" i="15"/>
  <c r="AN35" i="15" s="1"/>
  <c r="Y35" i="15"/>
  <c r="AA35" i="15"/>
  <c r="AB35" i="15"/>
  <c r="AC35" i="15"/>
  <c r="AD35" i="15"/>
  <c r="AE35" i="15"/>
  <c r="AF35" i="15"/>
  <c r="AG35" i="15"/>
  <c r="AK35" i="15"/>
  <c r="AO35" i="15"/>
  <c r="AQ35" i="15"/>
  <c r="AR35" i="15"/>
  <c r="AS35" i="15"/>
  <c r="AT35" i="15"/>
  <c r="AU35" i="15"/>
  <c r="AV35" i="15"/>
  <c r="AW35" i="15"/>
  <c r="S36" i="15"/>
  <c r="AI36" i="15" s="1"/>
  <c r="T36" i="15"/>
  <c r="AJ36" i="15" s="1"/>
  <c r="U36" i="15"/>
  <c r="AK36" i="15" s="1"/>
  <c r="V36" i="15"/>
  <c r="AL36" i="15" s="1"/>
  <c r="W36" i="15"/>
  <c r="AM36" i="15" s="1"/>
  <c r="X36" i="15"/>
  <c r="AN36" i="15" s="1"/>
  <c r="Y36" i="15"/>
  <c r="AA36" i="15"/>
  <c r="AB36" i="15"/>
  <c r="AC36" i="15"/>
  <c r="AD36" i="15"/>
  <c r="AE36" i="15"/>
  <c r="AF36" i="15"/>
  <c r="AG36" i="15"/>
  <c r="AO36" i="15"/>
  <c r="AQ36" i="15"/>
  <c r="AR36" i="15"/>
  <c r="AS36" i="15"/>
  <c r="AT36" i="15"/>
  <c r="AU36" i="15"/>
  <c r="AV36" i="15"/>
  <c r="AW36" i="15"/>
  <c r="S37" i="15"/>
  <c r="AI37" i="15" s="1"/>
  <c r="T37" i="15"/>
  <c r="AJ37" i="15" s="1"/>
  <c r="U37" i="15"/>
  <c r="AK37" i="15" s="1"/>
  <c r="V37" i="15"/>
  <c r="W37" i="15"/>
  <c r="AM37" i="15" s="1"/>
  <c r="X37" i="15"/>
  <c r="Y37" i="15"/>
  <c r="AA37" i="15"/>
  <c r="AB37" i="15"/>
  <c r="AC37" i="15"/>
  <c r="AD37" i="15"/>
  <c r="AE37" i="15"/>
  <c r="AF37" i="15"/>
  <c r="AG37" i="15"/>
  <c r="AL37" i="15"/>
  <c r="AN37" i="15"/>
  <c r="AO37" i="15"/>
  <c r="AQ37" i="15"/>
  <c r="AR37" i="15"/>
  <c r="AS37" i="15"/>
  <c r="AT37" i="15"/>
  <c r="AU37" i="15"/>
  <c r="AV37" i="15"/>
  <c r="AW37" i="15"/>
  <c r="S38" i="15"/>
  <c r="AI38" i="15" s="1"/>
  <c r="T38" i="15"/>
  <c r="U38" i="15"/>
  <c r="V38" i="15"/>
  <c r="AL38" i="15" s="1"/>
  <c r="W38" i="15"/>
  <c r="AM38" i="15" s="1"/>
  <c r="X38" i="15"/>
  <c r="Y38" i="15"/>
  <c r="AO38" i="15" s="1"/>
  <c r="AA38" i="15"/>
  <c r="AB38" i="15"/>
  <c r="AC38" i="15"/>
  <c r="AD38" i="15"/>
  <c r="AE38" i="15"/>
  <c r="AF38" i="15"/>
  <c r="AG38" i="15"/>
  <c r="AJ38" i="15"/>
  <c r="AK38" i="15"/>
  <c r="AN38" i="15"/>
  <c r="AQ38" i="15"/>
  <c r="AR38" i="15"/>
  <c r="AS38" i="15"/>
  <c r="AT38" i="15"/>
  <c r="AU38" i="15"/>
  <c r="AV38" i="15"/>
  <c r="AW38" i="15"/>
  <c r="S39" i="15"/>
  <c r="AI39" i="15" s="1"/>
  <c r="T39" i="15"/>
  <c r="U39" i="15"/>
  <c r="V39" i="15"/>
  <c r="AL39" i="15" s="1"/>
  <c r="W39" i="15"/>
  <c r="AM39" i="15" s="1"/>
  <c r="X39" i="15"/>
  <c r="AN39" i="15" s="1"/>
  <c r="Y39" i="15"/>
  <c r="AO39" i="15" s="1"/>
  <c r="AA39" i="15"/>
  <c r="AB39" i="15"/>
  <c r="AC39" i="15"/>
  <c r="AD39" i="15"/>
  <c r="AE39" i="15"/>
  <c r="AF39" i="15"/>
  <c r="AG39" i="15"/>
  <c r="AJ39" i="15"/>
  <c r="AK39" i="15"/>
  <c r="AQ39" i="15"/>
  <c r="AR39" i="15"/>
  <c r="AS39" i="15"/>
  <c r="AT39" i="15"/>
  <c r="AU39" i="15"/>
  <c r="AV39" i="15"/>
  <c r="AW39" i="15"/>
  <c r="S40" i="15"/>
  <c r="AI40" i="15" s="1"/>
  <c r="T40" i="15"/>
  <c r="AJ40" i="15" s="1"/>
  <c r="U40" i="15"/>
  <c r="V40" i="15"/>
  <c r="AL40" i="15" s="1"/>
  <c r="W40" i="15"/>
  <c r="AM40" i="15" s="1"/>
  <c r="X40" i="15"/>
  <c r="AN40" i="15" s="1"/>
  <c r="Y40" i="15"/>
  <c r="AA40" i="15"/>
  <c r="AB40" i="15"/>
  <c r="AC40" i="15"/>
  <c r="AD40" i="15"/>
  <c r="AE40" i="15"/>
  <c r="AF40" i="15"/>
  <c r="AG40" i="15"/>
  <c r="AK40" i="15"/>
  <c r="AO40" i="15"/>
  <c r="AQ40" i="15"/>
  <c r="AR40" i="15"/>
  <c r="AS40" i="15"/>
  <c r="AT40" i="15"/>
  <c r="AU40" i="15"/>
  <c r="AV40" i="15"/>
  <c r="AW40" i="15"/>
  <c r="S41" i="15"/>
  <c r="AI41" i="15" s="1"/>
  <c r="T41" i="15"/>
  <c r="U41" i="15"/>
  <c r="AK41" i="15" s="1"/>
  <c r="V41" i="15"/>
  <c r="AL41" i="15" s="1"/>
  <c r="W41" i="15"/>
  <c r="AM41" i="15" s="1"/>
  <c r="X41" i="15"/>
  <c r="Y41" i="15"/>
  <c r="AA41" i="15"/>
  <c r="AB41" i="15"/>
  <c r="AC41" i="15"/>
  <c r="AD41" i="15"/>
  <c r="AE41" i="15"/>
  <c r="AF41" i="15"/>
  <c r="AG41" i="15"/>
  <c r="AJ41" i="15"/>
  <c r="AN41" i="15"/>
  <c r="AO41" i="15"/>
  <c r="AQ41" i="15"/>
  <c r="AR41" i="15"/>
  <c r="AS41" i="15"/>
  <c r="AT41" i="15"/>
  <c r="AU41" i="15"/>
  <c r="AV41" i="15"/>
  <c r="AW41" i="15"/>
  <c r="S42" i="15"/>
  <c r="AI42" i="15" s="1"/>
  <c r="T42" i="15"/>
  <c r="AJ42" i="15" s="1"/>
  <c r="U42" i="15"/>
  <c r="AK42" i="15" s="1"/>
  <c r="V42" i="15"/>
  <c r="AL42" i="15" s="1"/>
  <c r="W42" i="15"/>
  <c r="AM42" i="15" s="1"/>
  <c r="X42" i="15"/>
  <c r="Y42" i="15"/>
  <c r="AA42" i="15"/>
  <c r="AB42" i="15"/>
  <c r="AC42" i="15"/>
  <c r="AD42" i="15"/>
  <c r="AE42" i="15"/>
  <c r="AF42" i="15"/>
  <c r="AG42" i="15"/>
  <c r="AN42" i="15"/>
  <c r="AO42" i="15"/>
  <c r="AQ42" i="15"/>
  <c r="AR42" i="15"/>
  <c r="AS42" i="15"/>
  <c r="AT42" i="15"/>
  <c r="AU42" i="15"/>
  <c r="AV42" i="15"/>
  <c r="AW42" i="15"/>
  <c r="S43" i="15"/>
  <c r="AI43" i="15" s="1"/>
  <c r="T43" i="15"/>
  <c r="AJ43" i="15" s="1"/>
  <c r="U43" i="15"/>
  <c r="V43" i="15"/>
  <c r="AL43" i="15" s="1"/>
  <c r="W43" i="15"/>
  <c r="AM43" i="15" s="1"/>
  <c r="X43" i="15"/>
  <c r="Y43" i="15"/>
  <c r="AA43" i="15"/>
  <c r="AB43" i="15"/>
  <c r="AC43" i="15"/>
  <c r="AD43" i="15"/>
  <c r="AE43" i="15"/>
  <c r="AF43" i="15"/>
  <c r="AG43" i="15"/>
  <c r="AK43" i="15"/>
  <c r="AN43" i="15"/>
  <c r="AO43" i="15"/>
  <c r="AQ43" i="15"/>
  <c r="AR43" i="15"/>
  <c r="AS43" i="15"/>
  <c r="AT43" i="15"/>
  <c r="AU43" i="15"/>
  <c r="AV43" i="15"/>
  <c r="AW43" i="15"/>
  <c r="S45" i="15"/>
  <c r="AI45" i="15" s="1"/>
  <c r="T45" i="15"/>
  <c r="U45" i="15"/>
  <c r="V45" i="15"/>
  <c r="W45" i="15"/>
  <c r="X45" i="15"/>
  <c r="Y45" i="15"/>
  <c r="AO45" i="15" s="1"/>
  <c r="AA45" i="15"/>
  <c r="AB45" i="15"/>
  <c r="AC45" i="15"/>
  <c r="AD45" i="15"/>
  <c r="AE45" i="15"/>
  <c r="AF45" i="15"/>
  <c r="AG45" i="15"/>
  <c r="AJ45" i="15"/>
  <c r="AQ45" i="15"/>
  <c r="AR45" i="15"/>
  <c r="AS45" i="15"/>
  <c r="AT45" i="15"/>
  <c r="AU45" i="15"/>
  <c r="AV45" i="15"/>
  <c r="AW45" i="15"/>
  <c r="S46" i="15"/>
  <c r="AI46" i="15" s="1"/>
  <c r="T46" i="15"/>
  <c r="U46" i="15"/>
  <c r="V46" i="15"/>
  <c r="W46" i="15"/>
  <c r="X46" i="15"/>
  <c r="Y46" i="15"/>
  <c r="AA46" i="15"/>
  <c r="AB46" i="15"/>
  <c r="AC46" i="15"/>
  <c r="AD46" i="15"/>
  <c r="AE46" i="15"/>
  <c r="AF46" i="15"/>
  <c r="AG46" i="15"/>
  <c r="AQ46" i="15"/>
  <c r="AR46" i="15"/>
  <c r="AS46" i="15"/>
  <c r="AT46" i="15"/>
  <c r="AU46" i="15"/>
  <c r="AV46" i="15"/>
  <c r="AW46" i="15"/>
  <c r="S47" i="15"/>
  <c r="AI47" i="15" s="1"/>
  <c r="T47" i="15"/>
  <c r="AJ47" i="15" s="1"/>
  <c r="U47" i="15"/>
  <c r="AK47" i="15" s="1"/>
  <c r="V47" i="15"/>
  <c r="AL47" i="15" s="1"/>
  <c r="W47" i="15"/>
  <c r="AM47" i="15" s="1"/>
  <c r="X47" i="15"/>
  <c r="AN47" i="15" s="1"/>
  <c r="Y47" i="15"/>
  <c r="AA47" i="15"/>
  <c r="AB47" i="15"/>
  <c r="AC47" i="15"/>
  <c r="AD47" i="15"/>
  <c r="AE47" i="15"/>
  <c r="AF47" i="15"/>
  <c r="AG47" i="15"/>
  <c r="AO47" i="15"/>
  <c r="AQ47" i="15"/>
  <c r="AR47" i="15"/>
  <c r="AS47" i="15"/>
  <c r="AT47" i="15"/>
  <c r="AU47" i="15"/>
  <c r="AV47" i="15"/>
  <c r="AW47" i="15"/>
  <c r="S48" i="15"/>
  <c r="AI48" i="15" s="1"/>
  <c r="T48" i="15"/>
  <c r="AJ48" i="15" s="1"/>
  <c r="U48" i="15"/>
  <c r="AK48" i="15" s="1"/>
  <c r="V48" i="15"/>
  <c r="AL48" i="15" s="1"/>
  <c r="W48" i="15"/>
  <c r="AM48" i="15" s="1"/>
  <c r="X48" i="15"/>
  <c r="AN48" i="15" s="1"/>
  <c r="Y48" i="15"/>
  <c r="AA48" i="15"/>
  <c r="AB48" i="15"/>
  <c r="AC48" i="15"/>
  <c r="AD48" i="15"/>
  <c r="AE48" i="15"/>
  <c r="AF48" i="15"/>
  <c r="AG48" i="15"/>
  <c r="AO48" i="15"/>
  <c r="AQ48" i="15"/>
  <c r="AR48" i="15"/>
  <c r="AS48" i="15"/>
  <c r="AT48" i="15"/>
  <c r="AU48" i="15"/>
  <c r="AV48" i="15"/>
  <c r="AW48" i="15"/>
  <c r="S49" i="15"/>
  <c r="AI49" i="15" s="1"/>
  <c r="T49" i="15"/>
  <c r="AJ49" i="15" s="1"/>
  <c r="U49" i="15"/>
  <c r="AK49" i="15" s="1"/>
  <c r="V49" i="15"/>
  <c r="W49" i="15"/>
  <c r="AM49" i="15" s="1"/>
  <c r="X49" i="15"/>
  <c r="Y49" i="15"/>
  <c r="AA49" i="15"/>
  <c r="AB49" i="15"/>
  <c r="AC49" i="15"/>
  <c r="AD49" i="15"/>
  <c r="AE49" i="15"/>
  <c r="AF49" i="15"/>
  <c r="AG49" i="15"/>
  <c r="AL49" i="15"/>
  <c r="AN49" i="15"/>
  <c r="AO49" i="15"/>
  <c r="AQ49" i="15"/>
  <c r="AR49" i="15"/>
  <c r="AS49" i="15"/>
  <c r="AT49" i="15"/>
  <c r="AU49" i="15"/>
  <c r="AV49" i="15"/>
  <c r="AW49" i="15"/>
  <c r="S50" i="15"/>
  <c r="AI50" i="15" s="1"/>
  <c r="T50" i="15"/>
  <c r="U50" i="15"/>
  <c r="V50" i="15"/>
  <c r="AL50" i="15" s="1"/>
  <c r="W50" i="15"/>
  <c r="AM50" i="15" s="1"/>
  <c r="X50" i="15"/>
  <c r="Y50" i="15"/>
  <c r="AO50" i="15" s="1"/>
  <c r="AA50" i="15"/>
  <c r="AB50" i="15"/>
  <c r="AC50" i="15"/>
  <c r="AD50" i="15"/>
  <c r="AE50" i="15"/>
  <c r="AF50" i="15"/>
  <c r="AG50" i="15"/>
  <c r="AJ50" i="15"/>
  <c r="AK50" i="15"/>
  <c r="AN50" i="15"/>
  <c r="AQ50" i="15"/>
  <c r="AR50" i="15"/>
  <c r="AS50" i="15"/>
  <c r="AT50" i="15"/>
  <c r="AU50" i="15"/>
  <c r="AV50" i="15"/>
  <c r="AW50" i="15"/>
  <c r="S51" i="15"/>
  <c r="AI51" i="15" s="1"/>
  <c r="T51" i="15"/>
  <c r="U51" i="15"/>
  <c r="V51" i="15"/>
  <c r="AL51" i="15" s="1"/>
  <c r="W51" i="15"/>
  <c r="AM51" i="15" s="1"/>
  <c r="X51" i="15"/>
  <c r="AN51" i="15" s="1"/>
  <c r="Y51" i="15"/>
  <c r="AO51" i="15" s="1"/>
  <c r="AA51" i="15"/>
  <c r="AB51" i="15"/>
  <c r="AC51" i="15"/>
  <c r="AD51" i="15"/>
  <c r="AE51" i="15"/>
  <c r="AF51" i="15"/>
  <c r="AG51" i="15"/>
  <c r="AJ51" i="15"/>
  <c r="AK51" i="15"/>
  <c r="AQ51" i="15"/>
  <c r="AR51" i="15"/>
  <c r="AS51" i="15"/>
  <c r="AT51" i="15"/>
  <c r="AU51" i="15"/>
  <c r="AV51" i="15"/>
  <c r="AW51" i="15"/>
  <c r="S52" i="15"/>
  <c r="AI52" i="15" s="1"/>
  <c r="T52" i="15"/>
  <c r="AJ52" i="15" s="1"/>
  <c r="U52" i="15"/>
  <c r="V52" i="15"/>
  <c r="AL52" i="15" s="1"/>
  <c r="W52" i="15"/>
  <c r="AM52" i="15" s="1"/>
  <c r="X52" i="15"/>
  <c r="AN52" i="15" s="1"/>
  <c r="Y52" i="15"/>
  <c r="AA52" i="15"/>
  <c r="AB52" i="15"/>
  <c r="AC52" i="15"/>
  <c r="AD52" i="15"/>
  <c r="AE52" i="15"/>
  <c r="AF52" i="15"/>
  <c r="AG52" i="15"/>
  <c r="AK52" i="15"/>
  <c r="AO52" i="15"/>
  <c r="AQ52" i="15"/>
  <c r="AR52" i="15"/>
  <c r="AS52" i="15"/>
  <c r="AT52" i="15"/>
  <c r="AU52" i="15"/>
  <c r="AV52" i="15"/>
  <c r="AW52" i="15"/>
  <c r="S53" i="15"/>
  <c r="AI53" i="15" s="1"/>
  <c r="T53" i="15"/>
  <c r="U53" i="15"/>
  <c r="AK53" i="15" s="1"/>
  <c r="V53" i="15"/>
  <c r="AL53" i="15" s="1"/>
  <c r="W53" i="15"/>
  <c r="AM53" i="15" s="1"/>
  <c r="X53" i="15"/>
  <c r="Y53" i="15"/>
  <c r="AA53" i="15"/>
  <c r="AB53" i="15"/>
  <c r="AC53" i="15"/>
  <c r="AD53" i="15"/>
  <c r="AE53" i="15"/>
  <c r="AF53" i="15"/>
  <c r="AG53" i="15"/>
  <c r="AJ53" i="15"/>
  <c r="AN53" i="15"/>
  <c r="AO53" i="15"/>
  <c r="AQ53" i="15"/>
  <c r="AR53" i="15"/>
  <c r="AS53" i="15"/>
  <c r="AT53" i="15"/>
  <c r="AU53" i="15"/>
  <c r="AV53" i="15"/>
  <c r="AW53" i="15"/>
  <c r="S54" i="15"/>
  <c r="AI54" i="15" s="1"/>
  <c r="T54" i="15"/>
  <c r="AJ54" i="15" s="1"/>
  <c r="U54" i="15"/>
  <c r="AK54" i="15" s="1"/>
  <c r="V54" i="15"/>
  <c r="AL54" i="15" s="1"/>
  <c r="W54" i="15"/>
  <c r="AM54" i="15" s="1"/>
  <c r="X54" i="15"/>
  <c r="Y54" i="15"/>
  <c r="AA54" i="15"/>
  <c r="AB54" i="15"/>
  <c r="AC54" i="15"/>
  <c r="AD54" i="15"/>
  <c r="AE54" i="15"/>
  <c r="AF54" i="15"/>
  <c r="AG54" i="15"/>
  <c r="AN54" i="15"/>
  <c r="AO54" i="15"/>
  <c r="AQ54" i="15"/>
  <c r="AR54" i="15"/>
  <c r="AS54" i="15"/>
  <c r="AT54" i="15"/>
  <c r="AU54" i="15"/>
  <c r="AV54" i="15"/>
  <c r="AW54" i="15"/>
  <c r="S55" i="15"/>
  <c r="AI55" i="15" s="1"/>
  <c r="T55" i="15"/>
  <c r="AJ55" i="15" s="1"/>
  <c r="U55" i="15"/>
  <c r="V55" i="15"/>
  <c r="W55" i="15"/>
  <c r="AM55" i="15" s="1"/>
  <c r="X55" i="15"/>
  <c r="Y55" i="15"/>
  <c r="AA55" i="15"/>
  <c r="AB55" i="15"/>
  <c r="AC55" i="15"/>
  <c r="AD55" i="15"/>
  <c r="AE55" i="15"/>
  <c r="AF55" i="15"/>
  <c r="AG55" i="15"/>
  <c r="AK55" i="15"/>
  <c r="AL55" i="15"/>
  <c r="AN55" i="15"/>
  <c r="AO55" i="15"/>
  <c r="AQ55" i="15"/>
  <c r="AR55" i="15"/>
  <c r="AS55" i="15"/>
  <c r="AT55" i="15"/>
  <c r="AU55" i="15"/>
  <c r="AV55" i="15"/>
  <c r="AW55" i="15"/>
  <c r="S56" i="15"/>
  <c r="AI56" i="15" s="1"/>
  <c r="T56" i="15"/>
  <c r="U56" i="15"/>
  <c r="V56" i="15"/>
  <c r="AL56" i="15" s="1"/>
  <c r="W56" i="15"/>
  <c r="AM56" i="15" s="1"/>
  <c r="X56" i="15"/>
  <c r="AN56" i="15" s="1"/>
  <c r="Y56" i="15"/>
  <c r="AO56" i="15" s="1"/>
  <c r="AA56" i="15"/>
  <c r="AB56" i="15"/>
  <c r="AC56" i="15"/>
  <c r="AD56" i="15"/>
  <c r="AE56" i="15"/>
  <c r="AF56" i="15"/>
  <c r="AG56" i="15"/>
  <c r="AJ56" i="15"/>
  <c r="AK56" i="15"/>
  <c r="AQ56" i="15"/>
  <c r="AR56" i="15"/>
  <c r="AS56" i="15"/>
  <c r="AT56" i="15"/>
  <c r="AU56" i="15"/>
  <c r="AV56" i="15"/>
  <c r="AW56" i="15"/>
  <c r="S57" i="15"/>
  <c r="AI57" i="15" s="1"/>
  <c r="T57" i="15"/>
  <c r="U57" i="15"/>
  <c r="AK57" i="15" s="1"/>
  <c r="V57" i="15"/>
  <c r="W57" i="15"/>
  <c r="AM57" i="15" s="1"/>
  <c r="X57" i="15"/>
  <c r="AN57" i="15" s="1"/>
  <c r="Y57" i="15"/>
  <c r="AO57" i="15" s="1"/>
  <c r="AA57" i="15"/>
  <c r="AB57" i="15"/>
  <c r="AC57" i="15"/>
  <c r="AD57" i="15"/>
  <c r="AE57" i="15"/>
  <c r="AF57" i="15"/>
  <c r="AG57" i="15"/>
  <c r="AJ57" i="15"/>
  <c r="AL57" i="15"/>
  <c r="AQ57" i="15"/>
  <c r="AR57" i="15"/>
  <c r="AS57" i="15"/>
  <c r="AT57" i="15"/>
  <c r="AU57" i="15"/>
  <c r="AV57" i="15"/>
  <c r="AW57" i="15"/>
  <c r="S58" i="15"/>
  <c r="AI58" i="15" s="1"/>
  <c r="T58" i="15"/>
  <c r="U58" i="15"/>
  <c r="AK58" i="15" s="1"/>
  <c r="V58" i="15"/>
  <c r="AL58" i="15" s="1"/>
  <c r="W58" i="15"/>
  <c r="AM58" i="15" s="1"/>
  <c r="X58" i="15"/>
  <c r="Y58" i="15"/>
  <c r="AO58" i="15" s="1"/>
  <c r="AA58" i="15"/>
  <c r="AB58" i="15"/>
  <c r="AC58" i="15"/>
  <c r="AD58" i="15"/>
  <c r="AE58" i="15"/>
  <c r="AF58" i="15"/>
  <c r="AG58" i="15"/>
  <c r="AJ58" i="15"/>
  <c r="AN58" i="15"/>
  <c r="AQ58" i="15"/>
  <c r="AR58" i="15"/>
  <c r="AS58" i="15"/>
  <c r="AT58" i="15"/>
  <c r="AU58" i="15"/>
  <c r="AV58" i="15"/>
  <c r="AW58" i="15"/>
  <c r="S59" i="15"/>
  <c r="AI59" i="15" s="1"/>
  <c r="T59" i="15"/>
  <c r="AJ59" i="15" s="1"/>
  <c r="U59" i="15"/>
  <c r="AK59" i="15" s="1"/>
  <c r="V59" i="15"/>
  <c r="AL59" i="15" s="1"/>
  <c r="W59" i="15"/>
  <c r="AM59" i="15" s="1"/>
  <c r="X59" i="15"/>
  <c r="Y59" i="15"/>
  <c r="AA59" i="15"/>
  <c r="AB59" i="15"/>
  <c r="AC59" i="15"/>
  <c r="AD59" i="15"/>
  <c r="AE59" i="15"/>
  <c r="AF59" i="15"/>
  <c r="AG59" i="15"/>
  <c r="AN59" i="15"/>
  <c r="AO59" i="15"/>
  <c r="AQ59" i="15"/>
  <c r="AR59" i="15"/>
  <c r="AS59" i="15"/>
  <c r="AT59" i="15"/>
  <c r="AU59" i="15"/>
  <c r="AV59" i="15"/>
  <c r="AW59" i="15"/>
  <c r="S60" i="15"/>
  <c r="AI60" i="15" s="1"/>
  <c r="T60" i="15"/>
  <c r="AJ60" i="15" s="1"/>
  <c r="U60" i="15"/>
  <c r="V60" i="15"/>
  <c r="AL60" i="15" s="1"/>
  <c r="W60" i="15"/>
  <c r="AM60" i="15" s="1"/>
  <c r="X60" i="15"/>
  <c r="Y60" i="15"/>
  <c r="AA60" i="15"/>
  <c r="AB60" i="15"/>
  <c r="AC60" i="15"/>
  <c r="AD60" i="15"/>
  <c r="AE60" i="15"/>
  <c r="AF60" i="15"/>
  <c r="AG60" i="15"/>
  <c r="AK60" i="15"/>
  <c r="AN60" i="15"/>
  <c r="AO60" i="15"/>
  <c r="AQ60" i="15"/>
  <c r="AR60" i="15"/>
  <c r="AS60" i="15"/>
  <c r="AT60" i="15"/>
  <c r="AU60" i="15"/>
  <c r="AV60" i="15"/>
  <c r="AW60" i="15"/>
  <c r="S61" i="15"/>
  <c r="AI61" i="15" s="1"/>
  <c r="T61" i="15"/>
  <c r="U61" i="15"/>
  <c r="V61" i="15"/>
  <c r="W61" i="15"/>
  <c r="AM61" i="15" s="1"/>
  <c r="X61" i="15"/>
  <c r="Y61" i="15"/>
  <c r="AO61" i="15" s="1"/>
  <c r="AA61" i="15"/>
  <c r="AB61" i="15"/>
  <c r="AC61" i="15"/>
  <c r="AD61" i="15"/>
  <c r="AE61" i="15"/>
  <c r="AF61" i="15"/>
  <c r="AG61" i="15"/>
  <c r="AJ61" i="15"/>
  <c r="AK61" i="15"/>
  <c r="AL61" i="15"/>
  <c r="AN61" i="15"/>
  <c r="AQ61" i="15"/>
  <c r="AR61" i="15"/>
  <c r="AS61" i="15"/>
  <c r="AT61" i="15"/>
  <c r="AU61" i="15"/>
  <c r="AV61" i="15"/>
  <c r="AW61" i="15"/>
  <c r="S62" i="15"/>
  <c r="AI62" i="15" s="1"/>
  <c r="T62" i="15"/>
  <c r="U62" i="15"/>
  <c r="AK62" i="15" s="1"/>
  <c r="V62" i="15"/>
  <c r="AL62" i="15" s="1"/>
  <c r="W62" i="15"/>
  <c r="AM62" i="15" s="1"/>
  <c r="X62" i="15"/>
  <c r="AN62" i="15" s="1"/>
  <c r="Y62" i="15"/>
  <c r="AO62" i="15" s="1"/>
  <c r="AA62" i="15"/>
  <c r="AB62" i="15"/>
  <c r="AC62" i="15"/>
  <c r="AD62" i="15"/>
  <c r="AE62" i="15"/>
  <c r="AF62" i="15"/>
  <c r="AG62" i="15"/>
  <c r="AJ62" i="15"/>
  <c r="AQ62" i="15"/>
  <c r="AR62" i="15"/>
  <c r="AS62" i="15"/>
  <c r="AT62" i="15"/>
  <c r="AU62" i="15"/>
  <c r="AV62" i="15"/>
  <c r="AW62" i="15"/>
  <c r="S63" i="15"/>
  <c r="AI63" i="15" s="1"/>
  <c r="T63" i="15"/>
  <c r="AJ63" i="15" s="1"/>
  <c r="U63" i="15"/>
  <c r="V63" i="15"/>
  <c r="AL63" i="15" s="1"/>
  <c r="W63" i="15"/>
  <c r="AM63" i="15" s="1"/>
  <c r="X63" i="15"/>
  <c r="AN63" i="15" s="1"/>
  <c r="Y63" i="15"/>
  <c r="AA63" i="15"/>
  <c r="AB63" i="15"/>
  <c r="AC63" i="15"/>
  <c r="AD63" i="15"/>
  <c r="AE63" i="15"/>
  <c r="AF63" i="15"/>
  <c r="AG63" i="15"/>
  <c r="AK63" i="15"/>
  <c r="AO63" i="15"/>
  <c r="AQ63" i="15"/>
  <c r="AR63" i="15"/>
  <c r="AS63" i="15"/>
  <c r="AT63" i="15"/>
  <c r="AU63" i="15"/>
  <c r="AV63" i="15"/>
  <c r="AW63" i="15"/>
  <c r="S64" i="15"/>
  <c r="AI64" i="15" s="1"/>
  <c r="T64" i="15"/>
  <c r="AJ64" i="15" s="1"/>
  <c r="U64" i="15"/>
  <c r="AK64" i="15" s="1"/>
  <c r="V64" i="15"/>
  <c r="AL64" i="15" s="1"/>
  <c r="W64" i="15"/>
  <c r="AM64" i="15" s="1"/>
  <c r="X64" i="15"/>
  <c r="AN64" i="15" s="1"/>
  <c r="Y64" i="15"/>
  <c r="AA64" i="15"/>
  <c r="AB64" i="15"/>
  <c r="AC64" i="15"/>
  <c r="AD64" i="15"/>
  <c r="AE64" i="15"/>
  <c r="AF64" i="15"/>
  <c r="AG64" i="15"/>
  <c r="AO64" i="15"/>
  <c r="AQ64" i="15"/>
  <c r="AR64" i="15"/>
  <c r="AS64" i="15"/>
  <c r="AT64" i="15"/>
  <c r="AU64" i="15"/>
  <c r="AV64" i="15"/>
  <c r="AW64" i="15"/>
  <c r="S65" i="15"/>
  <c r="AI65" i="15" s="1"/>
  <c r="T65" i="15"/>
  <c r="AJ65" i="15" s="1"/>
  <c r="U65" i="15"/>
  <c r="AK65" i="15" s="1"/>
  <c r="V65" i="15"/>
  <c r="W65" i="15"/>
  <c r="AM65" i="15" s="1"/>
  <c r="X65" i="15"/>
  <c r="Y65" i="15"/>
  <c r="AA65" i="15"/>
  <c r="AB65" i="15"/>
  <c r="AC65" i="15"/>
  <c r="AD65" i="15"/>
  <c r="AE65" i="15"/>
  <c r="AF65" i="15"/>
  <c r="AG65" i="15"/>
  <c r="AL65" i="15"/>
  <c r="AN65" i="15"/>
  <c r="AO65" i="15"/>
  <c r="AQ65" i="15"/>
  <c r="AR65" i="15"/>
  <c r="AS65" i="15"/>
  <c r="AT65" i="15"/>
  <c r="AU65" i="15"/>
  <c r="AV65" i="15"/>
  <c r="AW65" i="15"/>
  <c r="S66" i="15"/>
  <c r="AI66" i="15" s="1"/>
  <c r="T66" i="15"/>
  <c r="U66" i="15"/>
  <c r="V66" i="15"/>
  <c r="AL66" i="15" s="1"/>
  <c r="W66" i="15"/>
  <c r="AM66" i="15" s="1"/>
  <c r="X66" i="15"/>
  <c r="Y66" i="15"/>
  <c r="AO66" i="15" s="1"/>
  <c r="AA66" i="15"/>
  <c r="AB66" i="15"/>
  <c r="AC66" i="15"/>
  <c r="AD66" i="15"/>
  <c r="AE66" i="15"/>
  <c r="AF66" i="15"/>
  <c r="AG66" i="15"/>
  <c r="AJ66" i="15"/>
  <c r="AK66" i="15"/>
  <c r="AN66" i="15"/>
  <c r="AQ66" i="15"/>
  <c r="AR66" i="15"/>
  <c r="AS66" i="15"/>
  <c r="AT66" i="15"/>
  <c r="AU66" i="15"/>
  <c r="AV66" i="15"/>
  <c r="AW66" i="15"/>
  <c r="S67" i="15"/>
  <c r="AI67" i="15" s="1"/>
  <c r="T67" i="15"/>
  <c r="U67" i="15"/>
  <c r="V67" i="15"/>
  <c r="AL67" i="15" s="1"/>
  <c r="W67" i="15"/>
  <c r="AM67" i="15" s="1"/>
  <c r="X67" i="15"/>
  <c r="AN67" i="15" s="1"/>
  <c r="Y67" i="15"/>
  <c r="AO67" i="15" s="1"/>
  <c r="AA67" i="15"/>
  <c r="AB67" i="15"/>
  <c r="AC67" i="15"/>
  <c r="AD67" i="15"/>
  <c r="AE67" i="15"/>
  <c r="AF67" i="15"/>
  <c r="AG67" i="15"/>
  <c r="AJ67" i="15"/>
  <c r="AK67" i="15"/>
  <c r="AQ67" i="15"/>
  <c r="AR67" i="15"/>
  <c r="AS67" i="15"/>
  <c r="AT67" i="15"/>
  <c r="AU67" i="15"/>
  <c r="AV67" i="15"/>
  <c r="AW67" i="15"/>
  <c r="S68" i="15"/>
  <c r="AI68" i="15" s="1"/>
  <c r="T68" i="15"/>
  <c r="AJ68" i="15" s="1"/>
  <c r="U68" i="15"/>
  <c r="V68" i="15"/>
  <c r="AL68" i="15" s="1"/>
  <c r="W68" i="15"/>
  <c r="AM68" i="15" s="1"/>
  <c r="X68" i="15"/>
  <c r="AN68" i="15" s="1"/>
  <c r="Y68" i="15"/>
  <c r="AA68" i="15"/>
  <c r="AB68" i="15"/>
  <c r="AC68" i="15"/>
  <c r="AD68" i="15"/>
  <c r="AE68" i="15"/>
  <c r="AF68" i="15"/>
  <c r="AG68" i="15"/>
  <c r="AK68" i="15"/>
  <c r="AO68" i="15"/>
  <c r="AQ68" i="15"/>
  <c r="AR68" i="15"/>
  <c r="AS68" i="15"/>
  <c r="AT68" i="15"/>
  <c r="AU68" i="15"/>
  <c r="AV68" i="15"/>
  <c r="AW68" i="15"/>
  <c r="S69" i="15"/>
  <c r="AI69" i="15" s="1"/>
  <c r="T69" i="15"/>
  <c r="U69" i="15"/>
  <c r="AK69" i="15" s="1"/>
  <c r="V69" i="15"/>
  <c r="AL69" i="15" s="1"/>
  <c r="W69" i="15"/>
  <c r="AM69" i="15" s="1"/>
  <c r="X69" i="15"/>
  <c r="Y69" i="15"/>
  <c r="AA69" i="15"/>
  <c r="AB69" i="15"/>
  <c r="AC69" i="15"/>
  <c r="AD69" i="15"/>
  <c r="AE69" i="15"/>
  <c r="AF69" i="15"/>
  <c r="AG69" i="15"/>
  <c r="AJ69" i="15"/>
  <c r="AN69" i="15"/>
  <c r="AO69" i="15"/>
  <c r="AQ69" i="15"/>
  <c r="AR69" i="15"/>
  <c r="AS69" i="15"/>
  <c r="AT69" i="15"/>
  <c r="AU69" i="15"/>
  <c r="AV69" i="15"/>
  <c r="AW69" i="15"/>
  <c r="S71" i="15"/>
  <c r="AI71" i="15" s="1"/>
  <c r="T71" i="15"/>
  <c r="AJ71" i="15" s="1"/>
  <c r="U71" i="15"/>
  <c r="AK71" i="15" s="1"/>
  <c r="V71" i="15"/>
  <c r="W71" i="15"/>
  <c r="AM71" i="15" s="1"/>
  <c r="X71" i="15"/>
  <c r="Y71" i="15"/>
  <c r="AA71" i="15"/>
  <c r="AB71" i="15"/>
  <c r="AC71" i="15"/>
  <c r="AD71" i="15"/>
  <c r="AE71" i="15"/>
  <c r="AF71" i="15"/>
  <c r="AG71" i="15"/>
  <c r="AL71" i="15"/>
  <c r="AN71" i="15"/>
  <c r="AO71" i="15"/>
  <c r="AQ71" i="15"/>
  <c r="AR71" i="15"/>
  <c r="AS71" i="15"/>
  <c r="AT71" i="15"/>
  <c r="AU71" i="15"/>
  <c r="AV71" i="15"/>
  <c r="AW71" i="15"/>
  <c r="S72" i="15"/>
  <c r="AI72" i="15" s="1"/>
  <c r="T72" i="15"/>
  <c r="U72" i="15"/>
  <c r="V72" i="15"/>
  <c r="AL72" i="15" s="1"/>
  <c r="W72" i="15"/>
  <c r="AM72" i="15" s="1"/>
  <c r="X72" i="15"/>
  <c r="Y72" i="15"/>
  <c r="AO72" i="15" s="1"/>
  <c r="AA72" i="15"/>
  <c r="AB72" i="15"/>
  <c r="AC72" i="15"/>
  <c r="AD72" i="15"/>
  <c r="AE72" i="15"/>
  <c r="AF72" i="15"/>
  <c r="AG72" i="15"/>
  <c r="AJ72" i="15"/>
  <c r="AK72" i="15"/>
  <c r="AN72" i="15"/>
  <c r="AQ72" i="15"/>
  <c r="AR72" i="15"/>
  <c r="AS72" i="15"/>
  <c r="AT72" i="15"/>
  <c r="AU72" i="15"/>
  <c r="AV72" i="15"/>
  <c r="AW72" i="15"/>
  <c r="S73" i="15"/>
  <c r="AI73" i="15" s="1"/>
  <c r="T73" i="15"/>
  <c r="U73" i="15"/>
  <c r="V73" i="15"/>
  <c r="AL73" i="15" s="1"/>
  <c r="W73" i="15"/>
  <c r="AM73" i="15" s="1"/>
  <c r="X73" i="15"/>
  <c r="AN73" i="15" s="1"/>
  <c r="Y73" i="15"/>
  <c r="AO73" i="15" s="1"/>
  <c r="AA73" i="15"/>
  <c r="AB73" i="15"/>
  <c r="AC73" i="15"/>
  <c r="AD73" i="15"/>
  <c r="AE73" i="15"/>
  <c r="AF73" i="15"/>
  <c r="AG73" i="15"/>
  <c r="AJ73" i="15"/>
  <c r="AK73" i="15"/>
  <c r="AQ73" i="15"/>
  <c r="AR73" i="15"/>
  <c r="AS73" i="15"/>
  <c r="AT73" i="15"/>
  <c r="AU73" i="15"/>
  <c r="AV73" i="15"/>
  <c r="AW73" i="15"/>
  <c r="S74" i="15"/>
  <c r="AI74" i="15" s="1"/>
  <c r="T74" i="15"/>
  <c r="AJ74" i="15" s="1"/>
  <c r="U74" i="15"/>
  <c r="V74" i="15"/>
  <c r="AL74" i="15" s="1"/>
  <c r="W74" i="15"/>
  <c r="AM74" i="15" s="1"/>
  <c r="X74" i="15"/>
  <c r="AN74" i="15" s="1"/>
  <c r="Y74" i="15"/>
  <c r="AA74" i="15"/>
  <c r="AB74" i="15"/>
  <c r="AC74" i="15"/>
  <c r="AD74" i="15"/>
  <c r="AE74" i="15"/>
  <c r="AF74" i="15"/>
  <c r="AG74" i="15"/>
  <c r="AK74" i="15"/>
  <c r="AO74" i="15"/>
  <c r="AQ74" i="15"/>
  <c r="AR74" i="15"/>
  <c r="AS74" i="15"/>
  <c r="AT74" i="15"/>
  <c r="AU74" i="15"/>
  <c r="AV74" i="15"/>
  <c r="AW74" i="15"/>
  <c r="S75" i="15"/>
  <c r="AI75" i="15" s="1"/>
  <c r="T75" i="15"/>
  <c r="U75" i="15"/>
  <c r="AK75" i="15" s="1"/>
  <c r="V75" i="15"/>
  <c r="AL75" i="15" s="1"/>
  <c r="W75" i="15"/>
  <c r="AM75" i="15" s="1"/>
  <c r="X75" i="15"/>
  <c r="Y75" i="15"/>
  <c r="AA75" i="15"/>
  <c r="AB75" i="15"/>
  <c r="AC75" i="15"/>
  <c r="AD75" i="15"/>
  <c r="AE75" i="15"/>
  <c r="AF75" i="15"/>
  <c r="AG75" i="15"/>
  <c r="AJ75" i="15"/>
  <c r="AN75" i="15"/>
  <c r="AO75" i="15"/>
  <c r="AQ75" i="15"/>
  <c r="AR75" i="15"/>
  <c r="AS75" i="15"/>
  <c r="AT75" i="15"/>
  <c r="AU75" i="15"/>
  <c r="AV75" i="15"/>
  <c r="AW75" i="15"/>
  <c r="S76" i="15"/>
  <c r="AI76" i="15" s="1"/>
  <c r="T76" i="15"/>
  <c r="AJ76" i="15" s="1"/>
  <c r="U76" i="15"/>
  <c r="AK76" i="15" s="1"/>
  <c r="V76" i="15"/>
  <c r="AL76" i="15" s="1"/>
  <c r="W76" i="15"/>
  <c r="AM76" i="15" s="1"/>
  <c r="X76" i="15"/>
  <c r="Y76" i="15"/>
  <c r="AA76" i="15"/>
  <c r="AB76" i="15"/>
  <c r="AC76" i="15"/>
  <c r="AD76" i="15"/>
  <c r="AE76" i="15"/>
  <c r="AF76" i="15"/>
  <c r="AG76" i="15"/>
  <c r="AN76" i="15"/>
  <c r="AO76" i="15"/>
  <c r="AQ76" i="15"/>
  <c r="AR76" i="15"/>
  <c r="AS76" i="15"/>
  <c r="AT76" i="15"/>
  <c r="AU76" i="15"/>
  <c r="AV76" i="15"/>
  <c r="AW76" i="15"/>
  <c r="S77" i="15"/>
  <c r="AI77" i="15" s="1"/>
  <c r="T77" i="15"/>
  <c r="AJ77" i="15" s="1"/>
  <c r="U77" i="15"/>
  <c r="V77" i="15"/>
  <c r="W77" i="15"/>
  <c r="AM77" i="15" s="1"/>
  <c r="X77" i="15"/>
  <c r="Y77" i="15"/>
  <c r="AO77" i="15" s="1"/>
  <c r="AA77" i="15"/>
  <c r="AB77" i="15"/>
  <c r="AC77" i="15"/>
  <c r="AD77" i="15"/>
  <c r="AE77" i="15"/>
  <c r="AF77" i="15"/>
  <c r="AG77" i="15"/>
  <c r="AK77" i="15"/>
  <c r="AL77" i="15"/>
  <c r="AN77" i="15"/>
  <c r="AQ77" i="15"/>
  <c r="AR77" i="15"/>
  <c r="AS77" i="15"/>
  <c r="AT77" i="15"/>
  <c r="AU77" i="15"/>
  <c r="AV77" i="15"/>
  <c r="AW77" i="15"/>
  <c r="S78" i="15"/>
  <c r="AI78" i="15" s="1"/>
  <c r="T78" i="15"/>
  <c r="U78" i="15"/>
  <c r="V78" i="15"/>
  <c r="AL78" i="15" s="1"/>
  <c r="W78" i="15"/>
  <c r="AM78" i="15" s="1"/>
  <c r="X78" i="15"/>
  <c r="AN78" i="15" s="1"/>
  <c r="Y78" i="15"/>
  <c r="AO78" i="15" s="1"/>
  <c r="AA78" i="15"/>
  <c r="AB78" i="15"/>
  <c r="AC78" i="15"/>
  <c r="AD78" i="15"/>
  <c r="AE78" i="15"/>
  <c r="AF78" i="15"/>
  <c r="AG78" i="15"/>
  <c r="AJ78" i="15"/>
  <c r="AK78" i="15"/>
  <c r="AQ78" i="15"/>
  <c r="AR78" i="15"/>
  <c r="AS78" i="15"/>
  <c r="AT78" i="15"/>
  <c r="AU78" i="15"/>
  <c r="AV78" i="15"/>
  <c r="AW78" i="15"/>
  <c r="S79" i="15"/>
  <c r="AI79" i="15" s="1"/>
  <c r="T79" i="15"/>
  <c r="U79" i="15"/>
  <c r="AK79" i="15" s="1"/>
  <c r="V79" i="15"/>
  <c r="W79" i="15"/>
  <c r="AM79" i="15" s="1"/>
  <c r="X79" i="15"/>
  <c r="AN79" i="15" s="1"/>
  <c r="Y79" i="15"/>
  <c r="AO79" i="15" s="1"/>
  <c r="AA79" i="15"/>
  <c r="AB79" i="15"/>
  <c r="AC79" i="15"/>
  <c r="AD79" i="15"/>
  <c r="AE79" i="15"/>
  <c r="AF79" i="15"/>
  <c r="AG79" i="15"/>
  <c r="AJ79" i="15"/>
  <c r="AL79" i="15"/>
  <c r="AQ79" i="15"/>
  <c r="AR79" i="15"/>
  <c r="AS79" i="15"/>
  <c r="AT79" i="15"/>
  <c r="AU79" i="15"/>
  <c r="AV79" i="15"/>
  <c r="AW79" i="15"/>
  <c r="S80" i="15"/>
  <c r="AI80" i="15" s="1"/>
  <c r="T80" i="15"/>
  <c r="U80" i="15"/>
  <c r="AK80" i="15" s="1"/>
  <c r="V80" i="15"/>
  <c r="AL80" i="15" s="1"/>
  <c r="W80" i="15"/>
  <c r="AM80" i="15" s="1"/>
  <c r="X80" i="15"/>
  <c r="Y80" i="15"/>
  <c r="AO80" i="15" s="1"/>
  <c r="AA80" i="15"/>
  <c r="AB80" i="15"/>
  <c r="AC80" i="15"/>
  <c r="AD80" i="15"/>
  <c r="AE80" i="15"/>
  <c r="AF80" i="15"/>
  <c r="AG80" i="15"/>
  <c r="AJ80" i="15"/>
  <c r="AN80" i="15"/>
  <c r="AQ80" i="15"/>
  <c r="AR80" i="15"/>
  <c r="AS80" i="15"/>
  <c r="AT80" i="15"/>
  <c r="AU80" i="15"/>
  <c r="AV80" i="15"/>
  <c r="AW80" i="15"/>
  <c r="S82" i="15"/>
  <c r="AI82" i="15" s="1"/>
  <c r="T82" i="15"/>
  <c r="AJ82" i="15" s="1"/>
  <c r="U82" i="15"/>
  <c r="AK82" i="15" s="1"/>
  <c r="V82" i="15"/>
  <c r="AL82" i="15" s="1"/>
  <c r="W82" i="15"/>
  <c r="AM82" i="15" s="1"/>
  <c r="X82" i="15"/>
  <c r="AN82" i="15" s="1"/>
  <c r="Y82" i="15"/>
  <c r="AA82" i="15"/>
  <c r="AB82" i="15"/>
  <c r="AC82" i="15"/>
  <c r="AD82" i="15"/>
  <c r="AE82" i="15"/>
  <c r="AF82" i="15"/>
  <c r="AG82" i="15"/>
  <c r="AO82" i="15"/>
  <c r="AQ82" i="15"/>
  <c r="AR82" i="15"/>
  <c r="AS82" i="15"/>
  <c r="AT82" i="15"/>
  <c r="AU82" i="15"/>
  <c r="AV82" i="15"/>
  <c r="AW82" i="15"/>
  <c r="S83" i="15"/>
  <c r="AI83" i="15" s="1"/>
  <c r="T83" i="15"/>
  <c r="AJ83" i="15" s="1"/>
  <c r="U83" i="15"/>
  <c r="AK83" i="15" s="1"/>
  <c r="V83" i="15"/>
  <c r="W83" i="15"/>
  <c r="AM83" i="15" s="1"/>
  <c r="X83" i="15"/>
  <c r="Y83" i="15"/>
  <c r="AA83" i="15"/>
  <c r="AB83" i="15"/>
  <c r="AC83" i="15"/>
  <c r="AD83" i="15"/>
  <c r="AE83" i="15"/>
  <c r="AF83" i="15"/>
  <c r="AG83" i="15"/>
  <c r="AL83" i="15"/>
  <c r="AN83" i="15"/>
  <c r="AO83" i="15"/>
  <c r="AQ83" i="15"/>
  <c r="AR83" i="15"/>
  <c r="AS83" i="15"/>
  <c r="AT83" i="15"/>
  <c r="AU83" i="15"/>
  <c r="AV83" i="15"/>
  <c r="AW83" i="15"/>
  <c r="S84" i="15"/>
  <c r="AI84" i="15" s="1"/>
  <c r="T84" i="15"/>
  <c r="U84" i="15"/>
  <c r="V84" i="15"/>
  <c r="AL84" i="15" s="1"/>
  <c r="W84" i="15"/>
  <c r="AM84" i="15" s="1"/>
  <c r="X84" i="15"/>
  <c r="Y84" i="15"/>
  <c r="AO84" i="15" s="1"/>
  <c r="AA84" i="15"/>
  <c r="AB84" i="15"/>
  <c r="AC84" i="15"/>
  <c r="AD84" i="15"/>
  <c r="AE84" i="15"/>
  <c r="AF84" i="15"/>
  <c r="AG84" i="15"/>
  <c r="AJ84" i="15"/>
  <c r="AK84" i="15"/>
  <c r="AN84" i="15"/>
  <c r="AQ84" i="15"/>
  <c r="AR84" i="15"/>
  <c r="AS84" i="15"/>
  <c r="AT84" i="15"/>
  <c r="AU84" i="15"/>
  <c r="AV84" i="15"/>
  <c r="AW84" i="15"/>
  <c r="S85" i="15"/>
  <c r="AI85" i="15" s="1"/>
  <c r="T85" i="15"/>
  <c r="U85" i="15"/>
  <c r="V85" i="15"/>
  <c r="AL85" i="15" s="1"/>
  <c r="W85" i="15"/>
  <c r="AM85" i="15" s="1"/>
  <c r="X85" i="15"/>
  <c r="AN85" i="15" s="1"/>
  <c r="Y85" i="15"/>
  <c r="AO85" i="15" s="1"/>
  <c r="AA85" i="15"/>
  <c r="AB85" i="15"/>
  <c r="AC85" i="15"/>
  <c r="AD85" i="15"/>
  <c r="AE85" i="15"/>
  <c r="AF85" i="15"/>
  <c r="AG85" i="15"/>
  <c r="AJ85" i="15"/>
  <c r="AK85" i="15"/>
  <c r="AQ85" i="15"/>
  <c r="AR85" i="15"/>
  <c r="AS85" i="15"/>
  <c r="AT85" i="15"/>
  <c r="AU85" i="15"/>
  <c r="AV85" i="15"/>
  <c r="AW85" i="15"/>
  <c r="S86" i="15"/>
  <c r="AI86" i="15" s="1"/>
  <c r="T86" i="15"/>
  <c r="AJ86" i="15" s="1"/>
  <c r="U86" i="15"/>
  <c r="V86" i="15"/>
  <c r="AL86" i="15" s="1"/>
  <c r="W86" i="15"/>
  <c r="AM86" i="15" s="1"/>
  <c r="X86" i="15"/>
  <c r="AN86" i="15" s="1"/>
  <c r="Y86" i="15"/>
  <c r="AA86" i="15"/>
  <c r="AB86" i="15"/>
  <c r="AC86" i="15"/>
  <c r="AD86" i="15"/>
  <c r="AE86" i="15"/>
  <c r="AF86" i="15"/>
  <c r="AG86" i="15"/>
  <c r="AK86" i="15"/>
  <c r="AO86" i="15"/>
  <c r="AQ86" i="15"/>
  <c r="AR86" i="15"/>
  <c r="AS86" i="15"/>
  <c r="AT86" i="15"/>
  <c r="AU86" i="15"/>
  <c r="AV86" i="15"/>
  <c r="AW86" i="15"/>
  <c r="S87" i="15"/>
  <c r="AI87" i="15" s="1"/>
  <c r="T87" i="15"/>
  <c r="U87" i="15"/>
  <c r="AK87" i="15" s="1"/>
  <c r="V87" i="15"/>
  <c r="AL87" i="15" s="1"/>
  <c r="W87" i="15"/>
  <c r="AM87" i="15" s="1"/>
  <c r="X87" i="15"/>
  <c r="Y87" i="15"/>
  <c r="AA87" i="15"/>
  <c r="AB87" i="15"/>
  <c r="AC87" i="15"/>
  <c r="AD87" i="15"/>
  <c r="AE87" i="15"/>
  <c r="AF87" i="15"/>
  <c r="AG87" i="15"/>
  <c r="AJ87" i="15"/>
  <c r="AN87" i="15"/>
  <c r="AO87" i="15"/>
  <c r="AQ87" i="15"/>
  <c r="AR87" i="15"/>
  <c r="AS87" i="15"/>
  <c r="AT87" i="15"/>
  <c r="AU87" i="15"/>
  <c r="AV87" i="15"/>
  <c r="AW87" i="15"/>
  <c r="S88" i="15"/>
  <c r="AI88" i="15" s="1"/>
  <c r="T88" i="15"/>
  <c r="AJ88" i="15" s="1"/>
  <c r="U88" i="15"/>
  <c r="AK88" i="15" s="1"/>
  <c r="V88" i="15"/>
  <c r="AL88" i="15" s="1"/>
  <c r="W88" i="15"/>
  <c r="AM88" i="15" s="1"/>
  <c r="X88" i="15"/>
  <c r="Y88" i="15"/>
  <c r="AA88" i="15"/>
  <c r="AB88" i="15"/>
  <c r="AC88" i="15"/>
  <c r="AD88" i="15"/>
  <c r="AE88" i="15"/>
  <c r="AF88" i="15"/>
  <c r="AG88" i="15"/>
  <c r="AN88" i="15"/>
  <c r="AO88" i="15"/>
  <c r="AQ88" i="15"/>
  <c r="AR88" i="15"/>
  <c r="AS88" i="15"/>
  <c r="AT88" i="15"/>
  <c r="AU88" i="15"/>
  <c r="AV88" i="15"/>
  <c r="AW88" i="15"/>
  <c r="S89" i="15"/>
  <c r="AI89" i="15" s="1"/>
  <c r="T89" i="15"/>
  <c r="AJ89" i="15" s="1"/>
  <c r="U89" i="15"/>
  <c r="V89" i="15"/>
  <c r="W89" i="15"/>
  <c r="AM89" i="15" s="1"/>
  <c r="X89" i="15"/>
  <c r="Y89" i="15"/>
  <c r="AA89" i="15"/>
  <c r="AB89" i="15"/>
  <c r="AC89" i="15"/>
  <c r="AD89" i="15"/>
  <c r="AE89" i="15"/>
  <c r="AF89" i="15"/>
  <c r="AG89" i="15"/>
  <c r="AK89" i="15"/>
  <c r="AL89" i="15"/>
  <c r="AN89" i="15"/>
  <c r="AO89" i="15"/>
  <c r="AQ89" i="15"/>
  <c r="AR89" i="15"/>
  <c r="AS89" i="15"/>
  <c r="AT89" i="15"/>
  <c r="AU89" i="15"/>
  <c r="AV89" i="15"/>
  <c r="AW89" i="15"/>
  <c r="S90" i="15"/>
  <c r="AI90" i="15" s="1"/>
  <c r="T90" i="15"/>
  <c r="U90" i="15"/>
  <c r="V90" i="15"/>
  <c r="AL90" i="15" s="1"/>
  <c r="W90" i="15"/>
  <c r="AM90" i="15" s="1"/>
  <c r="X90" i="15"/>
  <c r="AN90" i="15" s="1"/>
  <c r="Y90" i="15"/>
  <c r="AO90" i="15" s="1"/>
  <c r="AA90" i="15"/>
  <c r="AB90" i="15"/>
  <c r="AC90" i="15"/>
  <c r="AD90" i="15"/>
  <c r="AE90" i="15"/>
  <c r="AF90" i="15"/>
  <c r="AG90" i="15"/>
  <c r="AJ90" i="15"/>
  <c r="AK90" i="15"/>
  <c r="AQ90" i="15"/>
  <c r="AR90" i="15"/>
  <c r="AS90" i="15"/>
  <c r="AT90" i="15"/>
  <c r="AU90" i="15"/>
  <c r="AV90" i="15"/>
  <c r="AW90" i="15"/>
  <c r="S91" i="15"/>
  <c r="AI91" i="15" s="1"/>
  <c r="T91" i="15"/>
  <c r="U91" i="15"/>
  <c r="AK91" i="15" s="1"/>
  <c r="V91" i="15"/>
  <c r="W91" i="15"/>
  <c r="AM91" i="15" s="1"/>
  <c r="X91" i="15"/>
  <c r="AN91" i="15" s="1"/>
  <c r="Y91" i="15"/>
  <c r="AO91" i="15" s="1"/>
  <c r="AA91" i="15"/>
  <c r="AB91" i="15"/>
  <c r="AC91" i="15"/>
  <c r="AD91" i="15"/>
  <c r="AE91" i="15"/>
  <c r="AF91" i="15"/>
  <c r="AG91" i="15"/>
  <c r="AJ91" i="15"/>
  <c r="AL91" i="15"/>
  <c r="AQ91" i="15"/>
  <c r="AR91" i="15"/>
  <c r="AS91" i="15"/>
  <c r="AT91" i="15"/>
  <c r="AU91" i="15"/>
  <c r="AV91" i="15"/>
  <c r="AW91" i="15"/>
  <c r="AJ46" i="15" l="1"/>
  <c r="AN45" i="15"/>
  <c r="AK45" i="15"/>
  <c r="AO46" i="15"/>
  <c r="AN46" i="15"/>
  <c r="AM46" i="15"/>
  <c r="AL46" i="15"/>
  <c r="AM45" i="15"/>
  <c r="AL45" i="15"/>
  <c r="AK46" i="15"/>
  <c r="C216" i="21"/>
  <c r="H254" i="22"/>
  <c r="E254" i="22"/>
  <c r="C244" i="21" l="1"/>
  <c r="C243" i="21"/>
  <c r="C241" i="21"/>
  <c r="C240" i="21"/>
  <c r="C238" i="21"/>
  <c r="C237" i="21"/>
  <c r="C235" i="21"/>
  <c r="C234" i="21"/>
  <c r="C222" i="21"/>
  <c r="C221" i="21"/>
  <c r="C219" i="21"/>
  <c r="C217" i="21"/>
  <c r="C215" i="21"/>
  <c r="C213" i="21"/>
  <c r="C211" i="21"/>
  <c r="C209" i="21"/>
  <c r="C208" i="21"/>
  <c r="C207" i="21"/>
  <c r="C206" i="21"/>
  <c r="C205" i="21"/>
  <c r="C204" i="21"/>
  <c r="C203" i="21"/>
  <c r="C202" i="21"/>
  <c r="C201" i="21"/>
  <c r="C200" i="21"/>
  <c r="C198" i="21"/>
  <c r="C196" i="21"/>
  <c r="C194" i="21"/>
  <c r="C192" i="21"/>
  <c r="C190" i="21"/>
  <c r="C189" i="21"/>
  <c r="C188" i="21"/>
  <c r="C187" i="21"/>
  <c r="C186" i="21"/>
  <c r="C185" i="21"/>
  <c r="C184" i="21"/>
  <c r="C183" i="21"/>
  <c r="C182" i="21"/>
  <c r="C181" i="21"/>
  <c r="C180" i="21"/>
  <c r="C179" i="21"/>
  <c r="C178" i="21"/>
  <c r="C171" i="21"/>
  <c r="C170" i="21"/>
  <c r="C168" i="21"/>
  <c r="C166" i="21"/>
  <c r="C165" i="21"/>
  <c r="C164" i="21"/>
  <c r="C162" i="21"/>
  <c r="C160" i="21"/>
  <c r="C158" i="21"/>
  <c r="C156" i="21"/>
  <c r="C155" i="21"/>
  <c r="C154" i="21"/>
  <c r="C153" i="21"/>
  <c r="C152" i="21"/>
  <c r="C151" i="21"/>
  <c r="C150" i="21"/>
  <c r="C149" i="21"/>
  <c r="C148" i="21"/>
  <c r="C147" i="21"/>
  <c r="C145" i="21"/>
  <c r="C143" i="21"/>
  <c r="C141" i="21"/>
  <c r="C139" i="21"/>
  <c r="C137" i="21"/>
  <c r="C136" i="21"/>
  <c r="C135" i="21"/>
  <c r="C134" i="21"/>
  <c r="C133" i="21"/>
  <c r="C132" i="21"/>
  <c r="C131" i="21"/>
  <c r="C130" i="21"/>
  <c r="C129" i="21"/>
  <c r="C128" i="21"/>
  <c r="C127" i="21"/>
  <c r="C126" i="21"/>
  <c r="C125" i="21"/>
  <c r="C118" i="21"/>
  <c r="C117" i="21"/>
  <c r="C115" i="21"/>
  <c r="C113" i="21"/>
  <c r="C112" i="21"/>
  <c r="C111" i="21"/>
  <c r="C109" i="21"/>
  <c r="C107" i="21"/>
  <c r="C105" i="21"/>
  <c r="C103" i="21"/>
  <c r="C102" i="21"/>
  <c r="C101" i="21"/>
  <c r="C100" i="21"/>
  <c r="C99" i="21"/>
  <c r="C98" i="21"/>
  <c r="C97" i="21"/>
  <c r="C96" i="21"/>
  <c r="C95" i="21"/>
  <c r="C94" i="21"/>
  <c r="C92" i="21"/>
  <c r="C90" i="21"/>
  <c r="C88" i="21"/>
  <c r="C86" i="21"/>
  <c r="C84" i="21"/>
  <c r="C83" i="21"/>
  <c r="C82" i="21"/>
  <c r="C81" i="21"/>
  <c r="C80" i="21"/>
  <c r="C79" i="21"/>
  <c r="C78" i="21"/>
  <c r="C77" i="21"/>
  <c r="C76" i="21"/>
  <c r="C75" i="21"/>
  <c r="C74" i="21"/>
  <c r="C73" i="21"/>
  <c r="C72" i="21"/>
  <c r="AW450" i="15" l="1"/>
  <c r="AV450" i="15"/>
  <c r="AU450" i="15"/>
  <c r="AT450" i="15"/>
  <c r="AS450" i="15"/>
  <c r="AR450" i="15"/>
  <c r="AQ450" i="15"/>
  <c r="AW449" i="15"/>
  <c r="AV449" i="15"/>
  <c r="AU449" i="15"/>
  <c r="AT449" i="15"/>
  <c r="AS449" i="15"/>
  <c r="AR449" i="15"/>
  <c r="AQ449" i="15"/>
  <c r="AW448" i="15"/>
  <c r="AV448" i="15"/>
  <c r="AU448" i="15"/>
  <c r="AT448" i="15"/>
  <c r="AS448" i="15"/>
  <c r="AR448" i="15"/>
  <c r="AQ448" i="15"/>
  <c r="AW447" i="15"/>
  <c r="AV447" i="15"/>
  <c r="AU447" i="15"/>
  <c r="AT447" i="15"/>
  <c r="AS447" i="15"/>
  <c r="AR447" i="15"/>
  <c r="AQ447" i="15"/>
  <c r="AW446" i="15"/>
  <c r="AV446" i="15"/>
  <c r="AU446" i="15"/>
  <c r="AT446" i="15"/>
  <c r="AS446" i="15"/>
  <c r="AR446" i="15"/>
  <c r="AQ446" i="15"/>
  <c r="AW445" i="15"/>
  <c r="AV445" i="15"/>
  <c r="AU445" i="15"/>
  <c r="AT445" i="15"/>
  <c r="AS445" i="15"/>
  <c r="AR445" i="15"/>
  <c r="AQ445" i="15"/>
  <c r="AW444" i="15"/>
  <c r="AV444" i="15"/>
  <c r="AU444" i="15"/>
  <c r="AT444" i="15"/>
  <c r="AS444" i="15"/>
  <c r="AR444" i="15"/>
  <c r="AQ444" i="15"/>
  <c r="AW443" i="15"/>
  <c r="AV443" i="15"/>
  <c r="AU443" i="15"/>
  <c r="AT443" i="15"/>
  <c r="AS443" i="15"/>
  <c r="AR443" i="15"/>
  <c r="AQ443" i="15"/>
  <c r="AW442" i="15"/>
  <c r="AV442" i="15"/>
  <c r="AU442" i="15"/>
  <c r="AT442" i="15"/>
  <c r="AS442" i="15"/>
  <c r="AR442" i="15"/>
  <c r="AQ442" i="15"/>
  <c r="AW441" i="15"/>
  <c r="AV441" i="15"/>
  <c r="AU441" i="15"/>
  <c r="AT441" i="15"/>
  <c r="AS441" i="15"/>
  <c r="AR441" i="15"/>
  <c r="AQ441" i="15"/>
  <c r="AW432" i="15"/>
  <c r="AV432" i="15"/>
  <c r="AU432" i="15"/>
  <c r="AT432" i="15"/>
  <c r="AS432" i="15"/>
  <c r="AR432" i="15"/>
  <c r="AQ432" i="15"/>
  <c r="AW431" i="15"/>
  <c r="AV431" i="15"/>
  <c r="AU431" i="15"/>
  <c r="AT431" i="15"/>
  <c r="AS431" i="15"/>
  <c r="AR431" i="15"/>
  <c r="AQ431" i="15"/>
  <c r="AW430" i="15"/>
  <c r="AV430" i="15"/>
  <c r="AU430" i="15"/>
  <c r="AT430" i="15"/>
  <c r="AS430" i="15"/>
  <c r="AR430" i="15"/>
  <c r="AQ430" i="15"/>
  <c r="AW429" i="15"/>
  <c r="AV429" i="15"/>
  <c r="AU429" i="15"/>
  <c r="AT429" i="15"/>
  <c r="AS429" i="15"/>
  <c r="AR429" i="15"/>
  <c r="AQ429" i="15"/>
  <c r="AW428" i="15"/>
  <c r="AV428" i="15"/>
  <c r="AU428" i="15"/>
  <c r="AT428" i="15"/>
  <c r="AS428" i="15"/>
  <c r="AR428" i="15"/>
  <c r="AQ428" i="15"/>
  <c r="AW427" i="15"/>
  <c r="AV427" i="15"/>
  <c r="AU427" i="15"/>
  <c r="AT427" i="15"/>
  <c r="AS427" i="15"/>
  <c r="AR427" i="15"/>
  <c r="AQ427" i="15"/>
  <c r="AW426" i="15"/>
  <c r="AV426" i="15"/>
  <c r="AU426" i="15"/>
  <c r="AT426" i="15"/>
  <c r="AS426" i="15"/>
  <c r="AR426" i="15"/>
  <c r="AQ426" i="15"/>
  <c r="AW425" i="15"/>
  <c r="AV425" i="15"/>
  <c r="AU425" i="15"/>
  <c r="AT425" i="15"/>
  <c r="AS425" i="15"/>
  <c r="AR425" i="15"/>
  <c r="AQ425" i="15"/>
  <c r="AW424" i="15"/>
  <c r="AV424" i="15"/>
  <c r="AU424" i="15"/>
  <c r="AT424" i="15"/>
  <c r="AS424" i="15"/>
  <c r="AR424" i="15"/>
  <c r="AQ424" i="15"/>
  <c r="AW423" i="15"/>
  <c r="AV423" i="15"/>
  <c r="AU423" i="15"/>
  <c r="AT423" i="15"/>
  <c r="AS423" i="15"/>
  <c r="AR423" i="15"/>
  <c r="AQ423" i="15"/>
  <c r="AW422" i="15"/>
  <c r="AV422" i="15"/>
  <c r="AU422" i="15"/>
  <c r="AT422" i="15"/>
  <c r="AS422" i="15"/>
  <c r="AR422" i="15"/>
  <c r="AQ422" i="15"/>
  <c r="AW421" i="15"/>
  <c r="AV421" i="15"/>
  <c r="AU421" i="15"/>
  <c r="AT421" i="15"/>
  <c r="AS421" i="15"/>
  <c r="AR421" i="15"/>
  <c r="AQ421" i="15"/>
  <c r="AW420" i="15"/>
  <c r="AV420" i="15"/>
  <c r="AU420" i="15"/>
  <c r="AT420" i="15"/>
  <c r="AS420" i="15"/>
  <c r="AR420" i="15"/>
  <c r="AQ420" i="15"/>
  <c r="AW419" i="15"/>
  <c r="AV419" i="15"/>
  <c r="AU419" i="15"/>
  <c r="AT419" i="15"/>
  <c r="AS419" i="15"/>
  <c r="AR419" i="15"/>
  <c r="AQ419" i="15"/>
  <c r="AW418" i="15"/>
  <c r="AV418" i="15"/>
  <c r="AU418" i="15"/>
  <c r="AT418" i="15"/>
  <c r="AS418" i="15"/>
  <c r="AR418" i="15"/>
  <c r="AQ418" i="15"/>
  <c r="AW417" i="15"/>
  <c r="AV417" i="15"/>
  <c r="AU417" i="15"/>
  <c r="AT417" i="15"/>
  <c r="AS417" i="15"/>
  <c r="AR417" i="15"/>
  <c r="AQ417" i="15"/>
  <c r="AW416" i="15"/>
  <c r="AV416" i="15"/>
  <c r="AU416" i="15"/>
  <c r="AT416" i="15"/>
  <c r="AS416" i="15"/>
  <c r="AR416" i="15"/>
  <c r="AQ416" i="15"/>
  <c r="AW415" i="15"/>
  <c r="AV415" i="15"/>
  <c r="AU415" i="15"/>
  <c r="AT415" i="15"/>
  <c r="AS415" i="15"/>
  <c r="AR415" i="15"/>
  <c r="AQ415" i="15"/>
  <c r="AW414" i="15"/>
  <c r="AV414" i="15"/>
  <c r="AU414" i="15"/>
  <c r="AT414" i="15"/>
  <c r="AS414" i="15"/>
  <c r="AR414" i="15"/>
  <c r="AQ414" i="15"/>
  <c r="AW413" i="15"/>
  <c r="AV413" i="15"/>
  <c r="AU413" i="15"/>
  <c r="AT413" i="15"/>
  <c r="AS413" i="15"/>
  <c r="AR413" i="15"/>
  <c r="AQ413" i="15"/>
  <c r="AW404" i="15"/>
  <c r="AV404" i="15"/>
  <c r="AU404" i="15"/>
  <c r="AT404" i="15"/>
  <c r="AS404" i="15"/>
  <c r="AR404" i="15"/>
  <c r="AQ404" i="15"/>
  <c r="AW403" i="15"/>
  <c r="AV403" i="15"/>
  <c r="AU403" i="15"/>
  <c r="AT403" i="15"/>
  <c r="AS403" i="15"/>
  <c r="AR403" i="15"/>
  <c r="AQ403" i="15"/>
  <c r="AW402" i="15"/>
  <c r="AV402" i="15"/>
  <c r="AU402" i="15"/>
  <c r="AT402" i="15"/>
  <c r="AS402" i="15"/>
  <c r="AR402" i="15"/>
  <c r="AQ402" i="15"/>
  <c r="AW401" i="15"/>
  <c r="AV401" i="15"/>
  <c r="AU401" i="15"/>
  <c r="AT401" i="15"/>
  <c r="AS401" i="15"/>
  <c r="AR401" i="15"/>
  <c r="AQ401" i="15"/>
  <c r="AW400" i="15"/>
  <c r="AV400" i="15"/>
  <c r="AU400" i="15"/>
  <c r="AT400" i="15"/>
  <c r="AS400" i="15"/>
  <c r="AR400" i="15"/>
  <c r="AQ400" i="15"/>
  <c r="AW399" i="15"/>
  <c r="AV399" i="15"/>
  <c r="AU399" i="15"/>
  <c r="AT399" i="15"/>
  <c r="AS399" i="15"/>
  <c r="AR399" i="15"/>
  <c r="AQ399" i="15"/>
  <c r="AW398" i="15"/>
  <c r="AV398" i="15"/>
  <c r="AU398" i="15"/>
  <c r="AT398" i="15"/>
  <c r="AS398" i="15"/>
  <c r="AR398" i="15"/>
  <c r="AQ398" i="15"/>
  <c r="AW397" i="15"/>
  <c r="AV397" i="15"/>
  <c r="AU397" i="15"/>
  <c r="AT397" i="15"/>
  <c r="AS397" i="15"/>
  <c r="AR397" i="15"/>
  <c r="AQ397" i="15"/>
  <c r="AW396" i="15"/>
  <c r="AV396" i="15"/>
  <c r="AU396" i="15"/>
  <c r="AT396" i="15"/>
  <c r="AS396" i="15"/>
  <c r="AR396" i="15"/>
  <c r="AQ396" i="15"/>
  <c r="AW395" i="15"/>
  <c r="AV395" i="15"/>
  <c r="AU395" i="15"/>
  <c r="AT395" i="15"/>
  <c r="AS395" i="15"/>
  <c r="AR395" i="15"/>
  <c r="AQ395" i="15"/>
  <c r="AW394" i="15"/>
  <c r="AV394" i="15"/>
  <c r="AU394" i="15"/>
  <c r="AT394" i="15"/>
  <c r="AS394" i="15"/>
  <c r="AR394" i="15"/>
  <c r="AQ394" i="15"/>
  <c r="AW393" i="15"/>
  <c r="AV393" i="15"/>
  <c r="AU393" i="15"/>
  <c r="AT393" i="15"/>
  <c r="AS393" i="15"/>
  <c r="AR393" i="15"/>
  <c r="AQ393" i="15"/>
  <c r="AW392" i="15"/>
  <c r="AV392" i="15"/>
  <c r="AU392" i="15"/>
  <c r="AT392" i="15"/>
  <c r="AS392" i="15"/>
  <c r="AR392" i="15"/>
  <c r="AQ392" i="15"/>
  <c r="AW391" i="15"/>
  <c r="AV391" i="15"/>
  <c r="AU391" i="15"/>
  <c r="AT391" i="15"/>
  <c r="AS391" i="15"/>
  <c r="AR391" i="15"/>
  <c r="AQ391" i="15"/>
  <c r="AW390" i="15"/>
  <c r="AV390" i="15"/>
  <c r="AU390" i="15"/>
  <c r="AT390" i="15"/>
  <c r="AS390" i="15"/>
  <c r="AR390" i="15"/>
  <c r="AQ390" i="15"/>
  <c r="AW389" i="15"/>
  <c r="AV389" i="15"/>
  <c r="AU389" i="15"/>
  <c r="AT389" i="15"/>
  <c r="AS389" i="15"/>
  <c r="AR389" i="15"/>
  <c r="AQ389" i="15"/>
  <c r="AW388" i="15"/>
  <c r="AV388" i="15"/>
  <c r="AU388" i="15"/>
  <c r="AT388" i="15"/>
  <c r="AS388" i="15"/>
  <c r="AR388" i="15"/>
  <c r="AQ388" i="15"/>
  <c r="AW387" i="15"/>
  <c r="AV387" i="15"/>
  <c r="AU387" i="15"/>
  <c r="AT387" i="15"/>
  <c r="AS387" i="15"/>
  <c r="AR387" i="15"/>
  <c r="AQ387" i="15"/>
  <c r="AW386" i="15"/>
  <c r="AV386" i="15"/>
  <c r="AU386" i="15"/>
  <c r="AT386" i="15"/>
  <c r="AS386" i="15"/>
  <c r="AR386" i="15"/>
  <c r="AQ386" i="15"/>
  <c r="AW385" i="15"/>
  <c r="AV385" i="15"/>
  <c r="AU385" i="15"/>
  <c r="AT385" i="15"/>
  <c r="AS385" i="15"/>
  <c r="AR385" i="15"/>
  <c r="AQ385" i="15"/>
  <c r="AW376" i="15"/>
  <c r="AV376" i="15"/>
  <c r="AU376" i="15"/>
  <c r="AT376" i="15"/>
  <c r="AS376" i="15"/>
  <c r="AR376" i="15"/>
  <c r="AQ376" i="15"/>
  <c r="AW375" i="15"/>
  <c r="AV375" i="15"/>
  <c r="AU375" i="15"/>
  <c r="AT375" i="15"/>
  <c r="AS375" i="15"/>
  <c r="AR375" i="15"/>
  <c r="AQ375" i="15"/>
  <c r="AW374" i="15"/>
  <c r="AV374" i="15"/>
  <c r="AU374" i="15"/>
  <c r="AT374" i="15"/>
  <c r="AS374" i="15"/>
  <c r="AR374" i="15"/>
  <c r="AQ374" i="15"/>
  <c r="AW373" i="15"/>
  <c r="AV373" i="15"/>
  <c r="AU373" i="15"/>
  <c r="AT373" i="15"/>
  <c r="AS373" i="15"/>
  <c r="AR373" i="15"/>
  <c r="AQ373" i="15"/>
  <c r="AW372" i="15"/>
  <c r="AV372" i="15"/>
  <c r="AU372" i="15"/>
  <c r="AT372" i="15"/>
  <c r="AS372" i="15"/>
  <c r="AR372" i="15"/>
  <c r="AQ372" i="15"/>
  <c r="AW371" i="15"/>
  <c r="AV371" i="15"/>
  <c r="AU371" i="15"/>
  <c r="AT371" i="15"/>
  <c r="AS371" i="15"/>
  <c r="AR371" i="15"/>
  <c r="AQ371" i="15"/>
  <c r="AW370" i="15"/>
  <c r="AV370" i="15"/>
  <c r="AU370" i="15"/>
  <c r="AT370" i="15"/>
  <c r="AS370" i="15"/>
  <c r="AR370" i="15"/>
  <c r="AQ370" i="15"/>
  <c r="AW369" i="15"/>
  <c r="AV369" i="15"/>
  <c r="AU369" i="15"/>
  <c r="AT369" i="15"/>
  <c r="AS369" i="15"/>
  <c r="AR369" i="15"/>
  <c r="AQ369" i="15"/>
  <c r="AW368" i="15"/>
  <c r="AV368" i="15"/>
  <c r="AU368" i="15"/>
  <c r="AT368" i="15"/>
  <c r="AS368" i="15"/>
  <c r="AR368" i="15"/>
  <c r="AQ368" i="15"/>
  <c r="AW367" i="15"/>
  <c r="AV367" i="15"/>
  <c r="AU367" i="15"/>
  <c r="AT367" i="15"/>
  <c r="AS367" i="15"/>
  <c r="AR367" i="15"/>
  <c r="AQ367" i="15"/>
  <c r="AW366" i="15"/>
  <c r="AV366" i="15"/>
  <c r="AU366" i="15"/>
  <c r="AT366" i="15"/>
  <c r="AS366" i="15"/>
  <c r="AR366" i="15"/>
  <c r="AQ366" i="15"/>
  <c r="AW365" i="15"/>
  <c r="AV365" i="15"/>
  <c r="AU365" i="15"/>
  <c r="AT365" i="15"/>
  <c r="AS365" i="15"/>
  <c r="AR365" i="15"/>
  <c r="AQ365" i="15"/>
  <c r="AW364" i="15"/>
  <c r="AV364" i="15"/>
  <c r="AU364" i="15"/>
  <c r="AT364" i="15"/>
  <c r="AS364" i="15"/>
  <c r="AR364" i="15"/>
  <c r="AQ364" i="15"/>
  <c r="AW363" i="15"/>
  <c r="AV363" i="15"/>
  <c r="AU363" i="15"/>
  <c r="AT363" i="15"/>
  <c r="AS363" i="15"/>
  <c r="AR363" i="15"/>
  <c r="AQ363" i="15"/>
  <c r="AW362" i="15"/>
  <c r="AV362" i="15"/>
  <c r="AU362" i="15"/>
  <c r="AT362" i="15"/>
  <c r="AS362" i="15"/>
  <c r="AR362" i="15"/>
  <c r="AQ362" i="15"/>
  <c r="AW361" i="15"/>
  <c r="AV361" i="15"/>
  <c r="AU361" i="15"/>
  <c r="AT361" i="15"/>
  <c r="AS361" i="15"/>
  <c r="AR361" i="15"/>
  <c r="AQ361" i="15"/>
  <c r="AW360" i="15"/>
  <c r="AV360" i="15"/>
  <c r="AU360" i="15"/>
  <c r="AT360" i="15"/>
  <c r="AS360" i="15"/>
  <c r="AR360" i="15"/>
  <c r="AQ360" i="15"/>
  <c r="AW359" i="15"/>
  <c r="AV359" i="15"/>
  <c r="AU359" i="15"/>
  <c r="AT359" i="15"/>
  <c r="AS359" i="15"/>
  <c r="AR359" i="15"/>
  <c r="AQ359" i="15"/>
  <c r="AW358" i="15"/>
  <c r="AV358" i="15"/>
  <c r="AU358" i="15"/>
  <c r="AT358" i="15"/>
  <c r="AS358" i="15"/>
  <c r="AR358" i="15"/>
  <c r="AQ358" i="15"/>
  <c r="AW357" i="15"/>
  <c r="AV357" i="15"/>
  <c r="AU357" i="15"/>
  <c r="AT357" i="15"/>
  <c r="AS357" i="15"/>
  <c r="AR357" i="15"/>
  <c r="AQ357" i="15"/>
  <c r="AW356" i="15"/>
  <c r="AV356" i="15"/>
  <c r="AU356" i="15"/>
  <c r="AT356" i="15"/>
  <c r="AS356" i="15"/>
  <c r="AR356" i="15"/>
  <c r="AQ356" i="15"/>
  <c r="AW355" i="15"/>
  <c r="AV355" i="15"/>
  <c r="AU355" i="15"/>
  <c r="AT355" i="15"/>
  <c r="AS355" i="15"/>
  <c r="AR355" i="15"/>
  <c r="AQ355" i="15"/>
  <c r="AW354" i="15"/>
  <c r="AV354" i="15"/>
  <c r="AU354" i="15"/>
  <c r="AT354" i="15"/>
  <c r="AS354" i="15"/>
  <c r="AR354" i="15"/>
  <c r="AQ354" i="15"/>
  <c r="AW353" i="15"/>
  <c r="AV353" i="15"/>
  <c r="AU353" i="15"/>
  <c r="AT353" i="15"/>
  <c r="AS353" i="15"/>
  <c r="AR353" i="15"/>
  <c r="AQ353" i="15"/>
  <c r="AW352" i="15"/>
  <c r="AV352" i="15"/>
  <c r="AU352" i="15"/>
  <c r="AT352" i="15"/>
  <c r="AS352" i="15"/>
  <c r="AR352" i="15"/>
  <c r="AQ352" i="15"/>
  <c r="AW351" i="15"/>
  <c r="AV351" i="15"/>
  <c r="AU351" i="15"/>
  <c r="AT351" i="15"/>
  <c r="AS351" i="15"/>
  <c r="AR351" i="15"/>
  <c r="AQ351" i="15"/>
  <c r="AG450" i="15"/>
  <c r="AF450" i="15"/>
  <c r="AE450" i="15"/>
  <c r="AD450" i="15"/>
  <c r="AC450" i="15"/>
  <c r="AB450" i="15"/>
  <c r="AA450" i="15"/>
  <c r="AG449" i="15"/>
  <c r="AF449" i="15"/>
  <c r="AE449" i="15"/>
  <c r="AD449" i="15"/>
  <c r="AC449" i="15"/>
  <c r="AB449" i="15"/>
  <c r="AA449" i="15"/>
  <c r="AG448" i="15"/>
  <c r="AF448" i="15"/>
  <c r="AE448" i="15"/>
  <c r="AD448" i="15"/>
  <c r="AC448" i="15"/>
  <c r="AB448" i="15"/>
  <c r="AA448" i="15"/>
  <c r="AG447" i="15"/>
  <c r="AF447" i="15"/>
  <c r="AE447" i="15"/>
  <c r="AD447" i="15"/>
  <c r="AC447" i="15"/>
  <c r="AB447" i="15"/>
  <c r="AA447" i="15"/>
  <c r="AG446" i="15"/>
  <c r="AF446" i="15"/>
  <c r="AE446" i="15"/>
  <c r="AD446" i="15"/>
  <c r="AC446" i="15"/>
  <c r="AB446" i="15"/>
  <c r="AA446" i="15"/>
  <c r="AG445" i="15"/>
  <c r="AF445" i="15"/>
  <c r="AE445" i="15"/>
  <c r="AD445" i="15"/>
  <c r="AC445" i="15"/>
  <c r="AB445" i="15"/>
  <c r="AA445" i="15"/>
  <c r="AG444" i="15"/>
  <c r="AF444" i="15"/>
  <c r="AE444" i="15"/>
  <c r="AD444" i="15"/>
  <c r="AC444" i="15"/>
  <c r="AB444" i="15"/>
  <c r="AA444" i="15"/>
  <c r="AG443" i="15"/>
  <c r="AF443" i="15"/>
  <c r="AE443" i="15"/>
  <c r="AD443" i="15"/>
  <c r="AC443" i="15"/>
  <c r="AB443" i="15"/>
  <c r="AA443" i="15"/>
  <c r="AG442" i="15"/>
  <c r="AF442" i="15"/>
  <c r="AE442" i="15"/>
  <c r="AD442" i="15"/>
  <c r="AC442" i="15"/>
  <c r="AB442" i="15"/>
  <c r="AA442" i="15"/>
  <c r="AG441" i="15"/>
  <c r="AF441" i="15"/>
  <c r="AE441" i="15"/>
  <c r="AD441" i="15"/>
  <c r="AC441" i="15"/>
  <c r="AB441" i="15"/>
  <c r="AA441" i="15"/>
  <c r="AG432" i="15"/>
  <c r="AF432" i="15"/>
  <c r="AE432" i="15"/>
  <c r="AD432" i="15"/>
  <c r="AC432" i="15"/>
  <c r="AB432" i="15"/>
  <c r="AA432" i="15"/>
  <c r="AG431" i="15"/>
  <c r="AF431" i="15"/>
  <c r="AE431" i="15"/>
  <c r="AD431" i="15"/>
  <c r="AC431" i="15"/>
  <c r="AB431" i="15"/>
  <c r="AA431" i="15"/>
  <c r="AG430" i="15"/>
  <c r="AF430" i="15"/>
  <c r="AE430" i="15"/>
  <c r="AD430" i="15"/>
  <c r="AC430" i="15"/>
  <c r="AB430" i="15"/>
  <c r="AA430" i="15"/>
  <c r="AG429" i="15"/>
  <c r="AF429" i="15"/>
  <c r="AE429" i="15"/>
  <c r="AD429" i="15"/>
  <c r="AC429" i="15"/>
  <c r="AB429" i="15"/>
  <c r="AA429" i="15"/>
  <c r="AG428" i="15"/>
  <c r="AF428" i="15"/>
  <c r="AE428" i="15"/>
  <c r="AD428" i="15"/>
  <c r="AC428" i="15"/>
  <c r="AB428" i="15"/>
  <c r="AA428" i="15"/>
  <c r="AG427" i="15"/>
  <c r="AF427" i="15"/>
  <c r="AE427" i="15"/>
  <c r="AD427" i="15"/>
  <c r="AC427" i="15"/>
  <c r="AB427" i="15"/>
  <c r="AA427" i="15"/>
  <c r="AG426" i="15"/>
  <c r="AF426" i="15"/>
  <c r="AE426" i="15"/>
  <c r="AD426" i="15"/>
  <c r="AC426" i="15"/>
  <c r="AB426" i="15"/>
  <c r="AA426" i="15"/>
  <c r="AG425" i="15"/>
  <c r="AF425" i="15"/>
  <c r="AE425" i="15"/>
  <c r="AD425" i="15"/>
  <c r="AC425" i="15"/>
  <c r="AB425" i="15"/>
  <c r="AA425" i="15"/>
  <c r="AG424" i="15"/>
  <c r="AF424" i="15"/>
  <c r="AE424" i="15"/>
  <c r="AD424" i="15"/>
  <c r="AC424" i="15"/>
  <c r="AB424" i="15"/>
  <c r="AA424" i="15"/>
  <c r="AG423" i="15"/>
  <c r="AF423" i="15"/>
  <c r="AE423" i="15"/>
  <c r="AD423" i="15"/>
  <c r="AC423" i="15"/>
  <c r="AB423" i="15"/>
  <c r="AA423" i="15"/>
  <c r="AG422" i="15"/>
  <c r="AF422" i="15"/>
  <c r="AE422" i="15"/>
  <c r="AD422" i="15"/>
  <c r="AC422" i="15"/>
  <c r="AB422" i="15"/>
  <c r="AA422" i="15"/>
  <c r="AG421" i="15"/>
  <c r="AF421" i="15"/>
  <c r="AE421" i="15"/>
  <c r="AD421" i="15"/>
  <c r="AC421" i="15"/>
  <c r="AB421" i="15"/>
  <c r="AA421" i="15"/>
  <c r="AG420" i="15"/>
  <c r="AF420" i="15"/>
  <c r="AE420" i="15"/>
  <c r="AD420" i="15"/>
  <c r="AC420" i="15"/>
  <c r="AB420" i="15"/>
  <c r="AA420" i="15"/>
  <c r="AG419" i="15"/>
  <c r="AF419" i="15"/>
  <c r="AE419" i="15"/>
  <c r="AD419" i="15"/>
  <c r="AC419" i="15"/>
  <c r="AB419" i="15"/>
  <c r="AA419" i="15"/>
  <c r="AG418" i="15"/>
  <c r="AF418" i="15"/>
  <c r="AE418" i="15"/>
  <c r="AD418" i="15"/>
  <c r="AC418" i="15"/>
  <c r="AB418" i="15"/>
  <c r="AA418" i="15"/>
  <c r="AG417" i="15"/>
  <c r="AF417" i="15"/>
  <c r="AE417" i="15"/>
  <c r="AD417" i="15"/>
  <c r="AC417" i="15"/>
  <c r="AB417" i="15"/>
  <c r="AA417" i="15"/>
  <c r="AG416" i="15"/>
  <c r="AF416" i="15"/>
  <c r="AE416" i="15"/>
  <c r="AD416" i="15"/>
  <c r="AC416" i="15"/>
  <c r="AB416" i="15"/>
  <c r="AA416" i="15"/>
  <c r="AG415" i="15"/>
  <c r="AF415" i="15"/>
  <c r="AE415" i="15"/>
  <c r="AD415" i="15"/>
  <c r="AC415" i="15"/>
  <c r="AB415" i="15"/>
  <c r="AA415" i="15"/>
  <c r="AG414" i="15"/>
  <c r="AF414" i="15"/>
  <c r="AE414" i="15"/>
  <c r="AD414" i="15"/>
  <c r="AC414" i="15"/>
  <c r="AB414" i="15"/>
  <c r="AA414" i="15"/>
  <c r="AG413" i="15"/>
  <c r="AF413" i="15"/>
  <c r="AE413" i="15"/>
  <c r="AD413" i="15"/>
  <c r="AC413" i="15"/>
  <c r="AB413" i="15"/>
  <c r="AA413" i="15"/>
  <c r="AG404" i="15"/>
  <c r="AF404" i="15"/>
  <c r="AE404" i="15"/>
  <c r="AD404" i="15"/>
  <c r="AC404" i="15"/>
  <c r="AB404" i="15"/>
  <c r="AA404" i="15"/>
  <c r="AG403" i="15"/>
  <c r="AF403" i="15"/>
  <c r="AE403" i="15"/>
  <c r="AD403" i="15"/>
  <c r="AC403" i="15"/>
  <c r="AB403" i="15"/>
  <c r="AA403" i="15"/>
  <c r="AG402" i="15"/>
  <c r="AF402" i="15"/>
  <c r="AE402" i="15"/>
  <c r="AD402" i="15"/>
  <c r="AC402" i="15"/>
  <c r="AB402" i="15"/>
  <c r="AA402" i="15"/>
  <c r="AG401" i="15"/>
  <c r="AF401" i="15"/>
  <c r="AE401" i="15"/>
  <c r="AD401" i="15"/>
  <c r="AC401" i="15"/>
  <c r="AB401" i="15"/>
  <c r="AA401" i="15"/>
  <c r="AG400" i="15"/>
  <c r="AF400" i="15"/>
  <c r="AE400" i="15"/>
  <c r="AD400" i="15"/>
  <c r="AC400" i="15"/>
  <c r="AB400" i="15"/>
  <c r="AA400" i="15"/>
  <c r="AG399" i="15"/>
  <c r="AF399" i="15"/>
  <c r="AE399" i="15"/>
  <c r="AD399" i="15"/>
  <c r="AC399" i="15"/>
  <c r="AB399" i="15"/>
  <c r="AA399" i="15"/>
  <c r="AG398" i="15"/>
  <c r="AF398" i="15"/>
  <c r="AE398" i="15"/>
  <c r="AD398" i="15"/>
  <c r="AC398" i="15"/>
  <c r="AB398" i="15"/>
  <c r="AA398" i="15"/>
  <c r="AG397" i="15"/>
  <c r="AF397" i="15"/>
  <c r="AE397" i="15"/>
  <c r="AD397" i="15"/>
  <c r="AC397" i="15"/>
  <c r="AB397" i="15"/>
  <c r="AA397" i="15"/>
  <c r="AG396" i="15"/>
  <c r="AF396" i="15"/>
  <c r="AE396" i="15"/>
  <c r="AD396" i="15"/>
  <c r="AC396" i="15"/>
  <c r="AB396" i="15"/>
  <c r="AA396" i="15"/>
  <c r="AG395" i="15"/>
  <c r="AF395" i="15"/>
  <c r="AE395" i="15"/>
  <c r="AD395" i="15"/>
  <c r="AC395" i="15"/>
  <c r="AB395" i="15"/>
  <c r="AA395" i="15"/>
  <c r="AG394" i="15"/>
  <c r="AF394" i="15"/>
  <c r="AE394" i="15"/>
  <c r="AD394" i="15"/>
  <c r="AC394" i="15"/>
  <c r="AB394" i="15"/>
  <c r="AA394" i="15"/>
  <c r="AG393" i="15"/>
  <c r="AF393" i="15"/>
  <c r="AE393" i="15"/>
  <c r="AD393" i="15"/>
  <c r="AC393" i="15"/>
  <c r="AB393" i="15"/>
  <c r="AA393" i="15"/>
  <c r="AG392" i="15"/>
  <c r="AF392" i="15"/>
  <c r="AE392" i="15"/>
  <c r="AD392" i="15"/>
  <c r="AC392" i="15"/>
  <c r="AB392" i="15"/>
  <c r="AA392" i="15"/>
  <c r="AG391" i="15"/>
  <c r="AF391" i="15"/>
  <c r="AE391" i="15"/>
  <c r="AD391" i="15"/>
  <c r="AC391" i="15"/>
  <c r="AB391" i="15"/>
  <c r="AA391" i="15"/>
  <c r="AG390" i="15"/>
  <c r="AF390" i="15"/>
  <c r="AE390" i="15"/>
  <c r="AD390" i="15"/>
  <c r="AC390" i="15"/>
  <c r="AB390" i="15"/>
  <c r="AA390" i="15"/>
  <c r="AG389" i="15"/>
  <c r="AF389" i="15"/>
  <c r="AE389" i="15"/>
  <c r="AD389" i="15"/>
  <c r="AC389" i="15"/>
  <c r="AB389" i="15"/>
  <c r="AA389" i="15"/>
  <c r="AG388" i="15"/>
  <c r="AF388" i="15"/>
  <c r="AE388" i="15"/>
  <c r="AD388" i="15"/>
  <c r="AC388" i="15"/>
  <c r="AB388" i="15"/>
  <c r="AA388" i="15"/>
  <c r="AG387" i="15"/>
  <c r="AF387" i="15"/>
  <c r="AE387" i="15"/>
  <c r="AD387" i="15"/>
  <c r="AC387" i="15"/>
  <c r="AB387" i="15"/>
  <c r="AA387" i="15"/>
  <c r="AG386" i="15"/>
  <c r="AF386" i="15"/>
  <c r="AE386" i="15"/>
  <c r="AD386" i="15"/>
  <c r="AC386" i="15"/>
  <c r="AB386" i="15"/>
  <c r="AA386" i="15"/>
  <c r="AG385" i="15"/>
  <c r="AF385" i="15"/>
  <c r="AE385" i="15"/>
  <c r="AD385" i="15"/>
  <c r="AC385" i="15"/>
  <c r="AB385" i="15"/>
  <c r="AA385" i="15"/>
  <c r="AA352" i="15"/>
  <c r="AB352" i="15"/>
  <c r="AC352" i="15"/>
  <c r="AD352" i="15"/>
  <c r="AE352" i="15"/>
  <c r="AF352" i="15"/>
  <c r="AG352" i="15"/>
  <c r="AA353" i="15"/>
  <c r="AB353" i="15"/>
  <c r="AC353" i="15"/>
  <c r="AD353" i="15"/>
  <c r="AE353" i="15"/>
  <c r="AF353" i="15"/>
  <c r="AG353" i="15"/>
  <c r="AA354" i="15"/>
  <c r="AB354" i="15"/>
  <c r="AC354" i="15"/>
  <c r="AD354" i="15"/>
  <c r="AE354" i="15"/>
  <c r="AF354" i="15"/>
  <c r="AG354" i="15"/>
  <c r="AA355" i="15"/>
  <c r="AB355" i="15"/>
  <c r="AC355" i="15"/>
  <c r="AD355" i="15"/>
  <c r="AE355" i="15"/>
  <c r="AF355" i="15"/>
  <c r="AG355" i="15"/>
  <c r="AA356" i="15"/>
  <c r="AB356" i="15"/>
  <c r="AC356" i="15"/>
  <c r="AD356" i="15"/>
  <c r="AE356" i="15"/>
  <c r="AF356" i="15"/>
  <c r="AG356" i="15"/>
  <c r="AA357" i="15"/>
  <c r="AB357" i="15"/>
  <c r="AC357" i="15"/>
  <c r="AD357" i="15"/>
  <c r="AE357" i="15"/>
  <c r="AF357" i="15"/>
  <c r="AG357" i="15"/>
  <c r="AA358" i="15"/>
  <c r="AB358" i="15"/>
  <c r="AC358" i="15"/>
  <c r="AD358" i="15"/>
  <c r="AE358" i="15"/>
  <c r="AF358" i="15"/>
  <c r="AG358" i="15"/>
  <c r="AA359" i="15"/>
  <c r="AB359" i="15"/>
  <c r="AC359" i="15"/>
  <c r="AD359" i="15"/>
  <c r="AE359" i="15"/>
  <c r="AF359" i="15"/>
  <c r="AG359" i="15"/>
  <c r="AA360" i="15"/>
  <c r="AB360" i="15"/>
  <c r="AC360" i="15"/>
  <c r="AD360" i="15"/>
  <c r="AE360" i="15"/>
  <c r="AF360" i="15"/>
  <c r="AG360" i="15"/>
  <c r="AA361" i="15"/>
  <c r="AB361" i="15"/>
  <c r="AC361" i="15"/>
  <c r="AD361" i="15"/>
  <c r="AE361" i="15"/>
  <c r="AF361" i="15"/>
  <c r="AG361" i="15"/>
  <c r="AA362" i="15"/>
  <c r="AB362" i="15"/>
  <c r="AC362" i="15"/>
  <c r="AD362" i="15"/>
  <c r="AE362" i="15"/>
  <c r="AF362" i="15"/>
  <c r="AG362" i="15"/>
  <c r="AA363" i="15"/>
  <c r="AB363" i="15"/>
  <c r="AC363" i="15"/>
  <c r="AD363" i="15"/>
  <c r="AE363" i="15"/>
  <c r="AF363" i="15"/>
  <c r="AG363" i="15"/>
  <c r="AA364" i="15"/>
  <c r="AB364" i="15"/>
  <c r="AC364" i="15"/>
  <c r="AD364" i="15"/>
  <c r="AE364" i="15"/>
  <c r="AF364" i="15"/>
  <c r="AG364" i="15"/>
  <c r="AA365" i="15"/>
  <c r="AB365" i="15"/>
  <c r="AC365" i="15"/>
  <c r="AD365" i="15"/>
  <c r="AE365" i="15"/>
  <c r="AF365" i="15"/>
  <c r="AG365" i="15"/>
  <c r="AA366" i="15"/>
  <c r="AB366" i="15"/>
  <c r="AC366" i="15"/>
  <c r="AD366" i="15"/>
  <c r="AE366" i="15"/>
  <c r="AF366" i="15"/>
  <c r="AG366" i="15"/>
  <c r="AA367" i="15"/>
  <c r="AB367" i="15"/>
  <c r="AC367" i="15"/>
  <c r="AD367" i="15"/>
  <c r="AE367" i="15"/>
  <c r="AF367" i="15"/>
  <c r="AG367" i="15"/>
  <c r="AA368" i="15"/>
  <c r="AB368" i="15"/>
  <c r="AC368" i="15"/>
  <c r="AD368" i="15"/>
  <c r="AE368" i="15"/>
  <c r="AF368" i="15"/>
  <c r="AG368" i="15"/>
  <c r="AA369" i="15"/>
  <c r="AB369" i="15"/>
  <c r="AC369" i="15"/>
  <c r="AD369" i="15"/>
  <c r="AE369" i="15"/>
  <c r="AF369" i="15"/>
  <c r="AG369" i="15"/>
  <c r="AA370" i="15"/>
  <c r="AB370" i="15"/>
  <c r="AC370" i="15"/>
  <c r="AD370" i="15"/>
  <c r="AE370" i="15"/>
  <c r="AF370" i="15"/>
  <c r="AG370" i="15"/>
  <c r="AA371" i="15"/>
  <c r="AB371" i="15"/>
  <c r="AC371" i="15"/>
  <c r="AD371" i="15"/>
  <c r="AE371" i="15"/>
  <c r="AF371" i="15"/>
  <c r="AG371" i="15"/>
  <c r="AA372" i="15"/>
  <c r="AB372" i="15"/>
  <c r="AC372" i="15"/>
  <c r="AD372" i="15"/>
  <c r="AE372" i="15"/>
  <c r="AF372" i="15"/>
  <c r="AG372" i="15"/>
  <c r="AA373" i="15"/>
  <c r="AB373" i="15"/>
  <c r="AC373" i="15"/>
  <c r="AD373" i="15"/>
  <c r="AE373" i="15"/>
  <c r="AF373" i="15"/>
  <c r="AG373" i="15"/>
  <c r="AA374" i="15"/>
  <c r="AB374" i="15"/>
  <c r="AC374" i="15"/>
  <c r="AD374" i="15"/>
  <c r="AE374" i="15"/>
  <c r="AF374" i="15"/>
  <c r="AG374" i="15"/>
  <c r="AA375" i="15"/>
  <c r="AB375" i="15"/>
  <c r="AC375" i="15"/>
  <c r="AD375" i="15"/>
  <c r="AE375" i="15"/>
  <c r="AF375" i="15"/>
  <c r="AG375" i="15"/>
  <c r="AA376" i="15"/>
  <c r="AB376" i="15"/>
  <c r="AC376" i="15"/>
  <c r="AD376" i="15"/>
  <c r="AE376" i="15"/>
  <c r="AF376" i="15"/>
  <c r="AG376" i="15"/>
  <c r="AG351" i="15"/>
  <c r="AF351" i="15"/>
  <c r="AE351" i="15"/>
  <c r="AD351" i="15"/>
  <c r="AC351" i="15"/>
  <c r="AB351" i="15"/>
  <c r="AA351" i="15"/>
  <c r="AW28" i="15"/>
  <c r="AV28" i="15"/>
  <c r="AU28" i="15"/>
  <c r="AT28" i="15"/>
  <c r="AS28" i="15"/>
  <c r="AR28" i="15"/>
  <c r="AQ28" i="15"/>
  <c r="AW27" i="15"/>
  <c r="AV27" i="15"/>
  <c r="AU27" i="15"/>
  <c r="AT27" i="15"/>
  <c r="AS27" i="15"/>
  <c r="AR27" i="15"/>
  <c r="AQ27" i="15"/>
  <c r="AW26" i="15"/>
  <c r="AV26" i="15"/>
  <c r="AU26" i="15"/>
  <c r="AT26" i="15"/>
  <c r="AS26" i="15"/>
  <c r="AR26" i="15"/>
  <c r="AQ26" i="15"/>
  <c r="AW25" i="15"/>
  <c r="AV25" i="15"/>
  <c r="AU25" i="15"/>
  <c r="AT25" i="15"/>
  <c r="AS25" i="15"/>
  <c r="AR25" i="15"/>
  <c r="AQ25" i="15"/>
  <c r="AW24" i="15"/>
  <c r="AV24" i="15"/>
  <c r="AU24" i="15"/>
  <c r="AT24" i="15"/>
  <c r="AS24" i="15"/>
  <c r="AR24" i="15"/>
  <c r="AQ24" i="15"/>
  <c r="AG28" i="15"/>
  <c r="AF28" i="15"/>
  <c r="AE28" i="15"/>
  <c r="AD28" i="15"/>
  <c r="AC28" i="15"/>
  <c r="AB28" i="15"/>
  <c r="AA28" i="15"/>
  <c r="AG27" i="15"/>
  <c r="AF27" i="15"/>
  <c r="AE27" i="15"/>
  <c r="AD27" i="15"/>
  <c r="AC27" i="15"/>
  <c r="AB27" i="15"/>
  <c r="AA27" i="15"/>
  <c r="AG26" i="15"/>
  <c r="AF26" i="15"/>
  <c r="AE26" i="15"/>
  <c r="AD26" i="15"/>
  <c r="AC26" i="15"/>
  <c r="AB26" i="15"/>
  <c r="AA26" i="15"/>
  <c r="AG25" i="15"/>
  <c r="AF25" i="15"/>
  <c r="AE25" i="15"/>
  <c r="AD25" i="15"/>
  <c r="AC25" i="15"/>
  <c r="AB25" i="15"/>
  <c r="AA25" i="15"/>
  <c r="AG24" i="15"/>
  <c r="AF24" i="15"/>
  <c r="AE24" i="15"/>
  <c r="AD24" i="15"/>
  <c r="AC24" i="15"/>
  <c r="AB24" i="15"/>
  <c r="AA24" i="15"/>
  <c r="AG340" i="15"/>
  <c r="AF340" i="15"/>
  <c r="AE340" i="15"/>
  <c r="AD340" i="15"/>
  <c r="AC340" i="15"/>
  <c r="AB340" i="15"/>
  <c r="AG339" i="15"/>
  <c r="AF339" i="15"/>
  <c r="AE339" i="15"/>
  <c r="AD339" i="15"/>
  <c r="AC339" i="15"/>
  <c r="AB339" i="15"/>
  <c r="AG338" i="15"/>
  <c r="AF338" i="15"/>
  <c r="AE338" i="15"/>
  <c r="AD338" i="15"/>
  <c r="AC338" i="15"/>
  <c r="AB338" i="15"/>
  <c r="AG337" i="15"/>
  <c r="AF337" i="15"/>
  <c r="AE337" i="15"/>
  <c r="AD337" i="15"/>
  <c r="AC337" i="15"/>
  <c r="AB337" i="15"/>
  <c r="AG336" i="15"/>
  <c r="AF336" i="15"/>
  <c r="AE336" i="15"/>
  <c r="AD336" i="15"/>
  <c r="AC336" i="15"/>
  <c r="AB336" i="15"/>
  <c r="AG335" i="15"/>
  <c r="AF335" i="15"/>
  <c r="AE335" i="15"/>
  <c r="AD335" i="15"/>
  <c r="AC335" i="15"/>
  <c r="AB335" i="15"/>
  <c r="AG334" i="15"/>
  <c r="AF334" i="15"/>
  <c r="AE334" i="15"/>
  <c r="AD334" i="15"/>
  <c r="AC334" i="15"/>
  <c r="AB334" i="15"/>
  <c r="AG333" i="15"/>
  <c r="AF333" i="15"/>
  <c r="AE333" i="15"/>
  <c r="AD333" i="15"/>
  <c r="AC333" i="15"/>
  <c r="AB333" i="15"/>
  <c r="AG332" i="15"/>
  <c r="AF332" i="15"/>
  <c r="AE332" i="15"/>
  <c r="AD332" i="15"/>
  <c r="AC332" i="15"/>
  <c r="AB332" i="15"/>
  <c r="AG331" i="15"/>
  <c r="AF331" i="15"/>
  <c r="AE331" i="15"/>
  <c r="AD331" i="15"/>
  <c r="AC331" i="15"/>
  <c r="AB331" i="15"/>
  <c r="AG330" i="15"/>
  <c r="AF330" i="15"/>
  <c r="AE330" i="15"/>
  <c r="AD330" i="15"/>
  <c r="AC330" i="15"/>
  <c r="AB330" i="15"/>
  <c r="AG329" i="15"/>
  <c r="AF329" i="15"/>
  <c r="AE329" i="15"/>
  <c r="AD329" i="15"/>
  <c r="AC329" i="15"/>
  <c r="AB329" i="15"/>
  <c r="AG328" i="15"/>
  <c r="AF328" i="15"/>
  <c r="AE328" i="15"/>
  <c r="AD328" i="15"/>
  <c r="AC328" i="15"/>
  <c r="AB328" i="15"/>
  <c r="AG327" i="15"/>
  <c r="AF327" i="15"/>
  <c r="AE327" i="15"/>
  <c r="AD327" i="15"/>
  <c r="AC327" i="15"/>
  <c r="AB327" i="15"/>
  <c r="AG326" i="15"/>
  <c r="AF326" i="15"/>
  <c r="AE326" i="15"/>
  <c r="AD326" i="15"/>
  <c r="AC326" i="15"/>
  <c r="AB326" i="15"/>
  <c r="AG325" i="15"/>
  <c r="AF325" i="15"/>
  <c r="AE325" i="15"/>
  <c r="AD325" i="15"/>
  <c r="AC325" i="15"/>
  <c r="AB325" i="15"/>
  <c r="AG324" i="15"/>
  <c r="AF324" i="15"/>
  <c r="AE324" i="15"/>
  <c r="AD324" i="15"/>
  <c r="AC324" i="15"/>
  <c r="AB324" i="15"/>
  <c r="AG323" i="15"/>
  <c r="AF323" i="15"/>
  <c r="AE323" i="15"/>
  <c r="AD323" i="15"/>
  <c r="AC323" i="15"/>
  <c r="AB323" i="15"/>
  <c r="AG322" i="15"/>
  <c r="AF322" i="15"/>
  <c r="AE322" i="15"/>
  <c r="AD322" i="15"/>
  <c r="AC322" i="15"/>
  <c r="AB322" i="15"/>
  <c r="AG321" i="15"/>
  <c r="AF321" i="15"/>
  <c r="AE321" i="15"/>
  <c r="AD321" i="15"/>
  <c r="AC321" i="15"/>
  <c r="AB321" i="15"/>
  <c r="AG319" i="15"/>
  <c r="AF319" i="15"/>
  <c r="AE319" i="15"/>
  <c r="AD319" i="15"/>
  <c r="AC319" i="15"/>
  <c r="AB319" i="15"/>
  <c r="AG318" i="15"/>
  <c r="AF318" i="15"/>
  <c r="AE318" i="15"/>
  <c r="AD318" i="15"/>
  <c r="AC318" i="15"/>
  <c r="AB318" i="15"/>
  <c r="AG317" i="15"/>
  <c r="AF317" i="15"/>
  <c r="AE317" i="15"/>
  <c r="AD317" i="15"/>
  <c r="AC317" i="15"/>
  <c r="AB317" i="15"/>
  <c r="AG316" i="15"/>
  <c r="AF316" i="15"/>
  <c r="AE316" i="15"/>
  <c r="AD316" i="15"/>
  <c r="AC316" i="15"/>
  <c r="AB316" i="15"/>
  <c r="AG315" i="15"/>
  <c r="AF315" i="15"/>
  <c r="AE315" i="15"/>
  <c r="AD315" i="15"/>
  <c r="AC315" i="15"/>
  <c r="AB315" i="15"/>
  <c r="AG314" i="15"/>
  <c r="AF314" i="15"/>
  <c r="AE314" i="15"/>
  <c r="AD314" i="15"/>
  <c r="AC314" i="15"/>
  <c r="AB314" i="15"/>
  <c r="AG313" i="15"/>
  <c r="AF313" i="15"/>
  <c r="AE313" i="15"/>
  <c r="AD313" i="15"/>
  <c r="AC313" i="15"/>
  <c r="AB313" i="15"/>
  <c r="AG312" i="15"/>
  <c r="AF312" i="15"/>
  <c r="AE312" i="15"/>
  <c r="AD312" i="15"/>
  <c r="AC312" i="15"/>
  <c r="AB312" i="15"/>
  <c r="AG311" i="15"/>
  <c r="AF311" i="15"/>
  <c r="AE311" i="15"/>
  <c r="AD311" i="15"/>
  <c r="AC311" i="15"/>
  <c r="AB311" i="15"/>
  <c r="AG310" i="15"/>
  <c r="AF310" i="15"/>
  <c r="AE310" i="15"/>
  <c r="AD310" i="15"/>
  <c r="AC310" i="15"/>
  <c r="AB310" i="15"/>
  <c r="AG309" i="15"/>
  <c r="AF309" i="15"/>
  <c r="AE309" i="15"/>
  <c r="AD309" i="15"/>
  <c r="AC309" i="15"/>
  <c r="AB309" i="15"/>
  <c r="AG308" i="15"/>
  <c r="AF308" i="15"/>
  <c r="AE308" i="15"/>
  <c r="AD308" i="15"/>
  <c r="AC308" i="15"/>
  <c r="AB308" i="15"/>
  <c r="AG307" i="15"/>
  <c r="AF307" i="15"/>
  <c r="AE307" i="15"/>
  <c r="AD307" i="15"/>
  <c r="AC307" i="15"/>
  <c r="AB307" i="15"/>
  <c r="AG306" i="15"/>
  <c r="AF306" i="15"/>
  <c r="AE306" i="15"/>
  <c r="AD306" i="15"/>
  <c r="AC306" i="15"/>
  <c r="AB306" i="15"/>
  <c r="AG305" i="15"/>
  <c r="AF305" i="15"/>
  <c r="AE305" i="15"/>
  <c r="AD305" i="15"/>
  <c r="AC305" i="15"/>
  <c r="AB305" i="15"/>
  <c r="AG304" i="15"/>
  <c r="AF304" i="15"/>
  <c r="AE304" i="15"/>
  <c r="AD304" i="15"/>
  <c r="AC304" i="15"/>
  <c r="AB304" i="15"/>
  <c r="AG303" i="15"/>
  <c r="AF303" i="15"/>
  <c r="AE303" i="15"/>
  <c r="AD303" i="15"/>
  <c r="AC303" i="15"/>
  <c r="AB303" i="15"/>
  <c r="AG302" i="15"/>
  <c r="AF302" i="15"/>
  <c r="AE302" i="15"/>
  <c r="AD302" i="15"/>
  <c r="AC302" i="15"/>
  <c r="AB302" i="15"/>
  <c r="AG301" i="15"/>
  <c r="AF301" i="15"/>
  <c r="AE301" i="15"/>
  <c r="AD301" i="15"/>
  <c r="AC301" i="15"/>
  <c r="AB301" i="15"/>
  <c r="AG300" i="15"/>
  <c r="AF300" i="15"/>
  <c r="AE300" i="15"/>
  <c r="AD300" i="15"/>
  <c r="AC300" i="15"/>
  <c r="AB300" i="15"/>
  <c r="AG298" i="15"/>
  <c r="AF298" i="15"/>
  <c r="AE298" i="15"/>
  <c r="AD298" i="15"/>
  <c r="AC298" i="15"/>
  <c r="AB298" i="15"/>
  <c r="AG297" i="15"/>
  <c r="AF297" i="15"/>
  <c r="AE297" i="15"/>
  <c r="AD297" i="15"/>
  <c r="AC297" i="15"/>
  <c r="AB297" i="15"/>
  <c r="AG296" i="15"/>
  <c r="AF296" i="15"/>
  <c r="AE296" i="15"/>
  <c r="AD296" i="15"/>
  <c r="AC296" i="15"/>
  <c r="AB296" i="15"/>
  <c r="AG295" i="15"/>
  <c r="AF295" i="15"/>
  <c r="AE295" i="15"/>
  <c r="AD295" i="15"/>
  <c r="AC295" i="15"/>
  <c r="AB295" i="15"/>
  <c r="AG294" i="15"/>
  <c r="AF294" i="15"/>
  <c r="AE294" i="15"/>
  <c r="AD294" i="15"/>
  <c r="AC294" i="15"/>
  <c r="AB294" i="15"/>
  <c r="AG293" i="15"/>
  <c r="AF293" i="15"/>
  <c r="AE293" i="15"/>
  <c r="AD293" i="15"/>
  <c r="AC293" i="15"/>
  <c r="AB293" i="15"/>
  <c r="AG292" i="15"/>
  <c r="AF292" i="15"/>
  <c r="AE292" i="15"/>
  <c r="AD292" i="15"/>
  <c r="AC292" i="15"/>
  <c r="AB292" i="15"/>
  <c r="AG291" i="15"/>
  <c r="AF291" i="15"/>
  <c r="AE291" i="15"/>
  <c r="AD291" i="15"/>
  <c r="AC291" i="15"/>
  <c r="AB291" i="15"/>
  <c r="AG290" i="15"/>
  <c r="AF290" i="15"/>
  <c r="AE290" i="15"/>
  <c r="AD290" i="15"/>
  <c r="AC290" i="15"/>
  <c r="AB290" i="15"/>
  <c r="AG289" i="15"/>
  <c r="AF289" i="15"/>
  <c r="AE289" i="15"/>
  <c r="AD289" i="15"/>
  <c r="AC289" i="15"/>
  <c r="AB289" i="15"/>
  <c r="AG288" i="15"/>
  <c r="AF288" i="15"/>
  <c r="AE288" i="15"/>
  <c r="AD288" i="15"/>
  <c r="AC288" i="15"/>
  <c r="AB288" i="15"/>
  <c r="AG287" i="15"/>
  <c r="AF287" i="15"/>
  <c r="AE287" i="15"/>
  <c r="AD287" i="15"/>
  <c r="AC287" i="15"/>
  <c r="AB287" i="15"/>
  <c r="AG286" i="15"/>
  <c r="AF286" i="15"/>
  <c r="AE286" i="15"/>
  <c r="AD286" i="15"/>
  <c r="AC286" i="15"/>
  <c r="AB286" i="15"/>
  <c r="AG285" i="15"/>
  <c r="AF285" i="15"/>
  <c r="AE285" i="15"/>
  <c r="AD285" i="15"/>
  <c r="AC285" i="15"/>
  <c r="AB285" i="15"/>
  <c r="AG284" i="15"/>
  <c r="AF284" i="15"/>
  <c r="AE284" i="15"/>
  <c r="AD284" i="15"/>
  <c r="AC284" i="15"/>
  <c r="AB284" i="15"/>
  <c r="AG283" i="15"/>
  <c r="AF283" i="15"/>
  <c r="AE283" i="15"/>
  <c r="AD283" i="15"/>
  <c r="AC283" i="15"/>
  <c r="AB283" i="15"/>
  <c r="AG282" i="15"/>
  <c r="AF282" i="15"/>
  <c r="AE282" i="15"/>
  <c r="AD282" i="15"/>
  <c r="AC282" i="15"/>
  <c r="AB282" i="15"/>
  <c r="AG281" i="15"/>
  <c r="AF281" i="15"/>
  <c r="AE281" i="15"/>
  <c r="AD281" i="15"/>
  <c r="AC281" i="15"/>
  <c r="AB281" i="15"/>
  <c r="AG280" i="15"/>
  <c r="AF280" i="15"/>
  <c r="AE280" i="15"/>
  <c r="AD280" i="15"/>
  <c r="AC280" i="15"/>
  <c r="AB280" i="15"/>
  <c r="AG279" i="15"/>
  <c r="AF279" i="15"/>
  <c r="AE279" i="15"/>
  <c r="AD279" i="15"/>
  <c r="AC279" i="15"/>
  <c r="AB279" i="15"/>
  <c r="AG278" i="15"/>
  <c r="AF278" i="15"/>
  <c r="AE278" i="15"/>
  <c r="AD278" i="15"/>
  <c r="AC278" i="15"/>
  <c r="AB278" i="15"/>
  <c r="AG277" i="15"/>
  <c r="AF277" i="15"/>
  <c r="AE277" i="15"/>
  <c r="AD277" i="15"/>
  <c r="AC277" i="15"/>
  <c r="AB277" i="15"/>
  <c r="AG276" i="15"/>
  <c r="AF276" i="15"/>
  <c r="AE276" i="15"/>
  <c r="AD276" i="15"/>
  <c r="AC276" i="15"/>
  <c r="AB276" i="15"/>
  <c r="AG275" i="15"/>
  <c r="AF275" i="15"/>
  <c r="AE275" i="15"/>
  <c r="AD275" i="15"/>
  <c r="AC275" i="15"/>
  <c r="AB275" i="15"/>
  <c r="AG274" i="15"/>
  <c r="AF274" i="15"/>
  <c r="AE274" i="15"/>
  <c r="AD274" i="15"/>
  <c r="AC274" i="15"/>
  <c r="AB274" i="15"/>
  <c r="AG273" i="15"/>
  <c r="AF273" i="15"/>
  <c r="AE273" i="15"/>
  <c r="AD273" i="15"/>
  <c r="AC273" i="15"/>
  <c r="AB273" i="15"/>
  <c r="AG272" i="15"/>
  <c r="AF272" i="15"/>
  <c r="AE272" i="15"/>
  <c r="AD272" i="15"/>
  <c r="AC272" i="15"/>
  <c r="AB272" i="15"/>
  <c r="AG271" i="15"/>
  <c r="AF271" i="15"/>
  <c r="AE271" i="15"/>
  <c r="AD271" i="15"/>
  <c r="AC271" i="15"/>
  <c r="AB271" i="15"/>
  <c r="AG270" i="15"/>
  <c r="AF270" i="15"/>
  <c r="AE270" i="15"/>
  <c r="AD270" i="15"/>
  <c r="AC270" i="15"/>
  <c r="AB270" i="15"/>
  <c r="AG269" i="15"/>
  <c r="AF269" i="15"/>
  <c r="AE269" i="15"/>
  <c r="AD269" i="15"/>
  <c r="AC269" i="15"/>
  <c r="AB269" i="15"/>
  <c r="AG268" i="15"/>
  <c r="AF268" i="15"/>
  <c r="AE268" i="15"/>
  <c r="AD268" i="15"/>
  <c r="AC268" i="15"/>
  <c r="AB268" i="15"/>
  <c r="AG267" i="15"/>
  <c r="AF267" i="15"/>
  <c r="AE267" i="15"/>
  <c r="AD267" i="15"/>
  <c r="AC267" i="15"/>
  <c r="AB267" i="15"/>
  <c r="AG266" i="15"/>
  <c r="AF266" i="15"/>
  <c r="AE266" i="15"/>
  <c r="AD266" i="15"/>
  <c r="AC266" i="15"/>
  <c r="AB266" i="15"/>
  <c r="AG265" i="15"/>
  <c r="AF265" i="15"/>
  <c r="AE265" i="15"/>
  <c r="AD265" i="15"/>
  <c r="AC265" i="15"/>
  <c r="AB265" i="15"/>
  <c r="AG264" i="15"/>
  <c r="AF264" i="15"/>
  <c r="AE264" i="15"/>
  <c r="AD264" i="15"/>
  <c r="AC264" i="15"/>
  <c r="AB264" i="15"/>
  <c r="AG263" i="15"/>
  <c r="AF263" i="15"/>
  <c r="AE263" i="15"/>
  <c r="AD263" i="15"/>
  <c r="AC263" i="15"/>
  <c r="AB263" i="15"/>
  <c r="AG262" i="15"/>
  <c r="AF262" i="15"/>
  <c r="AE262" i="15"/>
  <c r="AD262" i="15"/>
  <c r="AC262" i="15"/>
  <c r="AB262" i="15"/>
  <c r="AG261" i="15"/>
  <c r="AF261" i="15"/>
  <c r="AE261" i="15"/>
  <c r="AD261" i="15"/>
  <c r="AC261" i="15"/>
  <c r="AB261" i="15"/>
  <c r="AG260" i="15"/>
  <c r="AF260" i="15"/>
  <c r="AE260" i="15"/>
  <c r="AD260" i="15"/>
  <c r="AC260" i="15"/>
  <c r="AB260" i="15"/>
  <c r="AG259" i="15"/>
  <c r="AF259" i="15"/>
  <c r="AE259" i="15"/>
  <c r="AD259" i="15"/>
  <c r="AC259" i="15"/>
  <c r="AB259" i="15"/>
  <c r="AG258" i="15"/>
  <c r="AF258" i="15"/>
  <c r="AE258" i="15"/>
  <c r="AD258" i="15"/>
  <c r="AC258" i="15"/>
  <c r="AB258" i="15"/>
  <c r="AG257" i="15"/>
  <c r="AF257" i="15"/>
  <c r="AE257" i="15"/>
  <c r="AD257" i="15"/>
  <c r="AC257" i="15"/>
  <c r="AB257" i="15"/>
  <c r="AG256" i="15"/>
  <c r="AF256" i="15"/>
  <c r="AE256" i="15"/>
  <c r="AD256" i="15"/>
  <c r="AC256" i="15"/>
  <c r="AB256" i="15"/>
  <c r="AG255" i="15"/>
  <c r="AF255" i="15"/>
  <c r="AE255" i="15"/>
  <c r="AD255" i="15"/>
  <c r="AC255" i="15"/>
  <c r="AB255" i="15"/>
  <c r="AG254" i="15"/>
  <c r="AF254" i="15"/>
  <c r="AE254" i="15"/>
  <c r="AD254" i="15"/>
  <c r="AC254" i="15"/>
  <c r="AB254" i="15"/>
  <c r="AG252" i="15"/>
  <c r="AF252" i="15"/>
  <c r="AE252" i="15"/>
  <c r="AD252" i="15"/>
  <c r="AC252" i="15"/>
  <c r="AB252" i="15"/>
  <c r="AG251" i="15"/>
  <c r="AF251" i="15"/>
  <c r="AE251" i="15"/>
  <c r="AD251" i="15"/>
  <c r="AC251" i="15"/>
  <c r="AB251" i="15"/>
  <c r="AG250" i="15"/>
  <c r="AF250" i="15"/>
  <c r="AE250" i="15"/>
  <c r="AD250" i="15"/>
  <c r="AC250" i="15"/>
  <c r="AB250" i="15"/>
  <c r="AG249" i="15"/>
  <c r="AF249" i="15"/>
  <c r="AE249" i="15"/>
  <c r="AD249" i="15"/>
  <c r="AC249" i="15"/>
  <c r="AB249" i="15"/>
  <c r="AG248" i="15"/>
  <c r="AF248" i="15"/>
  <c r="AE248" i="15"/>
  <c r="AD248" i="15"/>
  <c r="AC248" i="15"/>
  <c r="AB248" i="15"/>
  <c r="AG247" i="15"/>
  <c r="AF247" i="15"/>
  <c r="AE247" i="15"/>
  <c r="AD247" i="15"/>
  <c r="AC247" i="15"/>
  <c r="AB247" i="15"/>
  <c r="AG246" i="15"/>
  <c r="AF246" i="15"/>
  <c r="AE246" i="15"/>
  <c r="AD246" i="15"/>
  <c r="AC246" i="15"/>
  <c r="AB246" i="15"/>
  <c r="AG245" i="15"/>
  <c r="AF245" i="15"/>
  <c r="AE245" i="15"/>
  <c r="AD245" i="15"/>
  <c r="AC245" i="15"/>
  <c r="AB245" i="15"/>
  <c r="AG244" i="15"/>
  <c r="AF244" i="15"/>
  <c r="AE244" i="15"/>
  <c r="AD244" i="15"/>
  <c r="AC244" i="15"/>
  <c r="AB244" i="15"/>
  <c r="AG243" i="15"/>
  <c r="AF243" i="15"/>
  <c r="AE243" i="15"/>
  <c r="AD243" i="15"/>
  <c r="AC243" i="15"/>
  <c r="AB243" i="15"/>
  <c r="AG242" i="15"/>
  <c r="AF242" i="15"/>
  <c r="AE242" i="15"/>
  <c r="AD242" i="15"/>
  <c r="AC242" i="15"/>
  <c r="AB242" i="15"/>
  <c r="AG241" i="15"/>
  <c r="AF241" i="15"/>
  <c r="AE241" i="15"/>
  <c r="AD241" i="15"/>
  <c r="AC241" i="15"/>
  <c r="AB241" i="15"/>
  <c r="AG240" i="15"/>
  <c r="AF240" i="15"/>
  <c r="AE240" i="15"/>
  <c r="AD240" i="15"/>
  <c r="AC240" i="15"/>
  <c r="AB240" i="15"/>
  <c r="AG239" i="15"/>
  <c r="AF239" i="15"/>
  <c r="AE239" i="15"/>
  <c r="AD239" i="15"/>
  <c r="AC239" i="15"/>
  <c r="AB239" i="15"/>
  <c r="AG238" i="15"/>
  <c r="AF238" i="15"/>
  <c r="AE238" i="15"/>
  <c r="AD238" i="15"/>
  <c r="AC238" i="15"/>
  <c r="AB238" i="15"/>
  <c r="AG237" i="15"/>
  <c r="AF237" i="15"/>
  <c r="AE237" i="15"/>
  <c r="AD237" i="15"/>
  <c r="AC237" i="15"/>
  <c r="AB237" i="15"/>
  <c r="AG236" i="15"/>
  <c r="AF236" i="15"/>
  <c r="AE236" i="15"/>
  <c r="AD236" i="15"/>
  <c r="AC236" i="15"/>
  <c r="AB236" i="15"/>
  <c r="AG235" i="15"/>
  <c r="AF235" i="15"/>
  <c r="AE235" i="15"/>
  <c r="AD235" i="15"/>
  <c r="AC235" i="15"/>
  <c r="AB235" i="15"/>
  <c r="AG234" i="15"/>
  <c r="AF234" i="15"/>
  <c r="AE234" i="15"/>
  <c r="AD234" i="15"/>
  <c r="AC234" i="15"/>
  <c r="AB234" i="15"/>
  <c r="AG233" i="15"/>
  <c r="AF233" i="15"/>
  <c r="AE233" i="15"/>
  <c r="AD233" i="15"/>
  <c r="AC233" i="15"/>
  <c r="AB233" i="15"/>
  <c r="AG232" i="15"/>
  <c r="AF232" i="15"/>
  <c r="AE232" i="15"/>
  <c r="AD232" i="15"/>
  <c r="AC232" i="15"/>
  <c r="AB232" i="15"/>
  <c r="AG231" i="15"/>
  <c r="AF231" i="15"/>
  <c r="AE231" i="15"/>
  <c r="AD231" i="15"/>
  <c r="AC231" i="15"/>
  <c r="AB231" i="15"/>
  <c r="AG230" i="15"/>
  <c r="AF230" i="15"/>
  <c r="AE230" i="15"/>
  <c r="AD230" i="15"/>
  <c r="AC230" i="15"/>
  <c r="AB230" i="15"/>
  <c r="AG229" i="15"/>
  <c r="AF229" i="15"/>
  <c r="AE229" i="15"/>
  <c r="AD229" i="15"/>
  <c r="AC229" i="15"/>
  <c r="AB229" i="15"/>
  <c r="AG228" i="15"/>
  <c r="AF228" i="15"/>
  <c r="AE228" i="15"/>
  <c r="AD228" i="15"/>
  <c r="AC228" i="15"/>
  <c r="AB228" i="15"/>
  <c r="AG227" i="15"/>
  <c r="AF227" i="15"/>
  <c r="AE227" i="15"/>
  <c r="AD227" i="15"/>
  <c r="AC227" i="15"/>
  <c r="AB227" i="15"/>
  <c r="AG226" i="15"/>
  <c r="AF226" i="15"/>
  <c r="AE226" i="15"/>
  <c r="AD226" i="15"/>
  <c r="AC226" i="15"/>
  <c r="AB226" i="15"/>
  <c r="AG225" i="15"/>
  <c r="AF225" i="15"/>
  <c r="AE225" i="15"/>
  <c r="AD225" i="15"/>
  <c r="AC225" i="15"/>
  <c r="AB225" i="15"/>
  <c r="AG224" i="15"/>
  <c r="AF224" i="15"/>
  <c r="AE224" i="15"/>
  <c r="AD224" i="15"/>
  <c r="AC224" i="15"/>
  <c r="AB224" i="15"/>
  <c r="AG223" i="15"/>
  <c r="AF223" i="15"/>
  <c r="AE223" i="15"/>
  <c r="AD223" i="15"/>
  <c r="AC223" i="15"/>
  <c r="AB223" i="15"/>
  <c r="AG215" i="15"/>
  <c r="AF215" i="15"/>
  <c r="AE215" i="15"/>
  <c r="AD215" i="15"/>
  <c r="AC215" i="15"/>
  <c r="AG214" i="15"/>
  <c r="AF214" i="15"/>
  <c r="AE214" i="15"/>
  <c r="AD214" i="15"/>
  <c r="AC214" i="15"/>
  <c r="AG213" i="15"/>
  <c r="AF213" i="15"/>
  <c r="AE213" i="15"/>
  <c r="AD213" i="15"/>
  <c r="AC213" i="15"/>
  <c r="AG212" i="15"/>
  <c r="AF212" i="15"/>
  <c r="AE212" i="15"/>
  <c r="AD212" i="15"/>
  <c r="AC212" i="15"/>
  <c r="AG211" i="15"/>
  <c r="AF211" i="15"/>
  <c r="AE211" i="15"/>
  <c r="AD211" i="15"/>
  <c r="AC211" i="15"/>
  <c r="AG210" i="15"/>
  <c r="AF210" i="15"/>
  <c r="AE210" i="15"/>
  <c r="AD210" i="15"/>
  <c r="AC210" i="15"/>
  <c r="AG209" i="15"/>
  <c r="AF209" i="15"/>
  <c r="AE209" i="15"/>
  <c r="AD209" i="15"/>
  <c r="AC209" i="15"/>
  <c r="AG208" i="15"/>
  <c r="AF208" i="15"/>
  <c r="AE208" i="15"/>
  <c r="AD208" i="15"/>
  <c r="AC208" i="15"/>
  <c r="AG207" i="15"/>
  <c r="AF207" i="15"/>
  <c r="AE207" i="15"/>
  <c r="AD207" i="15"/>
  <c r="AC207" i="15"/>
  <c r="AG206" i="15"/>
  <c r="AF206" i="15"/>
  <c r="AE206" i="15"/>
  <c r="AD206" i="15"/>
  <c r="AC206" i="15"/>
  <c r="AG205" i="15"/>
  <c r="AF205" i="15"/>
  <c r="AE205" i="15"/>
  <c r="AD205" i="15"/>
  <c r="AC205" i="15"/>
  <c r="AG204" i="15"/>
  <c r="AF204" i="15"/>
  <c r="AE204" i="15"/>
  <c r="AD204" i="15"/>
  <c r="AC204" i="15"/>
  <c r="AG203" i="15"/>
  <c r="AF203" i="15"/>
  <c r="AE203" i="15"/>
  <c r="AD203" i="15"/>
  <c r="AC203" i="15"/>
  <c r="AG202" i="15"/>
  <c r="AF202" i="15"/>
  <c r="AE202" i="15"/>
  <c r="AD202" i="15"/>
  <c r="AC202" i="15"/>
  <c r="AG201" i="15"/>
  <c r="AF201" i="15"/>
  <c r="AE201" i="15"/>
  <c r="AD201" i="15"/>
  <c r="AC201" i="15"/>
  <c r="AG200" i="15"/>
  <c r="AF200" i="15"/>
  <c r="AE200" i="15"/>
  <c r="AD200" i="15"/>
  <c r="AC200" i="15"/>
  <c r="AG199" i="15"/>
  <c r="AF199" i="15"/>
  <c r="AE199" i="15"/>
  <c r="AD199" i="15"/>
  <c r="AC199" i="15"/>
  <c r="AG198" i="15"/>
  <c r="AF198" i="15"/>
  <c r="AE198" i="15"/>
  <c r="AD198" i="15"/>
  <c r="AC198" i="15"/>
  <c r="AG197" i="15"/>
  <c r="AF197" i="15"/>
  <c r="AE197" i="15"/>
  <c r="AD197" i="15"/>
  <c r="AC197" i="15"/>
  <c r="AG196" i="15"/>
  <c r="AF196" i="15"/>
  <c r="AE196" i="15"/>
  <c r="AD196" i="15"/>
  <c r="AC196" i="15"/>
  <c r="AG194" i="15"/>
  <c r="AF194" i="15"/>
  <c r="AE194" i="15"/>
  <c r="AD194" i="15"/>
  <c r="AC194" i="15"/>
  <c r="AG193" i="15"/>
  <c r="AF193" i="15"/>
  <c r="AE193" i="15"/>
  <c r="AD193" i="15"/>
  <c r="AC193" i="15"/>
  <c r="AG192" i="15"/>
  <c r="AF192" i="15"/>
  <c r="AE192" i="15"/>
  <c r="AD192" i="15"/>
  <c r="AC192" i="15"/>
  <c r="AG191" i="15"/>
  <c r="AF191" i="15"/>
  <c r="AE191" i="15"/>
  <c r="AD191" i="15"/>
  <c r="AC191" i="15"/>
  <c r="AG190" i="15"/>
  <c r="AF190" i="15"/>
  <c r="AE190" i="15"/>
  <c r="AD190" i="15"/>
  <c r="AC190" i="15"/>
  <c r="AG189" i="15"/>
  <c r="AF189" i="15"/>
  <c r="AE189" i="15"/>
  <c r="AD189" i="15"/>
  <c r="AC189" i="15"/>
  <c r="AG188" i="15"/>
  <c r="AF188" i="15"/>
  <c r="AE188" i="15"/>
  <c r="AD188" i="15"/>
  <c r="AC188" i="15"/>
  <c r="AG187" i="15"/>
  <c r="AF187" i="15"/>
  <c r="AE187" i="15"/>
  <c r="AD187" i="15"/>
  <c r="AC187" i="15"/>
  <c r="AG186" i="15"/>
  <c r="AF186" i="15"/>
  <c r="AE186" i="15"/>
  <c r="AD186" i="15"/>
  <c r="AC186" i="15"/>
  <c r="AG184" i="15"/>
  <c r="AF184" i="15"/>
  <c r="AE184" i="15"/>
  <c r="AD184" i="15"/>
  <c r="AC184" i="15"/>
  <c r="AG183" i="15"/>
  <c r="AF183" i="15"/>
  <c r="AE183" i="15"/>
  <c r="AD183" i="15"/>
  <c r="AC183" i="15"/>
  <c r="AG182" i="15"/>
  <c r="AF182" i="15"/>
  <c r="AE182" i="15"/>
  <c r="AD182" i="15"/>
  <c r="AC182" i="15"/>
  <c r="AG181" i="15"/>
  <c r="AF181" i="15"/>
  <c r="AE181" i="15"/>
  <c r="AD181" i="15"/>
  <c r="AC181" i="15"/>
  <c r="AG180" i="15"/>
  <c r="AF180" i="15"/>
  <c r="AE180" i="15"/>
  <c r="AD180" i="15"/>
  <c r="AC180" i="15"/>
  <c r="AG179" i="15"/>
  <c r="AF179" i="15"/>
  <c r="AE179" i="15"/>
  <c r="AD179" i="15"/>
  <c r="AC179" i="15"/>
  <c r="AG178" i="15"/>
  <c r="AF178" i="15"/>
  <c r="AE178" i="15"/>
  <c r="AD178" i="15"/>
  <c r="AC178" i="15"/>
  <c r="AG177" i="15"/>
  <c r="AF177" i="15"/>
  <c r="AE177" i="15"/>
  <c r="AD177" i="15"/>
  <c r="AC177" i="15"/>
  <c r="AG176" i="15"/>
  <c r="AF176" i="15"/>
  <c r="AE176" i="15"/>
  <c r="AD176" i="15"/>
  <c r="AC176" i="15"/>
  <c r="AG173" i="15"/>
  <c r="AF173" i="15"/>
  <c r="AE173" i="15"/>
  <c r="AD173" i="15"/>
  <c r="AC173" i="15"/>
  <c r="AG172" i="15"/>
  <c r="AF172" i="15"/>
  <c r="AE172" i="15"/>
  <c r="AD172" i="15"/>
  <c r="AC172" i="15"/>
  <c r="AG171" i="15"/>
  <c r="AF171" i="15"/>
  <c r="AE171" i="15"/>
  <c r="AD171" i="15"/>
  <c r="AC171" i="15"/>
  <c r="AG170" i="15"/>
  <c r="AF170" i="15"/>
  <c r="AE170" i="15"/>
  <c r="AD170" i="15"/>
  <c r="AC170" i="15"/>
  <c r="AG169" i="15"/>
  <c r="AF169" i="15"/>
  <c r="AE169" i="15"/>
  <c r="AD169" i="15"/>
  <c r="AC169" i="15"/>
  <c r="AG168" i="15"/>
  <c r="AF168" i="15"/>
  <c r="AE168" i="15"/>
  <c r="AD168" i="15"/>
  <c r="AC168" i="15"/>
  <c r="AG167" i="15"/>
  <c r="AF167" i="15"/>
  <c r="AE167" i="15"/>
  <c r="AD167" i="15"/>
  <c r="AC167" i="15"/>
  <c r="AG166" i="15"/>
  <c r="AF166" i="15"/>
  <c r="AE166" i="15"/>
  <c r="AD166" i="15"/>
  <c r="AC166" i="15"/>
  <c r="AG165" i="15"/>
  <c r="AF165" i="15"/>
  <c r="AE165" i="15"/>
  <c r="AD165" i="15"/>
  <c r="AC165" i="15"/>
  <c r="AG164" i="15"/>
  <c r="AF164" i="15"/>
  <c r="AE164" i="15"/>
  <c r="AD164" i="15"/>
  <c r="AC164" i="15"/>
  <c r="AG163" i="15"/>
  <c r="AF163" i="15"/>
  <c r="AE163" i="15"/>
  <c r="AD163" i="15"/>
  <c r="AC163" i="15"/>
  <c r="AG162" i="15"/>
  <c r="AF162" i="15"/>
  <c r="AE162" i="15"/>
  <c r="AD162" i="15"/>
  <c r="AC162" i="15"/>
  <c r="AG161" i="15"/>
  <c r="AF161" i="15"/>
  <c r="AE161" i="15"/>
  <c r="AD161" i="15"/>
  <c r="AC161" i="15"/>
  <c r="AG160" i="15"/>
  <c r="AF160" i="15"/>
  <c r="AE160" i="15"/>
  <c r="AD160" i="15"/>
  <c r="AC160" i="15"/>
  <c r="AG159" i="15"/>
  <c r="AF159" i="15"/>
  <c r="AE159" i="15"/>
  <c r="AD159" i="15"/>
  <c r="AC159" i="15"/>
  <c r="AG158" i="15"/>
  <c r="AF158" i="15"/>
  <c r="AE158" i="15"/>
  <c r="AD158" i="15"/>
  <c r="AC158" i="15"/>
  <c r="AG157" i="15"/>
  <c r="AF157" i="15"/>
  <c r="AE157" i="15"/>
  <c r="AD157" i="15"/>
  <c r="AC157" i="15"/>
  <c r="AG153" i="15"/>
  <c r="AF153" i="15"/>
  <c r="AE153" i="15"/>
  <c r="AD153" i="15"/>
  <c r="AC153" i="15"/>
  <c r="AG152" i="15"/>
  <c r="AF152" i="15"/>
  <c r="AE152" i="15"/>
  <c r="AD152" i="15"/>
  <c r="AC152" i="15"/>
  <c r="AG151" i="15"/>
  <c r="AF151" i="15"/>
  <c r="AE151" i="15"/>
  <c r="AD151" i="15"/>
  <c r="AC151" i="15"/>
  <c r="AG150" i="15"/>
  <c r="AF150" i="15"/>
  <c r="AE150" i="15"/>
  <c r="AD150" i="15"/>
  <c r="AC150" i="15"/>
  <c r="AG149" i="15"/>
  <c r="AF149" i="15"/>
  <c r="AE149" i="15"/>
  <c r="AD149" i="15"/>
  <c r="AC149" i="15"/>
  <c r="AG148" i="15"/>
  <c r="AF148" i="15"/>
  <c r="AE148" i="15"/>
  <c r="AD148" i="15"/>
  <c r="AC148" i="15"/>
  <c r="AG147" i="15"/>
  <c r="AF147" i="15"/>
  <c r="AE147" i="15"/>
  <c r="AD147" i="15"/>
  <c r="AC147" i="15"/>
  <c r="AG146" i="15"/>
  <c r="AF146" i="15"/>
  <c r="AE146" i="15"/>
  <c r="AD146" i="15"/>
  <c r="AC146" i="15"/>
  <c r="AG145" i="15"/>
  <c r="AF145" i="15"/>
  <c r="AE145" i="15"/>
  <c r="AD145" i="15"/>
  <c r="AC145" i="15"/>
  <c r="AG144" i="15"/>
  <c r="AF144" i="15"/>
  <c r="AE144" i="15"/>
  <c r="AD144" i="15"/>
  <c r="AC144" i="15"/>
  <c r="AG143" i="15"/>
  <c r="AF143" i="15"/>
  <c r="AE143" i="15"/>
  <c r="AD143" i="15"/>
  <c r="AC143" i="15"/>
  <c r="AG142" i="15"/>
  <c r="AF142" i="15"/>
  <c r="AE142" i="15"/>
  <c r="AD142" i="15"/>
  <c r="AC142" i="15"/>
  <c r="AG141" i="15"/>
  <c r="AF141" i="15"/>
  <c r="AE141" i="15"/>
  <c r="AD141" i="15"/>
  <c r="AC141" i="15"/>
  <c r="AG140" i="15"/>
  <c r="AF140" i="15"/>
  <c r="AE140" i="15"/>
  <c r="AD140" i="15"/>
  <c r="AC140" i="15"/>
  <c r="AG139" i="15"/>
  <c r="AF139" i="15"/>
  <c r="AE139" i="15"/>
  <c r="AD139" i="15"/>
  <c r="AC139" i="15"/>
  <c r="AG138" i="15"/>
  <c r="AF138" i="15"/>
  <c r="AE138" i="15"/>
  <c r="AD138" i="15"/>
  <c r="AC138" i="15"/>
  <c r="AG137" i="15"/>
  <c r="AF137" i="15"/>
  <c r="AE137" i="15"/>
  <c r="AD137" i="15"/>
  <c r="AC137" i="15"/>
  <c r="AG136" i="15"/>
  <c r="AF136" i="15"/>
  <c r="AE136" i="15"/>
  <c r="AD136" i="15"/>
  <c r="AC136" i="15"/>
  <c r="AG135" i="15"/>
  <c r="AF135" i="15"/>
  <c r="AE135" i="15"/>
  <c r="AD135" i="15"/>
  <c r="AC135" i="15"/>
  <c r="AG134" i="15"/>
  <c r="AF134" i="15"/>
  <c r="AE134" i="15"/>
  <c r="AD134" i="15"/>
  <c r="AC134" i="15"/>
  <c r="AG133" i="15"/>
  <c r="AF133" i="15"/>
  <c r="AE133" i="15"/>
  <c r="AD133" i="15"/>
  <c r="AC133" i="15"/>
  <c r="AG132" i="15"/>
  <c r="AF132" i="15"/>
  <c r="AE132" i="15"/>
  <c r="AD132" i="15"/>
  <c r="AC132" i="15"/>
  <c r="AG127" i="15"/>
  <c r="AF127" i="15"/>
  <c r="AE127" i="15"/>
  <c r="AD127" i="15"/>
  <c r="AC127" i="15"/>
  <c r="AG126" i="15"/>
  <c r="AF126" i="15"/>
  <c r="AE126" i="15"/>
  <c r="AD126" i="15"/>
  <c r="AC126" i="15"/>
  <c r="AG125" i="15"/>
  <c r="AF125" i="15"/>
  <c r="AE125" i="15"/>
  <c r="AD125" i="15"/>
  <c r="AC125" i="15"/>
  <c r="AG124" i="15"/>
  <c r="AF124" i="15"/>
  <c r="AE124" i="15"/>
  <c r="AD124" i="15"/>
  <c r="AC124" i="15"/>
  <c r="AG123" i="15"/>
  <c r="AF123" i="15"/>
  <c r="AE123" i="15"/>
  <c r="AD123" i="15"/>
  <c r="AC123" i="15"/>
  <c r="AG122" i="15"/>
  <c r="AF122" i="15"/>
  <c r="AE122" i="15"/>
  <c r="AD122" i="15"/>
  <c r="AC122" i="15"/>
  <c r="AG121" i="15"/>
  <c r="AF121" i="15"/>
  <c r="AE121" i="15"/>
  <c r="AD121" i="15"/>
  <c r="AC121" i="15"/>
  <c r="AG120" i="15"/>
  <c r="AF120" i="15"/>
  <c r="AE120" i="15"/>
  <c r="AD120" i="15"/>
  <c r="AC120" i="15"/>
  <c r="AG119" i="15"/>
  <c r="AF119" i="15"/>
  <c r="AE119" i="15"/>
  <c r="AD119" i="15"/>
  <c r="AC119" i="15"/>
  <c r="AG117" i="15"/>
  <c r="AF117" i="15"/>
  <c r="AE117" i="15"/>
  <c r="AD117" i="15"/>
  <c r="AC117" i="15"/>
  <c r="AG116" i="15"/>
  <c r="AF116" i="15"/>
  <c r="AE116" i="15"/>
  <c r="AD116" i="15"/>
  <c r="AC116" i="15"/>
  <c r="AG115" i="15"/>
  <c r="AF115" i="15"/>
  <c r="AE115" i="15"/>
  <c r="AD115" i="15"/>
  <c r="AC115" i="15"/>
  <c r="AG114" i="15"/>
  <c r="AF114" i="15"/>
  <c r="AE114" i="15"/>
  <c r="AD114" i="15"/>
  <c r="AC114" i="15"/>
  <c r="AG113" i="15"/>
  <c r="AF113" i="15"/>
  <c r="AE113" i="15"/>
  <c r="AD113" i="15"/>
  <c r="AC113" i="15"/>
  <c r="AG112" i="15"/>
  <c r="AF112" i="15"/>
  <c r="AE112" i="15"/>
  <c r="AD112" i="15"/>
  <c r="AC112" i="15"/>
  <c r="AG111" i="15"/>
  <c r="AF111" i="15"/>
  <c r="AE111" i="15"/>
  <c r="AD111" i="15"/>
  <c r="AC111" i="15"/>
  <c r="AG110" i="15"/>
  <c r="AF110" i="15"/>
  <c r="AE110" i="15"/>
  <c r="AD110" i="15"/>
  <c r="AC110" i="15"/>
  <c r="AG109" i="15"/>
  <c r="AF109" i="15"/>
  <c r="AE109" i="15"/>
  <c r="AD109" i="15"/>
  <c r="AC109" i="15"/>
  <c r="AG108" i="15"/>
  <c r="AF108" i="15"/>
  <c r="AE108" i="15"/>
  <c r="AD108" i="15"/>
  <c r="AC108" i="15"/>
  <c r="AG107" i="15"/>
  <c r="AF107" i="15"/>
  <c r="AE107" i="15"/>
  <c r="AD107" i="15"/>
  <c r="AC107" i="15"/>
  <c r="AG106" i="15"/>
  <c r="AF106" i="15"/>
  <c r="AE106" i="15"/>
  <c r="AD106" i="15"/>
  <c r="AC106" i="15"/>
  <c r="AG105" i="15"/>
  <c r="AF105" i="15"/>
  <c r="AE105" i="15"/>
  <c r="AD105" i="15"/>
  <c r="AC105" i="15"/>
  <c r="AG104" i="15"/>
  <c r="AF104" i="15"/>
  <c r="AE104" i="15"/>
  <c r="AD104" i="15"/>
  <c r="AC104" i="15"/>
  <c r="AG103" i="15"/>
  <c r="AF103" i="15"/>
  <c r="AE103" i="15"/>
  <c r="AD103" i="15"/>
  <c r="AC103" i="15"/>
  <c r="AG102" i="15"/>
  <c r="AF102" i="15"/>
  <c r="AE102" i="15"/>
  <c r="AD102" i="15"/>
  <c r="AC102" i="15"/>
  <c r="AG101" i="15"/>
  <c r="AF101" i="15"/>
  <c r="AE101" i="15"/>
  <c r="AD101" i="15"/>
  <c r="AC101" i="15"/>
  <c r="AG100" i="15"/>
  <c r="AF100" i="15"/>
  <c r="AE100" i="15"/>
  <c r="AD100" i="15"/>
  <c r="AC100" i="15"/>
  <c r="AG99" i="15"/>
  <c r="AF99" i="15"/>
  <c r="AE99" i="15"/>
  <c r="AD99" i="15"/>
  <c r="AC99" i="15"/>
  <c r="B529" i="33" l="1"/>
  <c r="I529" i="33"/>
  <c r="J529" i="33"/>
  <c r="K529" i="33"/>
  <c r="L529" i="33"/>
  <c r="M529" i="33"/>
  <c r="N529" i="33"/>
  <c r="O529" i="33"/>
  <c r="P529" i="33"/>
  <c r="Q529" i="33"/>
  <c r="R529" i="33"/>
  <c r="B530" i="33"/>
  <c r="I530" i="33"/>
  <c r="J530" i="33"/>
  <c r="K530" i="33"/>
  <c r="L530" i="33"/>
  <c r="M530" i="33"/>
  <c r="N530" i="33"/>
  <c r="O530" i="33"/>
  <c r="P530" i="33"/>
  <c r="Q530" i="33"/>
  <c r="R530" i="33"/>
  <c r="B531" i="33"/>
  <c r="I531" i="33"/>
  <c r="J531" i="33"/>
  <c r="K531" i="33"/>
  <c r="L531" i="33"/>
  <c r="M531" i="33"/>
  <c r="N531" i="33"/>
  <c r="O531" i="33"/>
  <c r="P531" i="33"/>
  <c r="Q531" i="33"/>
  <c r="R531" i="33"/>
  <c r="B532" i="33"/>
  <c r="I532" i="33"/>
  <c r="J532" i="33"/>
  <c r="K532" i="33"/>
  <c r="L532" i="33"/>
  <c r="M532" i="33"/>
  <c r="N532" i="33"/>
  <c r="O532" i="33"/>
  <c r="P532" i="33"/>
  <c r="Q532" i="33"/>
  <c r="R532" i="33"/>
  <c r="B533" i="33"/>
  <c r="I533" i="33"/>
  <c r="J533" i="33"/>
  <c r="K533" i="33"/>
  <c r="L533" i="33"/>
  <c r="M533" i="33"/>
  <c r="N533" i="33"/>
  <c r="O533" i="33"/>
  <c r="P533" i="33"/>
  <c r="Q533" i="33"/>
  <c r="R533" i="33"/>
  <c r="B524" i="33"/>
  <c r="I524" i="33"/>
  <c r="J524" i="33"/>
  <c r="K524" i="33"/>
  <c r="L524" i="33"/>
  <c r="M524" i="33"/>
  <c r="N524" i="33"/>
  <c r="O524" i="33"/>
  <c r="P524" i="33"/>
  <c r="Q524" i="33"/>
  <c r="R524" i="33"/>
  <c r="B525" i="33"/>
  <c r="I525" i="33"/>
  <c r="J525" i="33"/>
  <c r="K525" i="33"/>
  <c r="L525" i="33"/>
  <c r="M525" i="33"/>
  <c r="N525" i="33"/>
  <c r="O525" i="33"/>
  <c r="P525" i="33"/>
  <c r="Q525" i="33"/>
  <c r="R525" i="33"/>
  <c r="B526" i="33"/>
  <c r="I526" i="33"/>
  <c r="J526" i="33"/>
  <c r="K526" i="33"/>
  <c r="L526" i="33"/>
  <c r="M526" i="33"/>
  <c r="N526" i="33"/>
  <c r="O526" i="33"/>
  <c r="P526" i="33"/>
  <c r="Q526" i="33"/>
  <c r="R526" i="33"/>
  <c r="B527" i="33"/>
  <c r="I527" i="33"/>
  <c r="J527" i="33"/>
  <c r="K527" i="33"/>
  <c r="L527" i="33"/>
  <c r="M527" i="33"/>
  <c r="N527" i="33"/>
  <c r="O527" i="33"/>
  <c r="P527" i="33"/>
  <c r="Q527" i="33"/>
  <c r="R527" i="33"/>
  <c r="B528" i="33"/>
  <c r="I528" i="33"/>
  <c r="J528" i="33"/>
  <c r="K528" i="33"/>
  <c r="L528" i="33"/>
  <c r="M528" i="33"/>
  <c r="N528" i="33"/>
  <c r="O528" i="33"/>
  <c r="P528" i="33"/>
  <c r="Q528" i="33"/>
  <c r="R528" i="33"/>
  <c r="B512" i="33"/>
  <c r="B511" i="33"/>
  <c r="I511" i="33"/>
  <c r="J511" i="33"/>
  <c r="K511" i="33"/>
  <c r="L511" i="33"/>
  <c r="M511" i="33"/>
  <c r="N511" i="33"/>
  <c r="O511" i="33"/>
  <c r="P511" i="33"/>
  <c r="Q511" i="33"/>
  <c r="R511" i="33"/>
  <c r="B508" i="33"/>
  <c r="I508" i="33"/>
  <c r="J508" i="33"/>
  <c r="K508" i="33"/>
  <c r="L508" i="33"/>
  <c r="M508" i="33"/>
  <c r="N508" i="33"/>
  <c r="O508" i="33"/>
  <c r="P508" i="33"/>
  <c r="Q508" i="33"/>
  <c r="R508" i="33"/>
  <c r="B509" i="33"/>
  <c r="I509" i="33"/>
  <c r="J509" i="33"/>
  <c r="K509" i="33"/>
  <c r="L509" i="33"/>
  <c r="M509" i="33"/>
  <c r="N509" i="33"/>
  <c r="O509" i="33"/>
  <c r="P509" i="33"/>
  <c r="Q509" i="33"/>
  <c r="R509" i="33"/>
  <c r="B510" i="33"/>
  <c r="I510" i="33"/>
  <c r="J510" i="33"/>
  <c r="K510" i="33"/>
  <c r="L510" i="33"/>
  <c r="M510" i="33"/>
  <c r="N510" i="33"/>
  <c r="O510" i="33"/>
  <c r="P510" i="33"/>
  <c r="Q510" i="33"/>
  <c r="R510" i="33"/>
  <c r="B494" i="33"/>
  <c r="I494" i="33"/>
  <c r="J494" i="33"/>
  <c r="K494" i="33"/>
  <c r="L494" i="33"/>
  <c r="M494" i="33"/>
  <c r="N494" i="33"/>
  <c r="O494" i="33"/>
  <c r="P494" i="33"/>
  <c r="Q494" i="33"/>
  <c r="R494" i="33"/>
  <c r="B495" i="33"/>
  <c r="I495" i="33"/>
  <c r="J495" i="33"/>
  <c r="K495" i="33"/>
  <c r="L495" i="33"/>
  <c r="M495" i="33"/>
  <c r="N495" i="33"/>
  <c r="O495" i="33"/>
  <c r="P495" i="33"/>
  <c r="Q495" i="33"/>
  <c r="R495" i="33"/>
  <c r="B496" i="33"/>
  <c r="I496" i="33"/>
  <c r="J496" i="33"/>
  <c r="K496" i="33"/>
  <c r="L496" i="33"/>
  <c r="M496" i="33"/>
  <c r="N496" i="33"/>
  <c r="O496" i="33"/>
  <c r="P496" i="33"/>
  <c r="Q496" i="33"/>
  <c r="R496" i="33"/>
  <c r="B497" i="33"/>
  <c r="I497" i="33"/>
  <c r="J497" i="33"/>
  <c r="K497" i="33"/>
  <c r="L497" i="33"/>
  <c r="M497" i="33"/>
  <c r="N497" i="33"/>
  <c r="O497" i="33"/>
  <c r="P497" i="33"/>
  <c r="Q497" i="33"/>
  <c r="R497" i="33"/>
  <c r="B498" i="33"/>
  <c r="I498" i="33"/>
  <c r="J498" i="33"/>
  <c r="K498" i="33"/>
  <c r="L498" i="33"/>
  <c r="M498" i="33"/>
  <c r="N498" i="33"/>
  <c r="O498" i="33"/>
  <c r="P498" i="33"/>
  <c r="Q498" i="33"/>
  <c r="R498" i="33"/>
  <c r="B499" i="33"/>
  <c r="I499" i="33"/>
  <c r="J499" i="33"/>
  <c r="K499" i="33"/>
  <c r="L499" i="33"/>
  <c r="M499" i="33"/>
  <c r="N499" i="33"/>
  <c r="O499" i="33"/>
  <c r="P499" i="33"/>
  <c r="Q499" i="33"/>
  <c r="R499" i="33"/>
  <c r="B500" i="33"/>
  <c r="I500" i="33"/>
  <c r="J500" i="33"/>
  <c r="K500" i="33"/>
  <c r="L500" i="33"/>
  <c r="M500" i="33"/>
  <c r="N500" i="33"/>
  <c r="O500" i="33"/>
  <c r="P500" i="33"/>
  <c r="Q500" i="33"/>
  <c r="R500" i="33"/>
  <c r="B501" i="33"/>
  <c r="I501" i="33"/>
  <c r="J501" i="33"/>
  <c r="K501" i="33"/>
  <c r="L501" i="33"/>
  <c r="M501" i="33"/>
  <c r="N501" i="33"/>
  <c r="O501" i="33"/>
  <c r="P501" i="33"/>
  <c r="Q501" i="33"/>
  <c r="R501" i="33"/>
  <c r="B502" i="33"/>
  <c r="I502" i="33"/>
  <c r="J502" i="33"/>
  <c r="K502" i="33"/>
  <c r="L502" i="33"/>
  <c r="M502" i="33"/>
  <c r="N502" i="33"/>
  <c r="O502" i="33"/>
  <c r="P502" i="33"/>
  <c r="Q502" i="33"/>
  <c r="R502" i="33"/>
  <c r="B503" i="33"/>
  <c r="I503" i="33"/>
  <c r="J503" i="33"/>
  <c r="K503" i="33"/>
  <c r="L503" i="33"/>
  <c r="M503" i="33"/>
  <c r="N503" i="33"/>
  <c r="O503" i="33"/>
  <c r="P503" i="33"/>
  <c r="Q503" i="33"/>
  <c r="R503" i="33"/>
  <c r="B504" i="33"/>
  <c r="I504" i="33"/>
  <c r="J504" i="33"/>
  <c r="K504" i="33"/>
  <c r="L504" i="33"/>
  <c r="M504" i="33"/>
  <c r="N504" i="33"/>
  <c r="O504" i="33"/>
  <c r="P504" i="33"/>
  <c r="Q504" i="33"/>
  <c r="R504" i="33"/>
  <c r="B505" i="33"/>
  <c r="I505" i="33"/>
  <c r="J505" i="33"/>
  <c r="K505" i="33"/>
  <c r="L505" i="33"/>
  <c r="M505" i="33"/>
  <c r="N505" i="33"/>
  <c r="O505" i="33"/>
  <c r="P505" i="33"/>
  <c r="Q505" i="33"/>
  <c r="R505" i="33"/>
  <c r="B506" i="33"/>
  <c r="I506" i="33"/>
  <c r="J506" i="33"/>
  <c r="K506" i="33"/>
  <c r="L506" i="33"/>
  <c r="M506" i="33"/>
  <c r="N506" i="33"/>
  <c r="O506" i="33"/>
  <c r="P506" i="33"/>
  <c r="Q506" i="33"/>
  <c r="R506" i="33"/>
  <c r="B507" i="33"/>
  <c r="I507" i="33"/>
  <c r="J507" i="33"/>
  <c r="K507" i="33"/>
  <c r="L507" i="33"/>
  <c r="M507" i="33"/>
  <c r="N507" i="33"/>
  <c r="O507" i="33"/>
  <c r="P507" i="33"/>
  <c r="Q507" i="33"/>
  <c r="R507" i="33"/>
  <c r="B482" i="33"/>
  <c r="I482" i="33"/>
  <c r="J482" i="33"/>
  <c r="K482" i="33"/>
  <c r="L482" i="33"/>
  <c r="M482" i="33"/>
  <c r="N482" i="33"/>
  <c r="O482" i="33"/>
  <c r="P482" i="33"/>
  <c r="Q482" i="33"/>
  <c r="R482" i="33"/>
  <c r="B483" i="33"/>
  <c r="I483" i="33"/>
  <c r="J483" i="33"/>
  <c r="K483" i="33"/>
  <c r="L483" i="33"/>
  <c r="M483" i="33"/>
  <c r="N483" i="33"/>
  <c r="O483" i="33"/>
  <c r="P483" i="33"/>
  <c r="Q483" i="33"/>
  <c r="R483" i="33"/>
  <c r="B484" i="33"/>
  <c r="I484" i="33"/>
  <c r="J484" i="33"/>
  <c r="K484" i="33"/>
  <c r="L484" i="33"/>
  <c r="M484" i="33"/>
  <c r="N484" i="33"/>
  <c r="O484" i="33"/>
  <c r="P484" i="33"/>
  <c r="Q484" i="33"/>
  <c r="R484" i="33"/>
  <c r="B485" i="33"/>
  <c r="I485" i="33"/>
  <c r="J485" i="33"/>
  <c r="K485" i="33"/>
  <c r="L485" i="33"/>
  <c r="M485" i="33"/>
  <c r="N485" i="33"/>
  <c r="O485" i="33"/>
  <c r="P485" i="33"/>
  <c r="Q485" i="33"/>
  <c r="R485" i="33"/>
  <c r="B486" i="33"/>
  <c r="I486" i="33"/>
  <c r="J486" i="33"/>
  <c r="K486" i="33"/>
  <c r="L486" i="33"/>
  <c r="M486" i="33"/>
  <c r="N486" i="33"/>
  <c r="O486" i="33"/>
  <c r="P486" i="33"/>
  <c r="Q486" i="33"/>
  <c r="R486" i="33"/>
  <c r="B487" i="33"/>
  <c r="I487" i="33"/>
  <c r="J487" i="33"/>
  <c r="K487" i="33"/>
  <c r="L487" i="33"/>
  <c r="M487" i="33"/>
  <c r="N487" i="33"/>
  <c r="O487" i="33"/>
  <c r="P487" i="33"/>
  <c r="Q487" i="33"/>
  <c r="R487" i="33"/>
  <c r="B488" i="33"/>
  <c r="I488" i="33"/>
  <c r="J488" i="33"/>
  <c r="K488" i="33"/>
  <c r="L488" i="33"/>
  <c r="M488" i="33"/>
  <c r="N488" i="33"/>
  <c r="O488" i="33"/>
  <c r="P488" i="33"/>
  <c r="Q488" i="33"/>
  <c r="R488" i="33"/>
  <c r="B489" i="33"/>
  <c r="I489" i="33"/>
  <c r="J489" i="33"/>
  <c r="K489" i="33"/>
  <c r="L489" i="33"/>
  <c r="M489" i="33"/>
  <c r="N489" i="33"/>
  <c r="O489" i="33"/>
  <c r="P489" i="33"/>
  <c r="Q489" i="33"/>
  <c r="R489" i="33"/>
  <c r="B490" i="33"/>
  <c r="I490" i="33"/>
  <c r="J490" i="33"/>
  <c r="K490" i="33"/>
  <c r="L490" i="33"/>
  <c r="M490" i="33"/>
  <c r="N490" i="33"/>
  <c r="O490" i="33"/>
  <c r="P490" i="33"/>
  <c r="Q490" i="33"/>
  <c r="R490" i="33"/>
  <c r="B491" i="33"/>
  <c r="I491" i="33"/>
  <c r="J491" i="33"/>
  <c r="K491" i="33"/>
  <c r="L491" i="33"/>
  <c r="M491" i="33"/>
  <c r="N491" i="33"/>
  <c r="O491" i="33"/>
  <c r="P491" i="33"/>
  <c r="Q491" i="33"/>
  <c r="R491" i="33"/>
  <c r="B492" i="33"/>
  <c r="I492" i="33"/>
  <c r="J492" i="33"/>
  <c r="K492" i="33"/>
  <c r="L492" i="33"/>
  <c r="M492" i="33"/>
  <c r="N492" i="33"/>
  <c r="O492" i="33"/>
  <c r="P492" i="33"/>
  <c r="Q492" i="33"/>
  <c r="R492" i="33"/>
  <c r="B493" i="33"/>
  <c r="I493" i="33"/>
  <c r="J493" i="33"/>
  <c r="K493" i="33"/>
  <c r="L493" i="33"/>
  <c r="M493" i="33"/>
  <c r="N493" i="33"/>
  <c r="O493" i="33"/>
  <c r="P493" i="33"/>
  <c r="Q493" i="33"/>
  <c r="R493" i="33"/>
  <c r="G54" i="22"/>
  <c r="G55" i="22" s="1"/>
  <c r="F54" i="22" l="1"/>
  <c r="E54" i="22" s="1"/>
  <c r="T52" i="33"/>
  <c r="T51" i="33"/>
  <c r="S51" i="33"/>
  <c r="M23" i="3" l="1"/>
  <c r="S223" i="15"/>
  <c r="T223" i="15"/>
  <c r="S224" i="15"/>
  <c r="T224" i="15"/>
  <c r="S225" i="15"/>
  <c r="T225" i="15"/>
  <c r="S226" i="15"/>
  <c r="T226" i="15"/>
  <c r="S227" i="15"/>
  <c r="T227" i="15"/>
  <c r="S228" i="15"/>
  <c r="T228" i="15"/>
  <c r="S229" i="15"/>
  <c r="T229" i="15"/>
  <c r="S230" i="15"/>
  <c r="T230" i="15"/>
  <c r="S231" i="15"/>
  <c r="T231" i="15"/>
  <c r="S232" i="15"/>
  <c r="T232" i="15"/>
  <c r="S233" i="15"/>
  <c r="T233" i="15"/>
  <c r="S234" i="15"/>
  <c r="T234" i="15"/>
  <c r="S235" i="15"/>
  <c r="T235" i="15"/>
  <c r="S236" i="15"/>
  <c r="T236" i="15"/>
  <c r="S237" i="15"/>
  <c r="T237" i="15"/>
  <c r="S238" i="15"/>
  <c r="T238" i="15"/>
  <c r="S239" i="15"/>
  <c r="T239" i="15"/>
  <c r="S240" i="15"/>
  <c r="T240" i="15"/>
  <c r="S241" i="15"/>
  <c r="T241" i="15"/>
  <c r="S242" i="15"/>
  <c r="T242" i="15"/>
  <c r="S243" i="15"/>
  <c r="T243" i="15"/>
  <c r="S244" i="15"/>
  <c r="T244" i="15"/>
  <c r="S245" i="15"/>
  <c r="T245" i="15"/>
  <c r="S246" i="15"/>
  <c r="T246" i="15"/>
  <c r="S247" i="15"/>
  <c r="T247" i="15"/>
  <c r="S248" i="15"/>
  <c r="T248" i="15"/>
  <c r="S249" i="15"/>
  <c r="T249" i="15"/>
  <c r="S250" i="15"/>
  <c r="T250" i="15"/>
  <c r="S251" i="15"/>
  <c r="T251" i="15"/>
  <c r="S252" i="15"/>
  <c r="T252" i="15"/>
  <c r="S254" i="15"/>
  <c r="T254" i="15"/>
  <c r="S255" i="15"/>
  <c r="T255" i="15"/>
  <c r="S256" i="15"/>
  <c r="T256" i="15"/>
  <c r="S257" i="15"/>
  <c r="T257" i="15"/>
  <c r="S258" i="15"/>
  <c r="T258" i="15"/>
  <c r="S259" i="15"/>
  <c r="T259" i="15"/>
  <c r="S260" i="15"/>
  <c r="T260" i="15"/>
  <c r="S261" i="15"/>
  <c r="T261" i="15"/>
  <c r="S262" i="15"/>
  <c r="T262" i="15"/>
  <c r="S263" i="15"/>
  <c r="T263" i="15"/>
  <c r="S264" i="15"/>
  <c r="T264" i="15"/>
  <c r="S265" i="15"/>
  <c r="T265" i="15"/>
  <c r="S266" i="15"/>
  <c r="T266" i="15"/>
  <c r="S267" i="15"/>
  <c r="T267" i="15"/>
  <c r="S268" i="15"/>
  <c r="T268" i="15"/>
  <c r="S269" i="15"/>
  <c r="T269" i="15"/>
  <c r="S270" i="15"/>
  <c r="T270" i="15"/>
  <c r="S271" i="15"/>
  <c r="T271" i="15"/>
  <c r="S272" i="15"/>
  <c r="T272" i="15"/>
  <c r="S273" i="15"/>
  <c r="T273" i="15"/>
  <c r="S274" i="15"/>
  <c r="T274" i="15"/>
  <c r="S275" i="15"/>
  <c r="T275" i="15"/>
  <c r="S276" i="15"/>
  <c r="T276" i="15"/>
  <c r="S277" i="15"/>
  <c r="T277" i="15"/>
  <c r="S278" i="15"/>
  <c r="T278" i="15"/>
  <c r="S279" i="15"/>
  <c r="T279" i="15"/>
  <c r="S280" i="15"/>
  <c r="T280" i="15"/>
  <c r="S281" i="15"/>
  <c r="T281" i="15"/>
  <c r="S282" i="15"/>
  <c r="T282" i="15"/>
  <c r="S283" i="15"/>
  <c r="T283" i="15"/>
  <c r="S284" i="15"/>
  <c r="T284" i="15"/>
  <c r="S285" i="15"/>
  <c r="T285" i="15"/>
  <c r="S286" i="15"/>
  <c r="T286" i="15"/>
  <c r="S287" i="15"/>
  <c r="T287" i="15"/>
  <c r="S288" i="15"/>
  <c r="T288" i="15"/>
  <c r="S289" i="15"/>
  <c r="T289" i="15"/>
  <c r="S290" i="15"/>
  <c r="T290" i="15"/>
  <c r="S291" i="15"/>
  <c r="T291" i="15"/>
  <c r="S292" i="15"/>
  <c r="T292" i="15"/>
  <c r="S293" i="15"/>
  <c r="T293" i="15"/>
  <c r="S294" i="15"/>
  <c r="T294" i="15"/>
  <c r="S295" i="15"/>
  <c r="T295" i="15"/>
  <c r="S296" i="15"/>
  <c r="T296" i="15"/>
  <c r="S297" i="15"/>
  <c r="T297" i="15"/>
  <c r="S298" i="15"/>
  <c r="T298" i="15"/>
  <c r="T300" i="15"/>
  <c r="S301" i="15"/>
  <c r="T301" i="15"/>
  <c r="S302" i="15"/>
  <c r="T302" i="15"/>
  <c r="S303" i="15"/>
  <c r="T303" i="15"/>
  <c r="S304" i="15"/>
  <c r="T304" i="15"/>
  <c r="S305" i="15"/>
  <c r="T305" i="15"/>
  <c r="S306" i="15"/>
  <c r="T306" i="15"/>
  <c r="S307" i="15"/>
  <c r="T307" i="15"/>
  <c r="S308" i="15"/>
  <c r="T308" i="15"/>
  <c r="S309" i="15"/>
  <c r="T309" i="15"/>
  <c r="S310" i="15"/>
  <c r="T310" i="15"/>
  <c r="S311" i="15"/>
  <c r="T311" i="15"/>
  <c r="S312" i="15"/>
  <c r="T312" i="15"/>
  <c r="S313" i="15"/>
  <c r="T313" i="15"/>
  <c r="S314" i="15"/>
  <c r="T314" i="15"/>
  <c r="S315" i="15"/>
  <c r="T315" i="15"/>
  <c r="S316" i="15"/>
  <c r="T316" i="15"/>
  <c r="S317" i="15"/>
  <c r="T317" i="15"/>
  <c r="S318" i="15"/>
  <c r="T318" i="15"/>
  <c r="S319" i="15"/>
  <c r="T319" i="15"/>
  <c r="S321" i="15"/>
  <c r="T321" i="15"/>
  <c r="S322" i="15"/>
  <c r="T322" i="15"/>
  <c r="S323" i="15"/>
  <c r="T323" i="15"/>
  <c r="S324" i="15"/>
  <c r="T324" i="15"/>
  <c r="S325" i="15"/>
  <c r="T325" i="15"/>
  <c r="S326" i="15"/>
  <c r="T326" i="15"/>
  <c r="S327" i="15"/>
  <c r="T327" i="15"/>
  <c r="S328" i="15"/>
  <c r="T328" i="15"/>
  <c r="S329" i="15"/>
  <c r="T329" i="15"/>
  <c r="S330" i="15"/>
  <c r="T330" i="15"/>
  <c r="S331" i="15"/>
  <c r="T331" i="15"/>
  <c r="S332" i="15"/>
  <c r="T332" i="15"/>
  <c r="S333" i="15"/>
  <c r="T333" i="15"/>
  <c r="S334" i="15"/>
  <c r="T334" i="15"/>
  <c r="S335" i="15"/>
  <c r="T335" i="15"/>
  <c r="S336" i="15"/>
  <c r="T336" i="15"/>
  <c r="S337" i="15"/>
  <c r="T337" i="15"/>
  <c r="S338" i="15"/>
  <c r="T338" i="15"/>
  <c r="S339" i="15"/>
  <c r="T339" i="15"/>
  <c r="S340" i="15"/>
  <c r="T340" i="15"/>
  <c r="U99" i="15"/>
  <c r="V99" i="15"/>
  <c r="W99" i="15"/>
  <c r="X99" i="15"/>
  <c r="Y99" i="15"/>
  <c r="U100" i="15"/>
  <c r="V100" i="15"/>
  <c r="W100" i="15"/>
  <c r="X100" i="15"/>
  <c r="Y100" i="15"/>
  <c r="U101" i="15"/>
  <c r="V101" i="15"/>
  <c r="W101" i="15"/>
  <c r="X101" i="15"/>
  <c r="Y101" i="15"/>
  <c r="U102" i="15"/>
  <c r="V102" i="15"/>
  <c r="W102" i="15"/>
  <c r="X102" i="15"/>
  <c r="Y102" i="15"/>
  <c r="U103" i="15"/>
  <c r="V103" i="15"/>
  <c r="W103" i="15"/>
  <c r="X103" i="15"/>
  <c r="Y103" i="15"/>
  <c r="U104" i="15"/>
  <c r="V104" i="15"/>
  <c r="W104" i="15"/>
  <c r="X104" i="15"/>
  <c r="Y104" i="15"/>
  <c r="U105" i="15"/>
  <c r="V105" i="15"/>
  <c r="W105" i="15"/>
  <c r="X105" i="15"/>
  <c r="Y105" i="15"/>
  <c r="U106" i="15"/>
  <c r="V106" i="15"/>
  <c r="W106" i="15"/>
  <c r="X106" i="15"/>
  <c r="Y106" i="15"/>
  <c r="U107" i="15"/>
  <c r="V107" i="15"/>
  <c r="W107" i="15"/>
  <c r="X107" i="15"/>
  <c r="Y107" i="15"/>
  <c r="U108" i="15"/>
  <c r="V108" i="15"/>
  <c r="W108" i="15"/>
  <c r="X108" i="15"/>
  <c r="Y108" i="15"/>
  <c r="U109" i="15"/>
  <c r="V109" i="15"/>
  <c r="W109" i="15"/>
  <c r="X109" i="15"/>
  <c r="Y109" i="15"/>
  <c r="U110" i="15"/>
  <c r="V110" i="15"/>
  <c r="W110" i="15"/>
  <c r="X110" i="15"/>
  <c r="Y110" i="15"/>
  <c r="U111" i="15"/>
  <c r="V111" i="15"/>
  <c r="W111" i="15"/>
  <c r="X111" i="15"/>
  <c r="Y111" i="15"/>
  <c r="U112" i="15"/>
  <c r="V112" i="15"/>
  <c r="W112" i="15"/>
  <c r="X112" i="15"/>
  <c r="Y112" i="15"/>
  <c r="U113" i="15"/>
  <c r="V113" i="15"/>
  <c r="W113" i="15"/>
  <c r="X113" i="15"/>
  <c r="Y113" i="15"/>
  <c r="U114" i="15"/>
  <c r="V114" i="15"/>
  <c r="W114" i="15"/>
  <c r="X114" i="15"/>
  <c r="Y114" i="15"/>
  <c r="U115" i="15"/>
  <c r="V115" i="15"/>
  <c r="W115" i="15"/>
  <c r="X115" i="15"/>
  <c r="Y115" i="15"/>
  <c r="U116" i="15"/>
  <c r="V116" i="15"/>
  <c r="W116" i="15"/>
  <c r="X116" i="15"/>
  <c r="Y116" i="15"/>
  <c r="U117" i="15"/>
  <c r="V117" i="15"/>
  <c r="W117" i="15"/>
  <c r="X117" i="15"/>
  <c r="Y117" i="15"/>
  <c r="U119" i="15"/>
  <c r="V119" i="15"/>
  <c r="W119" i="15"/>
  <c r="X119" i="15"/>
  <c r="Y119" i="15"/>
  <c r="U120" i="15"/>
  <c r="V120" i="15"/>
  <c r="W120" i="15"/>
  <c r="X120" i="15"/>
  <c r="Y120" i="15"/>
  <c r="U121" i="15"/>
  <c r="V121" i="15"/>
  <c r="W121" i="15"/>
  <c r="X121" i="15"/>
  <c r="Y121" i="15"/>
  <c r="U122" i="15"/>
  <c r="V122" i="15"/>
  <c r="W122" i="15"/>
  <c r="X122" i="15"/>
  <c r="Y122" i="15"/>
  <c r="U123" i="15"/>
  <c r="V123" i="15"/>
  <c r="W123" i="15"/>
  <c r="X123" i="15"/>
  <c r="Y123" i="15"/>
  <c r="U124" i="15"/>
  <c r="V124" i="15"/>
  <c r="W124" i="15"/>
  <c r="X124" i="15"/>
  <c r="Y124" i="15"/>
  <c r="U125" i="15"/>
  <c r="V125" i="15"/>
  <c r="W125" i="15"/>
  <c r="X125" i="15"/>
  <c r="Y125" i="15"/>
  <c r="U126" i="15"/>
  <c r="V126" i="15"/>
  <c r="W126" i="15"/>
  <c r="X126" i="15"/>
  <c r="Y126" i="15"/>
  <c r="U127" i="15"/>
  <c r="V127" i="15"/>
  <c r="W127" i="15"/>
  <c r="X127" i="15"/>
  <c r="Y127" i="15"/>
  <c r="U132" i="15"/>
  <c r="V132" i="15"/>
  <c r="W132" i="15"/>
  <c r="X132" i="15"/>
  <c r="Y132" i="15"/>
  <c r="U133" i="15"/>
  <c r="V133" i="15"/>
  <c r="W133" i="15"/>
  <c r="X133" i="15"/>
  <c r="Y133" i="15"/>
  <c r="U134" i="15"/>
  <c r="V134" i="15"/>
  <c r="W134" i="15"/>
  <c r="X134" i="15"/>
  <c r="Y134" i="15"/>
  <c r="U135" i="15"/>
  <c r="V135" i="15"/>
  <c r="W135" i="15"/>
  <c r="X135" i="15"/>
  <c r="Y135" i="15"/>
  <c r="U136" i="15"/>
  <c r="V136" i="15"/>
  <c r="W136" i="15"/>
  <c r="X136" i="15"/>
  <c r="Y136" i="15"/>
  <c r="U137" i="15"/>
  <c r="V137" i="15"/>
  <c r="W137" i="15"/>
  <c r="X137" i="15"/>
  <c r="Y137" i="15"/>
  <c r="U138" i="15"/>
  <c r="V138" i="15"/>
  <c r="W138" i="15"/>
  <c r="X138" i="15"/>
  <c r="Y138" i="15"/>
  <c r="U139" i="15"/>
  <c r="V139" i="15"/>
  <c r="W139" i="15"/>
  <c r="X139" i="15"/>
  <c r="Y139" i="15"/>
  <c r="U140" i="15"/>
  <c r="V140" i="15"/>
  <c r="W140" i="15"/>
  <c r="X140" i="15"/>
  <c r="Y140" i="15"/>
  <c r="U141" i="15"/>
  <c r="V141" i="15"/>
  <c r="W141" i="15"/>
  <c r="X141" i="15"/>
  <c r="Y141" i="15"/>
  <c r="U142" i="15"/>
  <c r="V142" i="15"/>
  <c r="W142" i="15"/>
  <c r="X142" i="15"/>
  <c r="Y142" i="15"/>
  <c r="U143" i="15"/>
  <c r="V143" i="15"/>
  <c r="W143" i="15"/>
  <c r="X143" i="15"/>
  <c r="Y143" i="15"/>
  <c r="U144" i="15"/>
  <c r="V144" i="15"/>
  <c r="W144" i="15"/>
  <c r="X144" i="15"/>
  <c r="Y144" i="15"/>
  <c r="U145" i="15"/>
  <c r="V145" i="15"/>
  <c r="W145" i="15"/>
  <c r="X145" i="15"/>
  <c r="Y145" i="15"/>
  <c r="U146" i="15"/>
  <c r="V146" i="15"/>
  <c r="W146" i="15"/>
  <c r="X146" i="15"/>
  <c r="Y146" i="15"/>
  <c r="U147" i="15"/>
  <c r="V147" i="15"/>
  <c r="W147" i="15"/>
  <c r="X147" i="15"/>
  <c r="Y147" i="15"/>
  <c r="U148" i="15"/>
  <c r="V148" i="15"/>
  <c r="W148" i="15"/>
  <c r="X148" i="15"/>
  <c r="Y148" i="15"/>
  <c r="U149" i="15"/>
  <c r="V149" i="15"/>
  <c r="W149" i="15"/>
  <c r="X149" i="15"/>
  <c r="Y149" i="15"/>
  <c r="U150" i="15"/>
  <c r="V150" i="15"/>
  <c r="W150" i="15"/>
  <c r="X150" i="15"/>
  <c r="Y150" i="15"/>
  <c r="U151" i="15"/>
  <c r="V151" i="15"/>
  <c r="W151" i="15"/>
  <c r="X151" i="15"/>
  <c r="Y151" i="15"/>
  <c r="U152" i="15"/>
  <c r="V152" i="15"/>
  <c r="W152" i="15"/>
  <c r="X152" i="15"/>
  <c r="Y152" i="15"/>
  <c r="U153" i="15"/>
  <c r="V153" i="15"/>
  <c r="W153" i="15"/>
  <c r="X153" i="15"/>
  <c r="Y153" i="15"/>
  <c r="U157" i="15"/>
  <c r="V157" i="15"/>
  <c r="W157" i="15"/>
  <c r="X157" i="15"/>
  <c r="Y157" i="15"/>
  <c r="U158" i="15"/>
  <c r="V158" i="15"/>
  <c r="W158" i="15"/>
  <c r="X158" i="15"/>
  <c r="Y158" i="15"/>
  <c r="U159" i="15"/>
  <c r="V159" i="15"/>
  <c r="W159" i="15"/>
  <c r="X159" i="15"/>
  <c r="Y159" i="15"/>
  <c r="U160" i="15"/>
  <c r="V160" i="15"/>
  <c r="W160" i="15"/>
  <c r="X160" i="15"/>
  <c r="Y160" i="15"/>
  <c r="U161" i="15"/>
  <c r="V161" i="15"/>
  <c r="W161" i="15"/>
  <c r="X161" i="15"/>
  <c r="Y161" i="15"/>
  <c r="U162" i="15"/>
  <c r="V162" i="15"/>
  <c r="W162" i="15"/>
  <c r="X162" i="15"/>
  <c r="Y162" i="15"/>
  <c r="U163" i="15"/>
  <c r="V163" i="15"/>
  <c r="W163" i="15"/>
  <c r="X163" i="15"/>
  <c r="Y163" i="15"/>
  <c r="U164" i="15"/>
  <c r="V164" i="15"/>
  <c r="W164" i="15"/>
  <c r="X164" i="15"/>
  <c r="Y164" i="15"/>
  <c r="U165" i="15"/>
  <c r="V165" i="15"/>
  <c r="W165" i="15"/>
  <c r="X165" i="15"/>
  <c r="Y165" i="15"/>
  <c r="U166" i="15"/>
  <c r="V166" i="15"/>
  <c r="W166" i="15"/>
  <c r="X166" i="15"/>
  <c r="Y166" i="15"/>
  <c r="U167" i="15"/>
  <c r="V167" i="15"/>
  <c r="W167" i="15"/>
  <c r="X167" i="15"/>
  <c r="Y167" i="15"/>
  <c r="U168" i="15"/>
  <c r="V168" i="15"/>
  <c r="W168" i="15"/>
  <c r="X168" i="15"/>
  <c r="Y168" i="15"/>
  <c r="U169" i="15"/>
  <c r="V169" i="15"/>
  <c r="W169" i="15"/>
  <c r="X169" i="15"/>
  <c r="Y169" i="15"/>
  <c r="U170" i="15"/>
  <c r="V170" i="15"/>
  <c r="W170" i="15"/>
  <c r="X170" i="15"/>
  <c r="Y170" i="15"/>
  <c r="U171" i="15"/>
  <c r="V171" i="15"/>
  <c r="W171" i="15"/>
  <c r="X171" i="15"/>
  <c r="Y171" i="15"/>
  <c r="U172" i="15"/>
  <c r="V172" i="15"/>
  <c r="W172" i="15"/>
  <c r="X172" i="15"/>
  <c r="Y172" i="15"/>
  <c r="U173" i="15"/>
  <c r="V173" i="15"/>
  <c r="W173" i="15"/>
  <c r="X173" i="15"/>
  <c r="Y173" i="15"/>
  <c r="U176" i="15"/>
  <c r="V176" i="15"/>
  <c r="W176" i="15"/>
  <c r="X176" i="15"/>
  <c r="Y176" i="15"/>
  <c r="U177" i="15"/>
  <c r="V177" i="15"/>
  <c r="W177" i="15"/>
  <c r="X177" i="15"/>
  <c r="Y177" i="15"/>
  <c r="U178" i="15"/>
  <c r="V178" i="15"/>
  <c r="W178" i="15"/>
  <c r="X178" i="15"/>
  <c r="Y178" i="15"/>
  <c r="U179" i="15"/>
  <c r="V179" i="15"/>
  <c r="W179" i="15"/>
  <c r="X179" i="15"/>
  <c r="Y179" i="15"/>
  <c r="U180" i="15"/>
  <c r="V180" i="15"/>
  <c r="W180" i="15"/>
  <c r="X180" i="15"/>
  <c r="Y180" i="15"/>
  <c r="U181" i="15"/>
  <c r="V181" i="15"/>
  <c r="W181" i="15"/>
  <c r="X181" i="15"/>
  <c r="Y181" i="15"/>
  <c r="U182" i="15"/>
  <c r="V182" i="15"/>
  <c r="W182" i="15"/>
  <c r="X182" i="15"/>
  <c r="Y182" i="15"/>
  <c r="U183" i="15"/>
  <c r="V183" i="15"/>
  <c r="W183" i="15"/>
  <c r="X183" i="15"/>
  <c r="Y183" i="15"/>
  <c r="U184" i="15"/>
  <c r="V184" i="15"/>
  <c r="W184" i="15"/>
  <c r="X184" i="15"/>
  <c r="Y184" i="15"/>
  <c r="U186" i="15"/>
  <c r="V186" i="15"/>
  <c r="W186" i="15"/>
  <c r="X186" i="15"/>
  <c r="Y186" i="15"/>
  <c r="U187" i="15"/>
  <c r="V187" i="15"/>
  <c r="W187" i="15"/>
  <c r="X187" i="15"/>
  <c r="Y187" i="15"/>
  <c r="U188" i="15"/>
  <c r="V188" i="15"/>
  <c r="W188" i="15"/>
  <c r="X188" i="15"/>
  <c r="Y188" i="15"/>
  <c r="U189" i="15"/>
  <c r="V189" i="15"/>
  <c r="W189" i="15"/>
  <c r="X189" i="15"/>
  <c r="Y189" i="15"/>
  <c r="U190" i="15"/>
  <c r="V190" i="15"/>
  <c r="W190" i="15"/>
  <c r="X190" i="15"/>
  <c r="Y190" i="15"/>
  <c r="U191" i="15"/>
  <c r="V191" i="15"/>
  <c r="W191" i="15"/>
  <c r="X191" i="15"/>
  <c r="Y191" i="15"/>
  <c r="U192" i="15"/>
  <c r="V192" i="15"/>
  <c r="W192" i="15"/>
  <c r="X192" i="15"/>
  <c r="Y192" i="15"/>
  <c r="U193" i="15"/>
  <c r="V193" i="15"/>
  <c r="W193" i="15"/>
  <c r="X193" i="15"/>
  <c r="Y193" i="15"/>
  <c r="U194" i="15"/>
  <c r="V194" i="15"/>
  <c r="W194" i="15"/>
  <c r="X194" i="15"/>
  <c r="Y194" i="15"/>
  <c r="U196" i="15"/>
  <c r="V196" i="15"/>
  <c r="W196" i="15"/>
  <c r="X196" i="15"/>
  <c r="Y196" i="15"/>
  <c r="U197" i="15"/>
  <c r="V197" i="15"/>
  <c r="W197" i="15"/>
  <c r="X197" i="15"/>
  <c r="Y197" i="15"/>
  <c r="U198" i="15"/>
  <c r="V198" i="15"/>
  <c r="W198" i="15"/>
  <c r="X198" i="15"/>
  <c r="Y198" i="15"/>
  <c r="U199" i="15"/>
  <c r="V199" i="15"/>
  <c r="W199" i="15"/>
  <c r="X199" i="15"/>
  <c r="Y199" i="15"/>
  <c r="U200" i="15"/>
  <c r="V200" i="15"/>
  <c r="W200" i="15"/>
  <c r="X200" i="15"/>
  <c r="Y200" i="15"/>
  <c r="U201" i="15"/>
  <c r="V201" i="15"/>
  <c r="W201" i="15"/>
  <c r="X201" i="15"/>
  <c r="Y201" i="15"/>
  <c r="U202" i="15"/>
  <c r="V202" i="15"/>
  <c r="W202" i="15"/>
  <c r="X202" i="15"/>
  <c r="Y202" i="15"/>
  <c r="U203" i="15"/>
  <c r="V203" i="15"/>
  <c r="W203" i="15"/>
  <c r="X203" i="15"/>
  <c r="Y203" i="15"/>
  <c r="U204" i="15"/>
  <c r="V204" i="15"/>
  <c r="W204" i="15"/>
  <c r="X204" i="15"/>
  <c r="Y204" i="15"/>
  <c r="U205" i="15"/>
  <c r="V205" i="15"/>
  <c r="W205" i="15"/>
  <c r="X205" i="15"/>
  <c r="Y205" i="15"/>
  <c r="U206" i="15"/>
  <c r="V206" i="15"/>
  <c r="W206" i="15"/>
  <c r="X206" i="15"/>
  <c r="Y206" i="15"/>
  <c r="U207" i="15"/>
  <c r="V207" i="15"/>
  <c r="W207" i="15"/>
  <c r="X207" i="15"/>
  <c r="Y207" i="15"/>
  <c r="U208" i="15"/>
  <c r="V208" i="15"/>
  <c r="W208" i="15"/>
  <c r="X208" i="15"/>
  <c r="Y208" i="15"/>
  <c r="U209" i="15"/>
  <c r="V209" i="15"/>
  <c r="W209" i="15"/>
  <c r="X209" i="15"/>
  <c r="Y209" i="15"/>
  <c r="U210" i="15"/>
  <c r="V210" i="15"/>
  <c r="W210" i="15"/>
  <c r="X210" i="15"/>
  <c r="Y210" i="15"/>
  <c r="U211" i="15"/>
  <c r="V211" i="15"/>
  <c r="W211" i="15"/>
  <c r="X211" i="15"/>
  <c r="Y211" i="15"/>
  <c r="U212" i="15"/>
  <c r="V212" i="15"/>
  <c r="W212" i="15"/>
  <c r="X212" i="15"/>
  <c r="Y212" i="15"/>
  <c r="U213" i="15"/>
  <c r="V213" i="15"/>
  <c r="W213" i="15"/>
  <c r="X213" i="15"/>
  <c r="Y213" i="15"/>
  <c r="U214" i="15"/>
  <c r="V214" i="15"/>
  <c r="W214" i="15"/>
  <c r="X214" i="15"/>
  <c r="Y214" i="15"/>
  <c r="U215" i="15"/>
  <c r="V215" i="15"/>
  <c r="W215" i="15"/>
  <c r="X215" i="15"/>
  <c r="Y215" i="15"/>
  <c r="S25" i="15" l="1"/>
  <c r="R644" i="33" l="1"/>
  <c r="Q644" i="33"/>
  <c r="P644" i="33"/>
  <c r="O644" i="33"/>
  <c r="N644" i="33"/>
  <c r="M644" i="33"/>
  <c r="L644" i="33"/>
  <c r="K644" i="33"/>
  <c r="J644" i="33"/>
  <c r="I644" i="33"/>
  <c r="H644" i="33"/>
  <c r="R638" i="33"/>
  <c r="Q638" i="33"/>
  <c r="P638" i="33"/>
  <c r="O638" i="33"/>
  <c r="N638" i="33"/>
  <c r="M638" i="33"/>
  <c r="L638" i="33"/>
  <c r="K638" i="33"/>
  <c r="J638" i="33"/>
  <c r="I638" i="33"/>
  <c r="R626" i="33"/>
  <c r="Q626" i="33"/>
  <c r="P626" i="33"/>
  <c r="O626" i="33"/>
  <c r="N626" i="33"/>
  <c r="M626" i="33"/>
  <c r="L626" i="33"/>
  <c r="K626" i="33"/>
  <c r="J626" i="33"/>
  <c r="I626" i="33"/>
  <c r="H626" i="33"/>
  <c r="B626" i="33"/>
  <c r="B644" i="33" s="1"/>
  <c r="B620" i="33"/>
  <c r="B638" i="33" s="1"/>
  <c r="R620" i="33" l="1"/>
  <c r="Q620" i="33"/>
  <c r="P620" i="33"/>
  <c r="O620" i="33"/>
  <c r="N620" i="33"/>
  <c r="M620" i="33"/>
  <c r="L620" i="33"/>
  <c r="K620" i="33"/>
  <c r="J620" i="33"/>
  <c r="I620" i="33"/>
  <c r="H620" i="33"/>
  <c r="C23" i="31"/>
  <c r="C37" i="31"/>
  <c r="P209" i="21"/>
  <c r="O209" i="21"/>
  <c r="N209" i="21"/>
  <c r="M209" i="21"/>
  <c r="L209" i="21"/>
  <c r="K209" i="21"/>
  <c r="J209" i="21"/>
  <c r="I209" i="21"/>
  <c r="H209" i="21"/>
  <c r="G209" i="21"/>
  <c r="F209" i="21"/>
  <c r="P208" i="21"/>
  <c r="O208" i="21"/>
  <c r="N208" i="21"/>
  <c r="M208" i="21"/>
  <c r="L208" i="21"/>
  <c r="K208" i="21"/>
  <c r="J208" i="21"/>
  <c r="I208" i="21"/>
  <c r="H208" i="21"/>
  <c r="G208" i="21"/>
  <c r="F208" i="21"/>
  <c r="P207" i="21"/>
  <c r="O207" i="21"/>
  <c r="N207" i="21"/>
  <c r="M207" i="21"/>
  <c r="L207" i="21"/>
  <c r="K207" i="21"/>
  <c r="J207" i="21"/>
  <c r="I207" i="21"/>
  <c r="H207" i="21"/>
  <c r="G207" i="21"/>
  <c r="F207" i="21"/>
  <c r="P205" i="21"/>
  <c r="O205" i="21"/>
  <c r="N205" i="21"/>
  <c r="M205" i="21"/>
  <c r="L205" i="21"/>
  <c r="K205" i="21"/>
  <c r="J205" i="21"/>
  <c r="I205" i="21"/>
  <c r="H205" i="21"/>
  <c r="G205" i="21"/>
  <c r="F205" i="21"/>
  <c r="P204" i="21"/>
  <c r="O204" i="21"/>
  <c r="N204" i="21"/>
  <c r="M204" i="21"/>
  <c r="L204" i="21"/>
  <c r="K204" i="21"/>
  <c r="J204" i="21"/>
  <c r="I204" i="21"/>
  <c r="H204" i="21"/>
  <c r="G204" i="21"/>
  <c r="F204" i="21"/>
  <c r="P203" i="21"/>
  <c r="O203" i="21"/>
  <c r="N203" i="21"/>
  <c r="M203" i="21"/>
  <c r="L203" i="21"/>
  <c r="K203" i="21"/>
  <c r="J203" i="21"/>
  <c r="I203" i="21"/>
  <c r="H203" i="21"/>
  <c r="G203" i="21"/>
  <c r="F203" i="21"/>
  <c r="P202" i="21"/>
  <c r="O202" i="21"/>
  <c r="N202" i="21"/>
  <c r="M202" i="21"/>
  <c r="L202" i="21"/>
  <c r="K202" i="21"/>
  <c r="J202" i="21"/>
  <c r="I202" i="21"/>
  <c r="H202" i="21"/>
  <c r="G202" i="21"/>
  <c r="F202" i="21"/>
  <c r="P201" i="21"/>
  <c r="O201" i="21"/>
  <c r="N201" i="21"/>
  <c r="M201" i="21"/>
  <c r="L201" i="21"/>
  <c r="K201" i="21"/>
  <c r="J201" i="21"/>
  <c r="I201" i="21"/>
  <c r="H201" i="21"/>
  <c r="G201" i="21"/>
  <c r="F201" i="21"/>
  <c r="P200" i="21"/>
  <c r="O200" i="21"/>
  <c r="N200" i="21"/>
  <c r="M200" i="21"/>
  <c r="L200" i="21"/>
  <c r="K200" i="21"/>
  <c r="J200" i="21"/>
  <c r="I200" i="21"/>
  <c r="H200" i="21"/>
  <c r="G200" i="21"/>
  <c r="F200" i="21"/>
  <c r="P190" i="21"/>
  <c r="O190" i="21"/>
  <c r="N190" i="21"/>
  <c r="M190" i="21"/>
  <c r="L190" i="21"/>
  <c r="K190" i="21"/>
  <c r="J190" i="21"/>
  <c r="I190" i="21"/>
  <c r="H190" i="21"/>
  <c r="G190" i="21"/>
  <c r="F190" i="21"/>
  <c r="P189" i="21"/>
  <c r="O189" i="21"/>
  <c r="N189" i="21"/>
  <c r="M189" i="21"/>
  <c r="L189" i="21"/>
  <c r="K189" i="21"/>
  <c r="J189" i="21"/>
  <c r="I189" i="21"/>
  <c r="H189" i="21"/>
  <c r="G189" i="21"/>
  <c r="F189" i="21"/>
  <c r="P188" i="21"/>
  <c r="O188" i="21"/>
  <c r="N188" i="21"/>
  <c r="M188" i="21"/>
  <c r="L188" i="21"/>
  <c r="K188" i="21"/>
  <c r="J188" i="21"/>
  <c r="I188" i="21"/>
  <c r="H188" i="21"/>
  <c r="G188" i="21"/>
  <c r="P186" i="21"/>
  <c r="O186" i="21"/>
  <c r="N186" i="21"/>
  <c r="M186" i="21"/>
  <c r="L186" i="21"/>
  <c r="K186" i="21"/>
  <c r="J186" i="21"/>
  <c r="I186" i="21"/>
  <c r="H186" i="21"/>
  <c r="G186" i="21"/>
  <c r="F186" i="21"/>
  <c r="P185" i="21"/>
  <c r="O185" i="21"/>
  <c r="N185" i="21"/>
  <c r="M185" i="21"/>
  <c r="L185" i="21"/>
  <c r="K185" i="21"/>
  <c r="J185" i="21"/>
  <c r="I185" i="21"/>
  <c r="H185" i="21"/>
  <c r="G185" i="21"/>
  <c r="F185" i="21"/>
  <c r="P184" i="21"/>
  <c r="O184" i="21"/>
  <c r="N184" i="21"/>
  <c r="M184" i="21"/>
  <c r="L184" i="21"/>
  <c r="K184" i="21"/>
  <c r="J184" i="21"/>
  <c r="I184" i="21"/>
  <c r="H184" i="21"/>
  <c r="G184" i="21"/>
  <c r="F184" i="21"/>
  <c r="P183" i="21"/>
  <c r="O183" i="21"/>
  <c r="N183" i="21"/>
  <c r="M183" i="21"/>
  <c r="L183" i="21"/>
  <c r="K183" i="21"/>
  <c r="J183" i="21"/>
  <c r="I183" i="21"/>
  <c r="H183" i="21"/>
  <c r="G183" i="21"/>
  <c r="F183" i="21"/>
  <c r="P182" i="21"/>
  <c r="O182" i="21"/>
  <c r="N182" i="21"/>
  <c r="M182" i="21"/>
  <c r="L182" i="21"/>
  <c r="K182" i="21"/>
  <c r="J182" i="21"/>
  <c r="I182" i="21"/>
  <c r="H182" i="21"/>
  <c r="G182" i="21"/>
  <c r="F182" i="21"/>
  <c r="P181" i="21"/>
  <c r="O181" i="21"/>
  <c r="N181" i="21"/>
  <c r="M181" i="21"/>
  <c r="L181" i="21"/>
  <c r="K181" i="21"/>
  <c r="J181" i="21"/>
  <c r="I181" i="21"/>
  <c r="H181" i="21"/>
  <c r="G181" i="21"/>
  <c r="F181" i="21"/>
  <c r="P180" i="21"/>
  <c r="O180" i="21"/>
  <c r="N180" i="21"/>
  <c r="M180" i="21"/>
  <c r="L180" i="21"/>
  <c r="K180" i="21"/>
  <c r="J180" i="21"/>
  <c r="I180" i="21"/>
  <c r="H180" i="21"/>
  <c r="G180" i="21"/>
  <c r="F180" i="21"/>
  <c r="Q176" i="21"/>
  <c r="P156" i="21"/>
  <c r="O156" i="21"/>
  <c r="N156" i="21"/>
  <c r="M156" i="21"/>
  <c r="L156" i="21"/>
  <c r="K156" i="21"/>
  <c r="J156" i="21"/>
  <c r="I156" i="21"/>
  <c r="H156" i="21"/>
  <c r="G156" i="21"/>
  <c r="F156" i="21"/>
  <c r="P155" i="21"/>
  <c r="O155" i="21"/>
  <c r="N155" i="21"/>
  <c r="M155" i="21"/>
  <c r="L155" i="21"/>
  <c r="K155" i="21"/>
  <c r="J155" i="21"/>
  <c r="I155" i="21"/>
  <c r="H155" i="21"/>
  <c r="G155" i="21"/>
  <c r="F155" i="21"/>
  <c r="T155" i="21" s="1"/>
  <c r="P154" i="21"/>
  <c r="O154" i="21"/>
  <c r="N154" i="21"/>
  <c r="M154" i="21"/>
  <c r="L154" i="21"/>
  <c r="K154" i="21"/>
  <c r="J154" i="21"/>
  <c r="I154" i="21"/>
  <c r="H154" i="21"/>
  <c r="G154" i="21"/>
  <c r="F154" i="21"/>
  <c r="T152" i="21"/>
  <c r="P152" i="21"/>
  <c r="O152" i="21"/>
  <c r="N152" i="21"/>
  <c r="M152" i="21"/>
  <c r="L152" i="21"/>
  <c r="K152" i="21"/>
  <c r="J152" i="21"/>
  <c r="I152" i="21"/>
  <c r="H152" i="21"/>
  <c r="G152" i="21"/>
  <c r="F152" i="21"/>
  <c r="P151" i="21"/>
  <c r="O151" i="21"/>
  <c r="N151" i="21"/>
  <c r="M151" i="21"/>
  <c r="L151" i="21"/>
  <c r="K151" i="21"/>
  <c r="J151" i="21"/>
  <c r="I151" i="21"/>
  <c r="H151" i="21"/>
  <c r="G151" i="21"/>
  <c r="F151" i="21"/>
  <c r="P150" i="21"/>
  <c r="O150" i="21"/>
  <c r="N150" i="21"/>
  <c r="M150" i="21"/>
  <c r="L150" i="21"/>
  <c r="K150" i="21"/>
  <c r="J150" i="21"/>
  <c r="I150" i="21"/>
  <c r="H150" i="21"/>
  <c r="G150" i="21"/>
  <c r="F150" i="21"/>
  <c r="P149" i="21"/>
  <c r="O149" i="21"/>
  <c r="N149" i="21"/>
  <c r="M149" i="21"/>
  <c r="L149" i="21"/>
  <c r="K149" i="21"/>
  <c r="J149" i="21"/>
  <c r="I149" i="21"/>
  <c r="H149" i="21"/>
  <c r="G149" i="21"/>
  <c r="F149" i="21"/>
  <c r="P148" i="21"/>
  <c r="O148" i="21"/>
  <c r="N148" i="21"/>
  <c r="M148" i="21"/>
  <c r="L148" i="21"/>
  <c r="K148" i="21"/>
  <c r="J148" i="21"/>
  <c r="I148" i="21"/>
  <c r="H148" i="21"/>
  <c r="G148" i="21"/>
  <c r="F148" i="21"/>
  <c r="P147" i="21"/>
  <c r="O147" i="21"/>
  <c r="N147" i="21"/>
  <c r="M147" i="21"/>
  <c r="L147" i="21"/>
  <c r="K147" i="21"/>
  <c r="J147" i="21"/>
  <c r="I147" i="21"/>
  <c r="H147" i="21"/>
  <c r="G147" i="21"/>
  <c r="F147" i="21"/>
  <c r="P137" i="21"/>
  <c r="O137" i="21"/>
  <c r="N137" i="21"/>
  <c r="M137" i="21"/>
  <c r="L137" i="21"/>
  <c r="K137" i="21"/>
  <c r="J137" i="21"/>
  <c r="I137" i="21"/>
  <c r="H137" i="21"/>
  <c r="G137" i="21"/>
  <c r="F137" i="21"/>
  <c r="S137" i="21" s="1"/>
  <c r="T137" i="21" s="1"/>
  <c r="P136" i="21"/>
  <c r="O136" i="21"/>
  <c r="N136" i="21"/>
  <c r="M136" i="21"/>
  <c r="L136" i="21"/>
  <c r="K136" i="21"/>
  <c r="J136" i="21"/>
  <c r="I136" i="21"/>
  <c r="H136" i="21"/>
  <c r="G136" i="21"/>
  <c r="F136" i="21"/>
  <c r="P135" i="21"/>
  <c r="O135" i="21"/>
  <c r="N135" i="21"/>
  <c r="M135" i="21"/>
  <c r="L135" i="21"/>
  <c r="K135" i="21"/>
  <c r="J135" i="21"/>
  <c r="I135" i="21"/>
  <c r="H135" i="21"/>
  <c r="G135" i="21"/>
  <c r="P133" i="21"/>
  <c r="O133" i="21"/>
  <c r="N133" i="21"/>
  <c r="M133" i="21"/>
  <c r="L133" i="21"/>
  <c r="K133" i="21"/>
  <c r="J133" i="21"/>
  <c r="I133" i="21"/>
  <c r="H133" i="21"/>
  <c r="G133" i="21"/>
  <c r="F133" i="21"/>
  <c r="P132" i="21"/>
  <c r="O132" i="21"/>
  <c r="N132" i="21"/>
  <c r="M132" i="21"/>
  <c r="L132" i="21"/>
  <c r="K132" i="21"/>
  <c r="J132" i="21"/>
  <c r="I132" i="21"/>
  <c r="H132" i="21"/>
  <c r="G132" i="21"/>
  <c r="F132" i="21"/>
  <c r="S132" i="21" s="1"/>
  <c r="T132" i="21" s="1"/>
  <c r="P131" i="21"/>
  <c r="O131" i="21"/>
  <c r="N131" i="21"/>
  <c r="M131" i="21"/>
  <c r="L131" i="21"/>
  <c r="K131" i="21"/>
  <c r="J131" i="21"/>
  <c r="I131" i="21"/>
  <c r="H131" i="21"/>
  <c r="G131" i="21"/>
  <c r="F131" i="21"/>
  <c r="P130" i="21"/>
  <c r="O130" i="21"/>
  <c r="N130" i="21"/>
  <c r="M130" i="21"/>
  <c r="L130" i="21"/>
  <c r="K130" i="21"/>
  <c r="J130" i="21"/>
  <c r="I130" i="21"/>
  <c r="H130" i="21"/>
  <c r="G130" i="21"/>
  <c r="F130" i="21"/>
  <c r="P129" i="21"/>
  <c r="O129" i="21"/>
  <c r="N129" i="21"/>
  <c r="M129" i="21"/>
  <c r="L129" i="21"/>
  <c r="K129" i="21"/>
  <c r="J129" i="21"/>
  <c r="I129" i="21"/>
  <c r="H129" i="21"/>
  <c r="G129" i="21"/>
  <c r="F129" i="21"/>
  <c r="P128" i="21"/>
  <c r="O128" i="21"/>
  <c r="N128" i="21"/>
  <c r="M128" i="21"/>
  <c r="L128" i="21"/>
  <c r="K128" i="21"/>
  <c r="J128" i="21"/>
  <c r="I128" i="21"/>
  <c r="H128" i="21"/>
  <c r="G128" i="21"/>
  <c r="F128" i="21"/>
  <c r="P127" i="21"/>
  <c r="O127" i="21"/>
  <c r="P171" i="21" s="1"/>
  <c r="N127" i="21"/>
  <c r="O171" i="21" s="1"/>
  <c r="M127" i="21"/>
  <c r="N170" i="21" s="1"/>
  <c r="L127" i="21"/>
  <c r="K127" i="21"/>
  <c r="L171" i="21" s="1"/>
  <c r="J127" i="21"/>
  <c r="I127" i="21"/>
  <c r="J171" i="21" s="1"/>
  <c r="H127" i="21"/>
  <c r="I171" i="21" s="1"/>
  <c r="G127" i="21"/>
  <c r="H171" i="21" s="1"/>
  <c r="F127" i="21"/>
  <c r="Q171" i="21" s="1"/>
  <c r="T124" i="21"/>
  <c r="S124" i="21"/>
  <c r="R124" i="21"/>
  <c r="S123" i="21"/>
  <c r="R123" i="21"/>
  <c r="Q123" i="21"/>
  <c r="Q118" i="21"/>
  <c r="P118" i="21"/>
  <c r="O118" i="21"/>
  <c r="N118" i="21"/>
  <c r="M118" i="21"/>
  <c r="L118" i="21"/>
  <c r="K118" i="21"/>
  <c r="J118" i="21"/>
  <c r="I118" i="21"/>
  <c r="H118" i="21"/>
  <c r="G118" i="21"/>
  <c r="Q117" i="21"/>
  <c r="P117" i="21"/>
  <c r="O117" i="21"/>
  <c r="N117" i="21"/>
  <c r="M117" i="21"/>
  <c r="L117" i="21"/>
  <c r="K117" i="21"/>
  <c r="J117" i="21"/>
  <c r="I117" i="21"/>
  <c r="H117" i="21"/>
  <c r="G117" i="21"/>
  <c r="P105" i="21"/>
  <c r="O105" i="21"/>
  <c r="O107" i="21" s="1"/>
  <c r="N105" i="21"/>
  <c r="N107" i="21" s="1"/>
  <c r="M105" i="21"/>
  <c r="M107" i="21" s="1"/>
  <c r="L105" i="21"/>
  <c r="L107" i="21" s="1"/>
  <c r="K105" i="21"/>
  <c r="K107" i="21" s="1"/>
  <c r="J105" i="21"/>
  <c r="J107" i="21" s="1"/>
  <c r="I105" i="21"/>
  <c r="H105" i="21"/>
  <c r="H107" i="21" s="1"/>
  <c r="G105" i="21"/>
  <c r="G107" i="21" s="1"/>
  <c r="F105" i="21"/>
  <c r="F107" i="21" s="1"/>
  <c r="T103" i="21"/>
  <c r="S103" i="21"/>
  <c r="Q103" i="21"/>
  <c r="T102" i="21"/>
  <c r="S102" i="21"/>
  <c r="Q102" i="21"/>
  <c r="T101" i="21"/>
  <c r="S101" i="21"/>
  <c r="Q101" i="21"/>
  <c r="T99" i="21"/>
  <c r="S99" i="21"/>
  <c r="Q99" i="21"/>
  <c r="S98" i="21"/>
  <c r="T98" i="21" s="1"/>
  <c r="Q98" i="21"/>
  <c r="S97" i="21"/>
  <c r="T97" i="21" s="1"/>
  <c r="Q97" i="21"/>
  <c r="S96" i="21"/>
  <c r="T96" i="21" s="1"/>
  <c r="Q96" i="21"/>
  <c r="S95" i="21"/>
  <c r="T95" i="21" s="1"/>
  <c r="Q95" i="21"/>
  <c r="S94" i="21"/>
  <c r="T94" i="21" s="1"/>
  <c r="Q94" i="21"/>
  <c r="P86" i="21"/>
  <c r="P88" i="21" s="1"/>
  <c r="O86" i="21"/>
  <c r="O88" i="21" s="1"/>
  <c r="N86" i="21"/>
  <c r="N88" i="21" s="1"/>
  <c r="N112" i="21" s="1"/>
  <c r="M86" i="21"/>
  <c r="M90" i="21" s="1"/>
  <c r="L86" i="21"/>
  <c r="K86" i="21"/>
  <c r="K111" i="21" s="1"/>
  <c r="J86" i="21"/>
  <c r="J90" i="21" s="1"/>
  <c r="P29" i="32" s="1"/>
  <c r="I86" i="21"/>
  <c r="I90" i="21" s="1"/>
  <c r="O29" i="32" s="1"/>
  <c r="H86" i="21"/>
  <c r="H88" i="21" s="1"/>
  <c r="H112" i="21" s="1"/>
  <c r="G86" i="21"/>
  <c r="G88" i="21" s="1"/>
  <c r="S84" i="21"/>
  <c r="T84" i="21" s="1"/>
  <c r="Q84" i="21"/>
  <c r="S83" i="21"/>
  <c r="T83" i="21" s="1"/>
  <c r="Q83" i="21"/>
  <c r="Q82" i="21"/>
  <c r="T80" i="21"/>
  <c r="S80" i="21"/>
  <c r="Q80" i="21"/>
  <c r="S79" i="21"/>
  <c r="T79" i="21" s="1"/>
  <c r="Q79" i="21"/>
  <c r="S78" i="21"/>
  <c r="T78" i="21" s="1"/>
  <c r="Q78" i="21"/>
  <c r="S77" i="21"/>
  <c r="T77" i="21" s="1"/>
  <c r="Q77" i="21"/>
  <c r="S76" i="21"/>
  <c r="T76" i="21" s="1"/>
  <c r="Q76" i="21"/>
  <c r="S75" i="21"/>
  <c r="T75" i="21" s="1"/>
  <c r="Q75" i="21"/>
  <c r="S74" i="21"/>
  <c r="T74" i="21" s="1"/>
  <c r="Q74" i="21"/>
  <c r="T71" i="21"/>
  <c r="S71" i="21"/>
  <c r="R71" i="21"/>
  <c r="S70" i="21"/>
  <c r="R70" i="21"/>
  <c r="Q70" i="21"/>
  <c r="Q65" i="21"/>
  <c r="P65" i="21"/>
  <c r="O65" i="21"/>
  <c r="N65" i="21"/>
  <c r="N222" i="21" s="1"/>
  <c r="M65" i="21"/>
  <c r="L65" i="21"/>
  <c r="L222" i="21" s="1"/>
  <c r="K65" i="21"/>
  <c r="K222" i="21" s="1"/>
  <c r="J65" i="21"/>
  <c r="J222" i="21" s="1"/>
  <c r="I65" i="21"/>
  <c r="H65" i="21"/>
  <c r="G65" i="21"/>
  <c r="P64" i="21"/>
  <c r="O64" i="21"/>
  <c r="O221" i="21" s="1"/>
  <c r="N64" i="21"/>
  <c r="N221" i="21" s="1"/>
  <c r="M64" i="21"/>
  <c r="M221" i="21" s="1"/>
  <c r="L64" i="21"/>
  <c r="L221" i="21" s="1"/>
  <c r="K64" i="21"/>
  <c r="J64" i="21"/>
  <c r="I64" i="21"/>
  <c r="I221" i="21" s="1"/>
  <c r="H64" i="21"/>
  <c r="G64" i="21"/>
  <c r="P52" i="21"/>
  <c r="P54" i="21" s="1"/>
  <c r="O52" i="21"/>
  <c r="O54" i="21" s="1"/>
  <c r="N52" i="21"/>
  <c r="N54" i="21" s="1"/>
  <c r="M52" i="21"/>
  <c r="L52" i="21"/>
  <c r="K52" i="21"/>
  <c r="K211" i="21" s="1"/>
  <c r="J52" i="21"/>
  <c r="J54" i="21" s="1"/>
  <c r="I52" i="21"/>
  <c r="I54" i="21" s="1"/>
  <c r="H52" i="21"/>
  <c r="H54" i="21" s="1"/>
  <c r="G52" i="21"/>
  <c r="G54" i="21" s="1"/>
  <c r="F52" i="21"/>
  <c r="F54" i="21" s="1"/>
  <c r="T50" i="21"/>
  <c r="S50" i="21"/>
  <c r="Q50" i="21"/>
  <c r="Q209" i="21" s="1"/>
  <c r="T49" i="21"/>
  <c r="S49" i="21"/>
  <c r="Q49" i="21"/>
  <c r="Q208" i="21" s="1"/>
  <c r="T48" i="21"/>
  <c r="S48" i="21"/>
  <c r="Q48" i="21"/>
  <c r="T46" i="21"/>
  <c r="S46" i="21"/>
  <c r="Q46" i="21"/>
  <c r="Q205" i="21" s="1"/>
  <c r="S45" i="21"/>
  <c r="T45" i="21" s="1"/>
  <c r="Q45" i="21"/>
  <c r="S44" i="21"/>
  <c r="T44" i="21" s="1"/>
  <c r="Q44" i="21"/>
  <c r="S43" i="21"/>
  <c r="Q43" i="21"/>
  <c r="T42" i="21"/>
  <c r="S42" i="21"/>
  <c r="Q42" i="21"/>
  <c r="Q201" i="21" s="1"/>
  <c r="S41" i="21"/>
  <c r="T41" i="21" s="1"/>
  <c r="Q41" i="21"/>
  <c r="Q200" i="21" s="1"/>
  <c r="P33" i="21"/>
  <c r="P35" i="21" s="1"/>
  <c r="O33" i="21"/>
  <c r="O35" i="21" s="1"/>
  <c r="N33" i="21"/>
  <c r="N35" i="21" s="1"/>
  <c r="M33" i="21"/>
  <c r="L33" i="21"/>
  <c r="K33" i="21"/>
  <c r="J33" i="21"/>
  <c r="I33" i="21"/>
  <c r="I37" i="21" s="1"/>
  <c r="O28" i="32" s="1"/>
  <c r="H33" i="21"/>
  <c r="H35" i="21" s="1"/>
  <c r="G33" i="21"/>
  <c r="G35" i="21" s="1"/>
  <c r="F33" i="21"/>
  <c r="F35" i="21" s="1"/>
  <c r="S31" i="21"/>
  <c r="T31" i="21" s="1"/>
  <c r="Q31" i="21"/>
  <c r="Q190" i="21" s="1"/>
  <c r="S30" i="21"/>
  <c r="T30" i="21" s="1"/>
  <c r="Q30" i="21"/>
  <c r="S29" i="21"/>
  <c r="T29" i="21" s="1"/>
  <c r="Q29" i="21"/>
  <c r="Q188" i="21" s="1"/>
  <c r="T27" i="21"/>
  <c r="S27" i="21"/>
  <c r="Q27" i="21"/>
  <c r="Q186" i="21" s="1"/>
  <c r="S26" i="21"/>
  <c r="T26" i="21" s="1"/>
  <c r="Q26" i="21"/>
  <c r="S25" i="21"/>
  <c r="T25" i="21" s="1"/>
  <c r="Q25" i="21"/>
  <c r="Q184" i="21" s="1"/>
  <c r="T24" i="21"/>
  <c r="S24" i="21"/>
  <c r="Q24" i="21"/>
  <c r="S23" i="21"/>
  <c r="T23" i="21" s="1"/>
  <c r="Q23" i="21"/>
  <c r="S22" i="21"/>
  <c r="T22" i="21" s="1"/>
  <c r="Q22" i="21"/>
  <c r="S21" i="21"/>
  <c r="T21" i="21" s="1"/>
  <c r="Q21" i="21"/>
  <c r="Q204" i="21" l="1"/>
  <c r="Q202" i="21"/>
  <c r="L211" i="21"/>
  <c r="L111" i="21"/>
  <c r="Q182" i="21"/>
  <c r="Q185" i="21"/>
  <c r="L192" i="21"/>
  <c r="Q130" i="21"/>
  <c r="Q183" i="21"/>
  <c r="O222" i="21"/>
  <c r="M192" i="21"/>
  <c r="J221" i="21"/>
  <c r="H222" i="21"/>
  <c r="P222" i="21"/>
  <c r="K221" i="21"/>
  <c r="I222" i="21"/>
  <c r="S130" i="21"/>
  <c r="T130" i="21" s="1"/>
  <c r="G222" i="21"/>
  <c r="Q222" i="21"/>
  <c r="T148" i="21"/>
  <c r="S148" i="21"/>
  <c r="S151" i="21"/>
  <c r="T151" i="21" s="1"/>
  <c r="Q181" i="21"/>
  <c r="S638" i="33"/>
  <c r="J139" i="21"/>
  <c r="J141" i="21" s="1"/>
  <c r="J165" i="21" s="1"/>
  <c r="M222" i="21"/>
  <c r="Q189" i="21"/>
  <c r="H221" i="21"/>
  <c r="P221" i="21"/>
  <c r="S644" i="33"/>
  <c r="S128" i="21"/>
  <c r="T128" i="21" s="1"/>
  <c r="Q131" i="21"/>
  <c r="Q137" i="21"/>
  <c r="F158" i="21"/>
  <c r="F160" i="21" s="1"/>
  <c r="N158" i="21"/>
  <c r="N160" i="21" s="1"/>
  <c r="S149" i="21"/>
  <c r="T149" i="21" s="1"/>
  <c r="S155" i="21"/>
  <c r="Q203" i="21"/>
  <c r="U626" i="33"/>
  <c r="U644" i="33"/>
  <c r="L170" i="21"/>
  <c r="K139" i="21"/>
  <c r="S154" i="21"/>
  <c r="Q180" i="21"/>
  <c r="L54" i="21"/>
  <c r="O112" i="21"/>
  <c r="S136" i="21"/>
  <c r="T136" i="21" s="1"/>
  <c r="J158" i="21"/>
  <c r="J160" i="21" s="1"/>
  <c r="G211" i="21"/>
  <c r="M113" i="21"/>
  <c r="O211" i="21"/>
  <c r="S105" i="21"/>
  <c r="T105" i="21" s="1"/>
  <c r="Q105" i="21"/>
  <c r="Q107" i="21" s="1"/>
  <c r="M211" i="21"/>
  <c r="P107" i="21"/>
  <c r="S107" i="21" s="1"/>
  <c r="T107" i="21" s="1"/>
  <c r="G111" i="21"/>
  <c r="Q170" i="21"/>
  <c r="J88" i="21"/>
  <c r="J112" i="21" s="1"/>
  <c r="J111" i="21"/>
  <c r="Q127" i="21"/>
  <c r="M88" i="21"/>
  <c r="M112" i="21" s="1"/>
  <c r="M111" i="21"/>
  <c r="G90" i="21"/>
  <c r="M29" i="32" s="1"/>
  <c r="O111" i="21"/>
  <c r="Q132" i="21"/>
  <c r="Q136" i="21"/>
  <c r="H170" i="21"/>
  <c r="M139" i="21"/>
  <c r="M141" i="21" s="1"/>
  <c r="K170" i="21"/>
  <c r="L90" i="21"/>
  <c r="Q128" i="21"/>
  <c r="Q133" i="21"/>
  <c r="S133" i="21"/>
  <c r="T133" i="21" s="1"/>
  <c r="P170" i="21"/>
  <c r="O90" i="21"/>
  <c r="S131" i="21"/>
  <c r="T131" i="21" s="1"/>
  <c r="Q135" i="21"/>
  <c r="K171" i="21"/>
  <c r="Q129" i="21"/>
  <c r="S129" i="21"/>
  <c r="T129" i="21" s="1"/>
  <c r="M171" i="21"/>
  <c r="S29" i="32"/>
  <c r="Q148" i="21"/>
  <c r="Q155" i="21"/>
  <c r="L158" i="21"/>
  <c r="L160" i="21" s="1"/>
  <c r="Q150" i="21"/>
  <c r="Q154" i="21"/>
  <c r="K158" i="21"/>
  <c r="K160" i="21" s="1"/>
  <c r="S52" i="21"/>
  <c r="Q207" i="21"/>
  <c r="S626" i="33"/>
  <c r="S156" i="21"/>
  <c r="T156" i="21" s="1"/>
  <c r="K58" i="21"/>
  <c r="K215" i="21" s="1"/>
  <c r="G158" i="21"/>
  <c r="G160" i="21" s="1"/>
  <c r="O158" i="21"/>
  <c r="O160" i="21" s="1"/>
  <c r="Q151" i="21"/>
  <c r="T154" i="21"/>
  <c r="J58" i="21"/>
  <c r="Q156" i="21"/>
  <c r="S54" i="21"/>
  <c r="T54" i="21" s="1"/>
  <c r="M158" i="21"/>
  <c r="M160" i="21" s="1"/>
  <c r="Q149" i="21"/>
  <c r="Q147" i="21"/>
  <c r="Q152" i="21"/>
  <c r="S152" i="21"/>
  <c r="I58" i="21"/>
  <c r="M58" i="21"/>
  <c r="Q64" i="21"/>
  <c r="Q221" i="21" s="1"/>
  <c r="F188" i="21"/>
  <c r="H638" i="33"/>
  <c r="F86" i="21"/>
  <c r="F88" i="21" s="1"/>
  <c r="F112" i="21" s="1"/>
  <c r="S82" i="21"/>
  <c r="U638" i="33" s="1"/>
  <c r="S620" i="33"/>
  <c r="U620" i="33"/>
  <c r="J37" i="21"/>
  <c r="J196" i="21" s="1"/>
  <c r="J35" i="21"/>
  <c r="J59" i="21" s="1"/>
  <c r="J216" i="21" s="1"/>
  <c r="M35" i="21"/>
  <c r="M59" i="21" s="1"/>
  <c r="G37" i="21"/>
  <c r="L37" i="21"/>
  <c r="L60" i="21" s="1"/>
  <c r="G192" i="21"/>
  <c r="O37" i="21"/>
  <c r="O192" i="21"/>
  <c r="O59" i="21"/>
  <c r="O194" i="21"/>
  <c r="I60" i="21"/>
  <c r="I196" i="21"/>
  <c r="J113" i="21"/>
  <c r="G112" i="21"/>
  <c r="K141" i="21"/>
  <c r="K143" i="21"/>
  <c r="K166" i="21" s="1"/>
  <c r="P112" i="21"/>
  <c r="F59" i="21"/>
  <c r="N194" i="21"/>
  <c r="N59" i="21"/>
  <c r="G194" i="21"/>
  <c r="G59" i="21"/>
  <c r="H194" i="21"/>
  <c r="H59" i="21"/>
  <c r="S35" i="21"/>
  <c r="T35" i="21" s="1"/>
  <c r="P194" i="21"/>
  <c r="P59" i="21"/>
  <c r="I35" i="21"/>
  <c r="K37" i="21"/>
  <c r="Q28" i="32" s="1"/>
  <c r="Q52" i="21"/>
  <c r="K54" i="21"/>
  <c r="L58" i="21"/>
  <c r="T82" i="21"/>
  <c r="I88" i="21"/>
  <c r="I112" i="21" s="1"/>
  <c r="K90" i="21"/>
  <c r="N111" i="21"/>
  <c r="F135" i="21"/>
  <c r="F139" i="21" s="1"/>
  <c r="L139" i="21"/>
  <c r="S147" i="21"/>
  <c r="T147" i="21" s="1"/>
  <c r="G170" i="21"/>
  <c r="O170" i="21"/>
  <c r="N192" i="21"/>
  <c r="F211" i="21"/>
  <c r="N211" i="21"/>
  <c r="G221" i="21"/>
  <c r="Q33" i="21"/>
  <c r="K35" i="21"/>
  <c r="M37" i="21"/>
  <c r="S28" i="32" s="1"/>
  <c r="T43" i="21"/>
  <c r="T52" i="21"/>
  <c r="M54" i="21"/>
  <c r="F58" i="21"/>
  <c r="N58" i="21"/>
  <c r="Q86" i="21"/>
  <c r="K88" i="21"/>
  <c r="K112" i="21" s="1"/>
  <c r="H111" i="21"/>
  <c r="P111" i="21"/>
  <c r="S127" i="21"/>
  <c r="T127" i="21" s="1"/>
  <c r="N139" i="21"/>
  <c r="S150" i="21"/>
  <c r="T150" i="21" s="1"/>
  <c r="I170" i="21"/>
  <c r="N171" i="21"/>
  <c r="H192" i="21"/>
  <c r="P192" i="21"/>
  <c r="H211" i="21"/>
  <c r="P211" i="21"/>
  <c r="S33" i="21"/>
  <c r="T33" i="21" s="1"/>
  <c r="L35" i="21"/>
  <c r="F37" i="21"/>
  <c r="L28" i="32" s="1"/>
  <c r="N37" i="21"/>
  <c r="T28" i="32" s="1"/>
  <c r="G58" i="21"/>
  <c r="O58" i="21"/>
  <c r="L88" i="21"/>
  <c r="L112" i="21" s="1"/>
  <c r="N90" i="21"/>
  <c r="I111" i="21"/>
  <c r="G139" i="21"/>
  <c r="O139" i="21"/>
  <c r="J170" i="21"/>
  <c r="G171" i="21"/>
  <c r="I192" i="21"/>
  <c r="I211" i="21"/>
  <c r="H58" i="21"/>
  <c r="P58" i="21"/>
  <c r="H139" i="21"/>
  <c r="P139" i="21"/>
  <c r="H158" i="21"/>
  <c r="H160" i="21" s="1"/>
  <c r="P158" i="21"/>
  <c r="J192" i="21"/>
  <c r="J211" i="21"/>
  <c r="H37" i="21"/>
  <c r="N28" i="32" s="1"/>
  <c r="P37" i="21"/>
  <c r="V28" i="32" s="1"/>
  <c r="H90" i="21"/>
  <c r="P90" i="21"/>
  <c r="V29" i="32" s="1"/>
  <c r="I107" i="21"/>
  <c r="I113" i="21" s="1"/>
  <c r="I139" i="21"/>
  <c r="I158" i="21"/>
  <c r="I160" i="21" s="1"/>
  <c r="K192" i="21"/>
  <c r="M170" i="21"/>
  <c r="L215" i="21" l="1"/>
  <c r="M119" i="21"/>
  <c r="M216" i="21"/>
  <c r="Q139" i="21"/>
  <c r="J119" i="21"/>
  <c r="J143" i="21"/>
  <c r="J166" i="21" s="1"/>
  <c r="J172" i="21" s="1"/>
  <c r="O215" i="21"/>
  <c r="G113" i="21"/>
  <c r="G119" i="21" s="1"/>
  <c r="N215" i="21"/>
  <c r="J164" i="21"/>
  <c r="K164" i="21"/>
  <c r="M165" i="21"/>
  <c r="K165" i="21"/>
  <c r="K172" i="21" s="1"/>
  <c r="H215" i="21"/>
  <c r="M143" i="21"/>
  <c r="M166" i="21" s="1"/>
  <c r="M164" i="21"/>
  <c r="J215" i="21"/>
  <c r="H113" i="21"/>
  <c r="H119" i="21" s="1"/>
  <c r="N29" i="32"/>
  <c r="L113" i="21"/>
  <c r="L217" i="21" s="1"/>
  <c r="R29" i="32"/>
  <c r="N113" i="21"/>
  <c r="N119" i="21" s="1"/>
  <c r="T29" i="32"/>
  <c r="Q192" i="21"/>
  <c r="F90" i="21"/>
  <c r="L29" i="32" s="1"/>
  <c r="F111" i="21"/>
  <c r="S111" i="21" s="1"/>
  <c r="T111" i="21" s="1"/>
  <c r="M215" i="21"/>
  <c r="O113" i="21"/>
  <c r="O119" i="21" s="1"/>
  <c r="U29" i="32"/>
  <c r="S86" i="21"/>
  <c r="T86" i="21" s="1"/>
  <c r="F192" i="21"/>
  <c r="K113" i="21"/>
  <c r="K119" i="21" s="1"/>
  <c r="Q29" i="32"/>
  <c r="Q111" i="21"/>
  <c r="Q172" i="21"/>
  <c r="I215" i="21"/>
  <c r="F194" i="21"/>
  <c r="S88" i="21"/>
  <c r="T88" i="21" s="1"/>
  <c r="J194" i="21"/>
  <c r="P28" i="32"/>
  <c r="J60" i="21"/>
  <c r="J66" i="21" s="1"/>
  <c r="O60" i="21"/>
  <c r="U28" i="32"/>
  <c r="O196" i="21"/>
  <c r="L196" i="21"/>
  <c r="R28" i="32"/>
  <c r="M194" i="21"/>
  <c r="G60" i="21"/>
  <c r="G196" i="21"/>
  <c r="M28" i="32"/>
  <c r="L59" i="21"/>
  <c r="L194" i="21"/>
  <c r="S59" i="21"/>
  <c r="T59" i="21" s="1"/>
  <c r="P216" i="21"/>
  <c r="O216" i="21"/>
  <c r="P113" i="21"/>
  <c r="P119" i="21" s="1"/>
  <c r="S139" i="21"/>
  <c r="T139" i="21" s="1"/>
  <c r="P141" i="21"/>
  <c r="P164" i="21"/>
  <c r="P143" i="21"/>
  <c r="N164" i="21"/>
  <c r="N143" i="21"/>
  <c r="N166" i="21" s="1"/>
  <c r="N141" i="21"/>
  <c r="N165" i="21" s="1"/>
  <c r="S112" i="21"/>
  <c r="T112" i="21" s="1"/>
  <c r="F164" i="21"/>
  <c r="F143" i="21"/>
  <c r="F141" i="21"/>
  <c r="Q54" i="21"/>
  <c r="Q211" i="21"/>
  <c r="H196" i="21"/>
  <c r="H60" i="21"/>
  <c r="K196" i="21"/>
  <c r="K60" i="21"/>
  <c r="Q158" i="21"/>
  <c r="Q160" i="21" s="1"/>
  <c r="Q88" i="21"/>
  <c r="S37" i="21"/>
  <c r="T37" i="21" s="1"/>
  <c r="P196" i="21"/>
  <c r="P60" i="21"/>
  <c r="P66" i="21" s="1"/>
  <c r="H216" i="21"/>
  <c r="P215" i="21"/>
  <c r="S58" i="21"/>
  <c r="T58" i="21" s="1"/>
  <c r="O164" i="21"/>
  <c r="O143" i="21"/>
  <c r="O166" i="21" s="1"/>
  <c r="O141" i="21"/>
  <c r="O165" i="21" s="1"/>
  <c r="G215" i="21"/>
  <c r="Q58" i="21"/>
  <c r="I194" i="21"/>
  <c r="I59" i="21"/>
  <c r="F216" i="21"/>
  <c r="Q112" i="21"/>
  <c r="L141" i="21"/>
  <c r="L165" i="21" s="1"/>
  <c r="L164" i="21"/>
  <c r="L143" i="21"/>
  <c r="L166" i="21" s="1"/>
  <c r="N216" i="21"/>
  <c r="G164" i="21"/>
  <c r="G143" i="21"/>
  <c r="G141" i="21"/>
  <c r="N60" i="21"/>
  <c r="N196" i="21"/>
  <c r="M196" i="21"/>
  <c r="M60" i="21"/>
  <c r="Q90" i="21"/>
  <c r="Q35" i="21"/>
  <c r="I217" i="21"/>
  <c r="H141" i="21"/>
  <c r="H165" i="21" s="1"/>
  <c r="H164" i="21"/>
  <c r="H143" i="21"/>
  <c r="H166" i="21" s="1"/>
  <c r="Q37" i="21"/>
  <c r="S135" i="21"/>
  <c r="T135" i="21" s="1"/>
  <c r="I164" i="21"/>
  <c r="I143" i="21"/>
  <c r="I166" i="21" s="1"/>
  <c r="I141" i="21"/>
  <c r="I165" i="21" s="1"/>
  <c r="S158" i="21"/>
  <c r="T158" i="21" s="1"/>
  <c r="P160" i="21"/>
  <c r="S160" i="21" s="1"/>
  <c r="T160" i="21" s="1"/>
  <c r="F60" i="21"/>
  <c r="K194" i="21"/>
  <c r="K59" i="21"/>
  <c r="I119" i="21"/>
  <c r="G216" i="21"/>
  <c r="G217" i="21" l="1"/>
  <c r="G223" i="21" s="1"/>
  <c r="K217" i="21"/>
  <c r="O217" i="21"/>
  <c r="O223" i="21" s="1"/>
  <c r="F196" i="21"/>
  <c r="S90" i="21"/>
  <c r="T90" i="21" s="1"/>
  <c r="F113" i="21"/>
  <c r="S113" i="21" s="1"/>
  <c r="T113" i="21" s="1"/>
  <c r="M172" i="21"/>
  <c r="O66" i="21"/>
  <c r="F215" i="21"/>
  <c r="Q215" i="21"/>
  <c r="Q113" i="21"/>
  <c r="Q194" i="21"/>
  <c r="Q196" i="21"/>
  <c r="L119" i="21"/>
  <c r="N217" i="21"/>
  <c r="N223" i="21" s="1"/>
  <c r="G66" i="21"/>
  <c r="N172" i="21"/>
  <c r="J217" i="21"/>
  <c r="J223" i="21" s="1"/>
  <c r="Q59" i="21"/>
  <c r="Q216" i="21" s="1"/>
  <c r="F165" i="21"/>
  <c r="L66" i="21"/>
  <c r="L216" i="21"/>
  <c r="L223" i="21" s="1"/>
  <c r="M217" i="21"/>
  <c r="M223" i="21" s="1"/>
  <c r="M66" i="21"/>
  <c r="N66" i="21"/>
  <c r="F166" i="21"/>
  <c r="H217" i="21"/>
  <c r="H223" i="21" s="1"/>
  <c r="Q60" i="21"/>
  <c r="P166" i="21"/>
  <c r="S143" i="21"/>
  <c r="T143" i="21" s="1"/>
  <c r="L172" i="21"/>
  <c r="S164" i="21"/>
  <c r="T164" i="21" s="1"/>
  <c r="K66" i="21"/>
  <c r="K216" i="21"/>
  <c r="K223" i="21" s="1"/>
  <c r="I172" i="21"/>
  <c r="H172" i="21"/>
  <c r="G165" i="21"/>
  <c r="Q141" i="21"/>
  <c r="P165" i="21"/>
  <c r="S141" i="21"/>
  <c r="U655" i="33" s="1"/>
  <c r="G166" i="21"/>
  <c r="Q143" i="21"/>
  <c r="H66" i="21"/>
  <c r="I66" i="21"/>
  <c r="I216" i="21"/>
  <c r="I223" i="21" s="1"/>
  <c r="Q164" i="21"/>
  <c r="O172" i="21"/>
  <c r="P217" i="21"/>
  <c r="P223" i="21" s="1"/>
  <c r="S60" i="21"/>
  <c r="T60" i="21" s="1"/>
  <c r="B819" i="33"/>
  <c r="B818" i="33"/>
  <c r="B817" i="33"/>
  <c r="B816" i="33"/>
  <c r="B815" i="33"/>
  <c r="C814" i="33"/>
  <c r="D814" i="33"/>
  <c r="E814" i="33"/>
  <c r="F814" i="33"/>
  <c r="G814" i="33"/>
  <c r="H814" i="33"/>
  <c r="I814" i="33"/>
  <c r="J814" i="33"/>
  <c r="K814" i="33"/>
  <c r="L814" i="33"/>
  <c r="B814" i="33"/>
  <c r="B812" i="33"/>
  <c r="Q217" i="21" l="1"/>
  <c r="F217" i="21"/>
  <c r="T141" i="21"/>
  <c r="V655" i="33" s="1"/>
  <c r="Q166" i="21"/>
  <c r="S166" i="21"/>
  <c r="T166" i="21" s="1"/>
  <c r="P172" i="21"/>
  <c r="S165" i="21"/>
  <c r="T165" i="21" s="1"/>
  <c r="Q165" i="21"/>
  <c r="G172" i="21"/>
  <c r="C39" i="33"/>
  <c r="C70" i="13" l="1"/>
  <c r="B39" i="33" s="1"/>
  <c r="B34" i="33" l="1"/>
  <c r="C52" i="14"/>
  <c r="B62" i="33" s="1"/>
  <c r="S35" i="13" l="1"/>
  <c r="K35" i="13"/>
  <c r="G65" i="13" s="1"/>
  <c r="J34" i="13"/>
  <c r="J34" i="33" l="1"/>
  <c r="M34" i="33"/>
  <c r="N34" i="33"/>
  <c r="K34" i="33"/>
  <c r="L34" i="33"/>
  <c r="O34" i="33"/>
  <c r="I34" i="33"/>
  <c r="F19" i="14"/>
  <c r="D51" i="14"/>
  <c r="D52" i="14"/>
  <c r="C62" i="33" s="1"/>
  <c r="C34" i="13"/>
  <c r="D19" i="14"/>
  <c r="D18" i="14"/>
  <c r="G64" i="13"/>
  <c r="G70" i="13" s="1"/>
  <c r="S65" i="13"/>
  <c r="S66" i="13"/>
  <c r="C35" i="13"/>
  <c r="F18" i="14" l="1"/>
  <c r="L53" i="32"/>
  <c r="L47" i="32"/>
  <c r="L41" i="32"/>
  <c r="B794" i="33" l="1"/>
  <c r="C794" i="33"/>
  <c r="D794" i="33"/>
  <c r="E794" i="33"/>
  <c r="F794" i="33"/>
  <c r="H794" i="33"/>
  <c r="I794" i="33"/>
  <c r="J794" i="33"/>
  <c r="K794" i="33"/>
  <c r="B795" i="33"/>
  <c r="C795" i="33"/>
  <c r="D795" i="33"/>
  <c r="E795" i="33"/>
  <c r="F795" i="33"/>
  <c r="H795" i="33"/>
  <c r="I795" i="33"/>
  <c r="J795" i="33"/>
  <c r="K795" i="33"/>
  <c r="B800" i="33"/>
  <c r="C800" i="33"/>
  <c r="D800" i="33"/>
  <c r="E800" i="33"/>
  <c r="F800" i="33"/>
  <c r="H800" i="33"/>
  <c r="I800" i="33"/>
  <c r="J800" i="33"/>
  <c r="K800" i="33"/>
  <c r="B801" i="33"/>
  <c r="C801" i="33"/>
  <c r="D801" i="33"/>
  <c r="E801" i="33"/>
  <c r="F801" i="33"/>
  <c r="H801" i="33"/>
  <c r="I801" i="33"/>
  <c r="J801" i="33"/>
  <c r="K801" i="33"/>
  <c r="B802" i="33"/>
  <c r="C802" i="33"/>
  <c r="D802" i="33"/>
  <c r="E802" i="33"/>
  <c r="F802" i="33"/>
  <c r="H802" i="33"/>
  <c r="I802" i="33"/>
  <c r="J802" i="33"/>
  <c r="K802" i="33"/>
  <c r="B803" i="33"/>
  <c r="C803" i="33"/>
  <c r="D803" i="33"/>
  <c r="E803" i="33"/>
  <c r="F803" i="33"/>
  <c r="H803" i="33"/>
  <c r="I803" i="33"/>
  <c r="J803" i="33"/>
  <c r="K803" i="33"/>
  <c r="B804" i="33"/>
  <c r="C804" i="33"/>
  <c r="D804" i="33"/>
  <c r="E804" i="33"/>
  <c r="F804" i="33"/>
  <c r="H804" i="33"/>
  <c r="I804" i="33"/>
  <c r="J804" i="33"/>
  <c r="K804" i="33"/>
  <c r="B805" i="33"/>
  <c r="C805" i="33"/>
  <c r="D805" i="33"/>
  <c r="E805" i="33"/>
  <c r="F805" i="33"/>
  <c r="H805" i="33"/>
  <c r="I805" i="33"/>
  <c r="J805" i="33"/>
  <c r="K805" i="33"/>
  <c r="B806" i="33"/>
  <c r="C806" i="33"/>
  <c r="D806" i="33"/>
  <c r="E806" i="33"/>
  <c r="F806" i="33"/>
  <c r="H806" i="33"/>
  <c r="I806" i="33"/>
  <c r="J806" i="33"/>
  <c r="K806" i="33"/>
  <c r="B789" i="33"/>
  <c r="C789" i="33"/>
  <c r="D789" i="33"/>
  <c r="E789" i="33"/>
  <c r="F789" i="33"/>
  <c r="H789" i="33"/>
  <c r="I789" i="33"/>
  <c r="J789" i="33"/>
  <c r="K789" i="33"/>
  <c r="B790" i="33"/>
  <c r="C790" i="33"/>
  <c r="D790" i="33"/>
  <c r="E790" i="33"/>
  <c r="F790" i="33"/>
  <c r="H790" i="33"/>
  <c r="I790" i="33"/>
  <c r="J790" i="33"/>
  <c r="K790" i="33"/>
  <c r="B791" i="33"/>
  <c r="C791" i="33"/>
  <c r="D791" i="33"/>
  <c r="E791" i="33"/>
  <c r="F791" i="33"/>
  <c r="H791" i="33"/>
  <c r="I791" i="33"/>
  <c r="J791" i="33"/>
  <c r="K791" i="33"/>
  <c r="B792" i="33"/>
  <c r="C792" i="33"/>
  <c r="D792" i="33"/>
  <c r="E792" i="33"/>
  <c r="F792" i="33"/>
  <c r="H792" i="33"/>
  <c r="I792" i="33"/>
  <c r="J792" i="33"/>
  <c r="K792" i="33"/>
  <c r="B793" i="33"/>
  <c r="C793" i="33"/>
  <c r="D793" i="33"/>
  <c r="E793" i="33"/>
  <c r="F793" i="33"/>
  <c r="H793" i="33"/>
  <c r="I793" i="33"/>
  <c r="J793" i="33"/>
  <c r="K793" i="33"/>
  <c r="B763" i="33"/>
  <c r="C763" i="33"/>
  <c r="D763" i="33"/>
  <c r="E763" i="33"/>
  <c r="F763" i="33"/>
  <c r="H763" i="33"/>
  <c r="I763" i="33"/>
  <c r="J763" i="33"/>
  <c r="K763" i="33"/>
  <c r="B764" i="33"/>
  <c r="C764" i="33"/>
  <c r="D764" i="33"/>
  <c r="E764" i="33"/>
  <c r="F764" i="33"/>
  <c r="H764" i="33"/>
  <c r="I764" i="33"/>
  <c r="J764" i="33"/>
  <c r="K764" i="33"/>
  <c r="B765" i="33"/>
  <c r="C765" i="33"/>
  <c r="D765" i="33"/>
  <c r="E765" i="33"/>
  <c r="F765" i="33"/>
  <c r="H765" i="33"/>
  <c r="I765" i="33"/>
  <c r="J765" i="33"/>
  <c r="K765" i="33"/>
  <c r="B766" i="33"/>
  <c r="C766" i="33"/>
  <c r="D766" i="33"/>
  <c r="E766" i="33"/>
  <c r="F766" i="33"/>
  <c r="H766" i="33"/>
  <c r="I766" i="33"/>
  <c r="J766" i="33"/>
  <c r="K766" i="33"/>
  <c r="B767" i="33"/>
  <c r="C767" i="33"/>
  <c r="D767" i="33"/>
  <c r="E767" i="33"/>
  <c r="F767" i="33"/>
  <c r="H767" i="33"/>
  <c r="I767" i="33"/>
  <c r="J767" i="33"/>
  <c r="K767" i="33"/>
  <c r="B768" i="33"/>
  <c r="C768" i="33"/>
  <c r="D768" i="33"/>
  <c r="E768" i="33"/>
  <c r="F768" i="33"/>
  <c r="H768" i="33"/>
  <c r="I768" i="33"/>
  <c r="J768" i="33"/>
  <c r="K768" i="33"/>
  <c r="B769" i="33"/>
  <c r="C769" i="33"/>
  <c r="D769" i="33"/>
  <c r="E769" i="33"/>
  <c r="F769" i="33"/>
  <c r="H769" i="33"/>
  <c r="I769" i="33"/>
  <c r="J769" i="33"/>
  <c r="K769" i="33"/>
  <c r="B770" i="33"/>
  <c r="C770" i="33"/>
  <c r="D770" i="33"/>
  <c r="E770" i="33"/>
  <c r="F770" i="33"/>
  <c r="H770" i="33"/>
  <c r="I770" i="33"/>
  <c r="J770" i="33"/>
  <c r="K770" i="33"/>
  <c r="B771" i="33"/>
  <c r="C771" i="33"/>
  <c r="D771" i="33"/>
  <c r="E771" i="33"/>
  <c r="F771" i="33"/>
  <c r="H771" i="33"/>
  <c r="I771" i="33"/>
  <c r="J771" i="33"/>
  <c r="K771" i="33"/>
  <c r="B772" i="33"/>
  <c r="C772" i="33"/>
  <c r="D772" i="33"/>
  <c r="E772" i="33"/>
  <c r="F772" i="33"/>
  <c r="H772" i="33"/>
  <c r="I772" i="33"/>
  <c r="J772" i="33"/>
  <c r="K772" i="33"/>
  <c r="B773" i="33"/>
  <c r="C773" i="33"/>
  <c r="D773" i="33"/>
  <c r="E773" i="33"/>
  <c r="F773" i="33"/>
  <c r="H773" i="33"/>
  <c r="I773" i="33"/>
  <c r="J773" i="33"/>
  <c r="K773" i="33"/>
  <c r="B774" i="33"/>
  <c r="C774" i="33"/>
  <c r="D774" i="33"/>
  <c r="E774" i="33"/>
  <c r="F774" i="33"/>
  <c r="H774" i="33"/>
  <c r="I774" i="33"/>
  <c r="J774" i="33"/>
  <c r="K774" i="33"/>
  <c r="B775" i="33"/>
  <c r="C775" i="33"/>
  <c r="D775" i="33"/>
  <c r="E775" i="33"/>
  <c r="F775" i="33"/>
  <c r="H775" i="33"/>
  <c r="I775" i="33"/>
  <c r="J775" i="33"/>
  <c r="K775" i="33"/>
  <c r="B776" i="33"/>
  <c r="C776" i="33"/>
  <c r="D776" i="33"/>
  <c r="E776" i="33"/>
  <c r="F776" i="33"/>
  <c r="H776" i="33"/>
  <c r="I776" i="33"/>
  <c r="J776" i="33"/>
  <c r="K776" i="33"/>
  <c r="B777" i="33"/>
  <c r="C777" i="33"/>
  <c r="D777" i="33"/>
  <c r="E777" i="33"/>
  <c r="F777" i="33"/>
  <c r="H777" i="33"/>
  <c r="I777" i="33"/>
  <c r="J777" i="33"/>
  <c r="K777" i="33"/>
  <c r="B778" i="33"/>
  <c r="C778" i="33"/>
  <c r="D778" i="33"/>
  <c r="E778" i="33"/>
  <c r="F778" i="33"/>
  <c r="H778" i="33"/>
  <c r="I778" i="33"/>
  <c r="J778" i="33"/>
  <c r="K778" i="33"/>
  <c r="B779" i="33"/>
  <c r="C779" i="33"/>
  <c r="D779" i="33"/>
  <c r="E779" i="33"/>
  <c r="F779" i="33"/>
  <c r="H779" i="33"/>
  <c r="I779" i="33"/>
  <c r="J779" i="33"/>
  <c r="K779" i="33"/>
  <c r="B780" i="33"/>
  <c r="C780" i="33"/>
  <c r="D780" i="33"/>
  <c r="E780" i="33"/>
  <c r="F780" i="33"/>
  <c r="H780" i="33"/>
  <c r="I780" i="33"/>
  <c r="J780" i="33"/>
  <c r="K780" i="33"/>
  <c r="B781" i="33"/>
  <c r="C781" i="33"/>
  <c r="D781" i="33"/>
  <c r="E781" i="33"/>
  <c r="F781" i="33"/>
  <c r="H781" i="33"/>
  <c r="I781" i="33"/>
  <c r="J781" i="33"/>
  <c r="K781" i="33"/>
  <c r="B782" i="33"/>
  <c r="C782" i="33"/>
  <c r="D782" i="33"/>
  <c r="E782" i="33"/>
  <c r="F782" i="33"/>
  <c r="H782" i="33"/>
  <c r="I782" i="33"/>
  <c r="J782" i="33"/>
  <c r="K782" i="33"/>
  <c r="B783" i="33"/>
  <c r="C783" i="33"/>
  <c r="D783" i="33"/>
  <c r="E783" i="33"/>
  <c r="F783" i="33"/>
  <c r="H783" i="33"/>
  <c r="I783" i="33"/>
  <c r="J783" i="33"/>
  <c r="K783" i="33"/>
  <c r="B784" i="33"/>
  <c r="C784" i="33"/>
  <c r="D784" i="33"/>
  <c r="E784" i="33"/>
  <c r="F784" i="33"/>
  <c r="H784" i="33"/>
  <c r="I784" i="33"/>
  <c r="J784" i="33"/>
  <c r="K784" i="33"/>
  <c r="B753" i="33"/>
  <c r="C753" i="33"/>
  <c r="D753" i="33"/>
  <c r="E753" i="33"/>
  <c r="F753" i="33"/>
  <c r="H753" i="33"/>
  <c r="I753" i="33"/>
  <c r="J753" i="33"/>
  <c r="K753" i="33"/>
  <c r="B754" i="33"/>
  <c r="C754" i="33"/>
  <c r="D754" i="33"/>
  <c r="E754" i="33"/>
  <c r="F754" i="33"/>
  <c r="H754" i="33"/>
  <c r="I754" i="33"/>
  <c r="J754" i="33"/>
  <c r="K754" i="33"/>
  <c r="B755" i="33"/>
  <c r="C755" i="33"/>
  <c r="D755" i="33"/>
  <c r="E755" i="33"/>
  <c r="F755" i="33"/>
  <c r="H755" i="33"/>
  <c r="I755" i="33"/>
  <c r="J755" i="33"/>
  <c r="K755" i="33"/>
  <c r="B756" i="33"/>
  <c r="C756" i="33"/>
  <c r="D756" i="33"/>
  <c r="E756" i="33"/>
  <c r="F756" i="33"/>
  <c r="H756" i="33"/>
  <c r="I756" i="33"/>
  <c r="J756" i="33"/>
  <c r="K756" i="33"/>
  <c r="B757" i="33"/>
  <c r="C757" i="33"/>
  <c r="D757" i="33"/>
  <c r="E757" i="33"/>
  <c r="F757" i="33"/>
  <c r="H757" i="33"/>
  <c r="I757" i="33"/>
  <c r="J757" i="33"/>
  <c r="K757" i="33"/>
  <c r="B758" i="33"/>
  <c r="C758" i="33"/>
  <c r="D758" i="33"/>
  <c r="E758" i="33"/>
  <c r="F758" i="33"/>
  <c r="H758" i="33"/>
  <c r="I758" i="33"/>
  <c r="J758" i="33"/>
  <c r="K758" i="33"/>
  <c r="B741" i="33"/>
  <c r="C741" i="33"/>
  <c r="D741" i="33"/>
  <c r="E741" i="33"/>
  <c r="F741" i="33"/>
  <c r="H741" i="33"/>
  <c r="I741" i="33"/>
  <c r="J741" i="33"/>
  <c r="K741" i="33"/>
  <c r="B742" i="33"/>
  <c r="C742" i="33"/>
  <c r="D742" i="33"/>
  <c r="E742" i="33"/>
  <c r="F742" i="33"/>
  <c r="H742" i="33"/>
  <c r="I742" i="33"/>
  <c r="J742" i="33"/>
  <c r="K742" i="33"/>
  <c r="B743" i="33"/>
  <c r="C743" i="33"/>
  <c r="D743" i="33"/>
  <c r="E743" i="33"/>
  <c r="F743" i="33"/>
  <c r="H743" i="33"/>
  <c r="I743" i="33"/>
  <c r="J743" i="33"/>
  <c r="K743" i="33"/>
  <c r="B744" i="33"/>
  <c r="C744" i="33"/>
  <c r="D744" i="33"/>
  <c r="E744" i="33"/>
  <c r="F744" i="33"/>
  <c r="H744" i="33"/>
  <c r="I744" i="33"/>
  <c r="J744" i="33"/>
  <c r="K744" i="33"/>
  <c r="B745" i="33"/>
  <c r="C745" i="33"/>
  <c r="D745" i="33"/>
  <c r="E745" i="33"/>
  <c r="F745" i="33"/>
  <c r="H745" i="33"/>
  <c r="I745" i="33"/>
  <c r="J745" i="33"/>
  <c r="K745" i="33"/>
  <c r="B746" i="33"/>
  <c r="C746" i="33"/>
  <c r="D746" i="33"/>
  <c r="E746" i="33"/>
  <c r="F746" i="33"/>
  <c r="H746" i="33"/>
  <c r="I746" i="33"/>
  <c r="J746" i="33"/>
  <c r="K746" i="33"/>
  <c r="B747" i="33"/>
  <c r="C747" i="33"/>
  <c r="D747" i="33"/>
  <c r="E747" i="33"/>
  <c r="F747" i="33"/>
  <c r="H747" i="33"/>
  <c r="I747" i="33"/>
  <c r="J747" i="33"/>
  <c r="K747" i="33"/>
  <c r="B748" i="33"/>
  <c r="C748" i="33"/>
  <c r="D748" i="33"/>
  <c r="E748" i="33"/>
  <c r="F748" i="33"/>
  <c r="H748" i="33"/>
  <c r="I748" i="33"/>
  <c r="J748" i="33"/>
  <c r="K748" i="33"/>
  <c r="B749" i="33"/>
  <c r="C749" i="33"/>
  <c r="D749" i="33"/>
  <c r="E749" i="33"/>
  <c r="F749" i="33"/>
  <c r="H749" i="33"/>
  <c r="I749" i="33"/>
  <c r="J749" i="33"/>
  <c r="K749" i="33"/>
  <c r="B750" i="33"/>
  <c r="C750" i="33"/>
  <c r="D750" i="33"/>
  <c r="E750" i="33"/>
  <c r="F750" i="33"/>
  <c r="H750" i="33"/>
  <c r="I750" i="33"/>
  <c r="J750" i="33"/>
  <c r="K750" i="33"/>
  <c r="B751" i="33"/>
  <c r="C751" i="33"/>
  <c r="D751" i="33"/>
  <c r="E751" i="33"/>
  <c r="F751" i="33"/>
  <c r="H751" i="33"/>
  <c r="I751" i="33"/>
  <c r="J751" i="33"/>
  <c r="K751" i="33"/>
  <c r="B752" i="33"/>
  <c r="C752" i="33"/>
  <c r="D752" i="33"/>
  <c r="E752" i="33"/>
  <c r="F752" i="33"/>
  <c r="H752" i="33"/>
  <c r="I752" i="33"/>
  <c r="J752" i="33"/>
  <c r="K752" i="33"/>
  <c r="C799" i="33" l="1"/>
  <c r="B799" i="33"/>
  <c r="C798" i="33"/>
  <c r="B798" i="33"/>
  <c r="C797" i="33"/>
  <c r="B797" i="33"/>
  <c r="K799" i="33"/>
  <c r="J799" i="33"/>
  <c r="I799" i="33"/>
  <c r="H799" i="33"/>
  <c r="F799" i="33"/>
  <c r="E799" i="33"/>
  <c r="D799" i="33"/>
  <c r="K798" i="33"/>
  <c r="J798" i="33"/>
  <c r="I798" i="33"/>
  <c r="H798" i="33"/>
  <c r="F798" i="33"/>
  <c r="E798" i="33"/>
  <c r="D798" i="33"/>
  <c r="K797" i="33"/>
  <c r="J797" i="33"/>
  <c r="I797" i="33"/>
  <c r="H797" i="33"/>
  <c r="F797" i="33"/>
  <c r="E797" i="33"/>
  <c r="D797" i="33"/>
  <c r="C788" i="33"/>
  <c r="B788" i="33"/>
  <c r="C787" i="33"/>
  <c r="B787" i="33"/>
  <c r="C786" i="33"/>
  <c r="B786" i="33"/>
  <c r="K788" i="33"/>
  <c r="J788" i="33"/>
  <c r="I788" i="33"/>
  <c r="H788" i="33"/>
  <c r="F788" i="33"/>
  <c r="E788" i="33"/>
  <c r="D788" i="33"/>
  <c r="K787" i="33"/>
  <c r="J787" i="33"/>
  <c r="I787" i="33"/>
  <c r="H787" i="33"/>
  <c r="F787" i="33"/>
  <c r="E787" i="33"/>
  <c r="D787" i="33"/>
  <c r="K786" i="33"/>
  <c r="J786" i="33"/>
  <c r="I786" i="33"/>
  <c r="H786" i="33"/>
  <c r="F786" i="33"/>
  <c r="E786" i="33"/>
  <c r="D786" i="33"/>
  <c r="C762" i="33"/>
  <c r="B762" i="33"/>
  <c r="C761" i="33"/>
  <c r="B761" i="33"/>
  <c r="C760" i="33"/>
  <c r="B760" i="33"/>
  <c r="K762" i="33"/>
  <c r="J762" i="33"/>
  <c r="I762" i="33"/>
  <c r="H762" i="33"/>
  <c r="F762" i="33"/>
  <c r="E762" i="33"/>
  <c r="D762" i="33"/>
  <c r="K761" i="33"/>
  <c r="J761" i="33"/>
  <c r="I761" i="33"/>
  <c r="H761" i="33"/>
  <c r="F761" i="33"/>
  <c r="E761" i="33"/>
  <c r="D761" i="33"/>
  <c r="K760" i="33"/>
  <c r="J760" i="33"/>
  <c r="I760" i="33"/>
  <c r="H760" i="33"/>
  <c r="F760" i="33"/>
  <c r="E760" i="33"/>
  <c r="D760" i="33"/>
  <c r="K740" i="33"/>
  <c r="J740" i="33"/>
  <c r="I740" i="33"/>
  <c r="H740" i="33"/>
  <c r="F740" i="33"/>
  <c r="E740" i="33"/>
  <c r="D740" i="33"/>
  <c r="C740" i="33"/>
  <c r="B740" i="33"/>
  <c r="K739" i="33"/>
  <c r="J739" i="33"/>
  <c r="I739" i="33"/>
  <c r="H739" i="33"/>
  <c r="F739" i="33"/>
  <c r="E739" i="33"/>
  <c r="D739" i="33"/>
  <c r="C739" i="33"/>
  <c r="B739" i="33"/>
  <c r="L39" i="3"/>
  <c r="C168" i="33" l="1"/>
  <c r="H168" i="33"/>
  <c r="I168" i="33"/>
  <c r="J168" i="33"/>
  <c r="K168" i="33"/>
  <c r="L168" i="33"/>
  <c r="M168" i="33"/>
  <c r="N168" i="33"/>
  <c r="O168" i="33"/>
  <c r="C126" i="33"/>
  <c r="H126" i="33"/>
  <c r="I126" i="33"/>
  <c r="J126" i="33"/>
  <c r="K126" i="33"/>
  <c r="L126" i="33"/>
  <c r="M126" i="33"/>
  <c r="N126" i="33"/>
  <c r="O126" i="33"/>
  <c r="C143" i="33"/>
  <c r="H143" i="33"/>
  <c r="I143" i="33"/>
  <c r="J143" i="33"/>
  <c r="K143" i="33"/>
  <c r="L143" i="33"/>
  <c r="M143" i="33"/>
  <c r="N143" i="33"/>
  <c r="O143" i="33"/>
  <c r="C144" i="33"/>
  <c r="H144" i="33"/>
  <c r="I144" i="33"/>
  <c r="J144" i="33"/>
  <c r="K144" i="33"/>
  <c r="L144" i="33"/>
  <c r="M144" i="33"/>
  <c r="N144" i="33"/>
  <c r="O144" i="33"/>
  <c r="C82" i="15" l="1"/>
  <c r="C83" i="15" s="1"/>
  <c r="C84" i="15" s="1"/>
  <c r="C85" i="15" s="1"/>
  <c r="C71" i="15"/>
  <c r="C45" i="15"/>
  <c r="C24" i="15"/>
  <c r="C25" i="15" s="1"/>
  <c r="C26" i="15" s="1"/>
  <c r="C27" i="15" s="1"/>
  <c r="C86" i="15" l="1"/>
  <c r="B181" i="33"/>
  <c r="C28" i="15"/>
  <c r="B127" i="33" s="1"/>
  <c r="B126" i="33"/>
  <c r="C72" i="15"/>
  <c r="C73" i="15" s="1"/>
  <c r="C74" i="15" s="1"/>
  <c r="B171" i="33" s="1"/>
  <c r="B168" i="33"/>
  <c r="C46" i="15"/>
  <c r="B143" i="33"/>
  <c r="G796" i="33"/>
  <c r="G785" i="33"/>
  <c r="G759" i="33"/>
  <c r="H807" i="33"/>
  <c r="F807" i="33"/>
  <c r="E807" i="33"/>
  <c r="H796" i="33"/>
  <c r="F796" i="33"/>
  <c r="E796" i="33"/>
  <c r="H785" i="33"/>
  <c r="F785" i="33"/>
  <c r="E785" i="33"/>
  <c r="E759" i="33"/>
  <c r="F759" i="33"/>
  <c r="H759" i="33"/>
  <c r="K759" i="33"/>
  <c r="C738" i="33"/>
  <c r="D738" i="33"/>
  <c r="E738" i="33"/>
  <c r="F738" i="33"/>
  <c r="G738" i="33"/>
  <c r="H738" i="33"/>
  <c r="I738" i="33"/>
  <c r="J738" i="33"/>
  <c r="K738" i="33"/>
  <c r="L738" i="33"/>
  <c r="B807" i="33"/>
  <c r="B796" i="33"/>
  <c r="B808" i="33"/>
  <c r="B785" i="33"/>
  <c r="B759" i="33"/>
  <c r="B738" i="33"/>
  <c r="B736" i="33"/>
  <c r="C87" i="15" l="1"/>
  <c r="B182" i="33"/>
  <c r="C29" i="15"/>
  <c r="C75" i="15"/>
  <c r="B172" i="33" s="1"/>
  <c r="C47" i="15"/>
  <c r="C48" i="15" s="1"/>
  <c r="C49" i="15" s="1"/>
  <c r="C50" i="15" s="1"/>
  <c r="C51" i="15" s="1"/>
  <c r="C52" i="15" s="1"/>
  <c r="B144" i="33"/>
  <c r="B549" i="33"/>
  <c r="B548" i="33"/>
  <c r="B547" i="33"/>
  <c r="B546" i="33"/>
  <c r="B545" i="33"/>
  <c r="B544" i="33"/>
  <c r="B543" i="33"/>
  <c r="B542" i="33"/>
  <c r="B541" i="33"/>
  <c r="B540" i="33"/>
  <c r="B729" i="33"/>
  <c r="T728" i="33" s="1"/>
  <c r="R731" i="33"/>
  <c r="Q731" i="33"/>
  <c r="P731" i="33"/>
  <c r="O731" i="33"/>
  <c r="N731" i="33"/>
  <c r="M731" i="33"/>
  <c r="L731" i="33"/>
  <c r="K731" i="33"/>
  <c r="J731" i="33"/>
  <c r="I731" i="33"/>
  <c r="H731" i="33"/>
  <c r="R730" i="33"/>
  <c r="Q730" i="33"/>
  <c r="P730" i="33"/>
  <c r="O730" i="33"/>
  <c r="N730" i="33"/>
  <c r="M730" i="33"/>
  <c r="L730" i="33"/>
  <c r="K730" i="33"/>
  <c r="J730" i="33"/>
  <c r="I730" i="33"/>
  <c r="H730" i="33"/>
  <c r="R727" i="33"/>
  <c r="Q727" i="33"/>
  <c r="P727" i="33"/>
  <c r="O727" i="33"/>
  <c r="N727" i="33"/>
  <c r="M727" i="33"/>
  <c r="L727" i="33"/>
  <c r="K727" i="33"/>
  <c r="J727" i="33"/>
  <c r="I727" i="33"/>
  <c r="H727" i="33"/>
  <c r="R726" i="33"/>
  <c r="Q726" i="33"/>
  <c r="P726" i="33"/>
  <c r="O726" i="33"/>
  <c r="N726" i="33"/>
  <c r="M726" i="33"/>
  <c r="L726" i="33"/>
  <c r="K726" i="33"/>
  <c r="J726" i="33"/>
  <c r="I726" i="33"/>
  <c r="H726" i="33"/>
  <c r="B725" i="33"/>
  <c r="T724" i="33" s="1"/>
  <c r="R722" i="33"/>
  <c r="Q722" i="33"/>
  <c r="P722" i="33"/>
  <c r="O722" i="33"/>
  <c r="N722" i="33"/>
  <c r="M722" i="33"/>
  <c r="L722" i="33"/>
  <c r="K722" i="33"/>
  <c r="J722" i="33"/>
  <c r="I722" i="33"/>
  <c r="H722" i="33"/>
  <c r="R721" i="33"/>
  <c r="Q721" i="33"/>
  <c r="P721" i="33"/>
  <c r="O721" i="33"/>
  <c r="N721" i="33"/>
  <c r="M721" i="33"/>
  <c r="L721" i="33"/>
  <c r="K721" i="33"/>
  <c r="J721" i="33"/>
  <c r="I721" i="33"/>
  <c r="H721" i="33"/>
  <c r="T732" i="33"/>
  <c r="T731" i="33"/>
  <c r="T730" i="33"/>
  <c r="T729" i="33"/>
  <c r="T726" i="33"/>
  <c r="T725" i="33"/>
  <c r="T722" i="33"/>
  <c r="T721" i="33"/>
  <c r="T720" i="33"/>
  <c r="B720" i="33"/>
  <c r="T719" i="33" s="1"/>
  <c r="B718" i="33"/>
  <c r="B713" i="33"/>
  <c r="T713" i="33" s="1"/>
  <c r="B709" i="33"/>
  <c r="T707" i="33" s="1"/>
  <c r="T716" i="33"/>
  <c r="T715" i="33"/>
  <c r="R715" i="33"/>
  <c r="Q715" i="33"/>
  <c r="P715" i="33"/>
  <c r="O715" i="33"/>
  <c r="N715" i="33"/>
  <c r="M715" i="33"/>
  <c r="L715" i="33"/>
  <c r="K715" i="33"/>
  <c r="J715" i="33"/>
  <c r="I715" i="33"/>
  <c r="T714" i="33"/>
  <c r="R714" i="33"/>
  <c r="Q714" i="33"/>
  <c r="P714" i="33"/>
  <c r="O714" i="33"/>
  <c r="N714" i="33"/>
  <c r="M714" i="33"/>
  <c r="L714" i="33"/>
  <c r="K714" i="33"/>
  <c r="J714" i="33"/>
  <c r="I714" i="33"/>
  <c r="H714" i="33"/>
  <c r="T711" i="33"/>
  <c r="T710" i="33"/>
  <c r="T709" i="33"/>
  <c r="T708" i="33"/>
  <c r="T705" i="33"/>
  <c r="T704" i="33"/>
  <c r="T703" i="33"/>
  <c r="T702" i="33"/>
  <c r="B704" i="33"/>
  <c r="B702" i="33"/>
  <c r="L698" i="33"/>
  <c r="R691" i="33"/>
  <c r="Q691" i="33"/>
  <c r="P691" i="33"/>
  <c r="O691" i="33"/>
  <c r="N691" i="33"/>
  <c r="M691" i="33"/>
  <c r="L691" i="33"/>
  <c r="K691" i="33"/>
  <c r="J691" i="33"/>
  <c r="I691" i="33"/>
  <c r="R690" i="33"/>
  <c r="Q690" i="33"/>
  <c r="P690" i="33"/>
  <c r="O690" i="33"/>
  <c r="N690" i="33"/>
  <c r="M690" i="33"/>
  <c r="L690" i="33"/>
  <c r="K690" i="33"/>
  <c r="J690" i="33"/>
  <c r="I690" i="33"/>
  <c r="R688" i="33"/>
  <c r="Q688" i="33"/>
  <c r="P688" i="33"/>
  <c r="O688" i="33"/>
  <c r="N688" i="33"/>
  <c r="M688" i="33"/>
  <c r="L688" i="33"/>
  <c r="K688" i="33"/>
  <c r="J688" i="33"/>
  <c r="I688" i="33"/>
  <c r="R687" i="33"/>
  <c r="Q687" i="33"/>
  <c r="P687" i="33"/>
  <c r="O687" i="33"/>
  <c r="N687" i="33"/>
  <c r="M687" i="33"/>
  <c r="L687" i="33"/>
  <c r="K687" i="33"/>
  <c r="J687" i="33"/>
  <c r="I687" i="33"/>
  <c r="R685" i="33"/>
  <c r="Q685" i="33"/>
  <c r="P685" i="33"/>
  <c r="O685" i="33"/>
  <c r="N685" i="33"/>
  <c r="M685" i="33"/>
  <c r="L685" i="33"/>
  <c r="K685" i="33"/>
  <c r="J685" i="33"/>
  <c r="I685" i="33"/>
  <c r="R684" i="33"/>
  <c r="Q684" i="33"/>
  <c r="P684" i="33"/>
  <c r="O684" i="33"/>
  <c r="N684" i="33"/>
  <c r="M684" i="33"/>
  <c r="L684" i="33"/>
  <c r="K684" i="33"/>
  <c r="J684" i="33"/>
  <c r="I684" i="33"/>
  <c r="R682" i="33"/>
  <c r="Q682" i="33"/>
  <c r="P682" i="33"/>
  <c r="O682" i="33"/>
  <c r="N682" i="33"/>
  <c r="M682" i="33"/>
  <c r="L682" i="33"/>
  <c r="K682" i="33"/>
  <c r="J682" i="33"/>
  <c r="I682" i="33"/>
  <c r="R681" i="33"/>
  <c r="Q681" i="33"/>
  <c r="P681" i="33"/>
  <c r="O681" i="33"/>
  <c r="N681" i="33"/>
  <c r="M681" i="33"/>
  <c r="L681" i="33"/>
  <c r="K681" i="33"/>
  <c r="J681" i="33"/>
  <c r="I681" i="33"/>
  <c r="B689" i="33"/>
  <c r="B686" i="33"/>
  <c r="B683" i="33"/>
  <c r="B680" i="33"/>
  <c r="B679" i="33"/>
  <c r="B678" i="33"/>
  <c r="B677" i="33"/>
  <c r="C675" i="33"/>
  <c r="B675" i="33"/>
  <c r="B665" i="33"/>
  <c r="B653" i="33"/>
  <c r="R639" i="33"/>
  <c r="Q639" i="33"/>
  <c r="P639" i="33"/>
  <c r="O639" i="33"/>
  <c r="N639" i="33"/>
  <c r="M639" i="33"/>
  <c r="L639" i="33"/>
  <c r="K639" i="33"/>
  <c r="J639" i="33"/>
  <c r="I639" i="33"/>
  <c r="H639" i="33"/>
  <c r="R637" i="33"/>
  <c r="Q637" i="33"/>
  <c r="P637" i="33"/>
  <c r="O637" i="33"/>
  <c r="N637" i="33"/>
  <c r="M637" i="33"/>
  <c r="L637" i="33"/>
  <c r="K637" i="33"/>
  <c r="J637" i="33"/>
  <c r="I637" i="33"/>
  <c r="H637" i="33"/>
  <c r="R636" i="33"/>
  <c r="Q636" i="33"/>
  <c r="P636" i="33"/>
  <c r="O636" i="33"/>
  <c r="N636" i="33"/>
  <c r="M636" i="33"/>
  <c r="L636" i="33"/>
  <c r="K636" i="33"/>
  <c r="J636" i="33"/>
  <c r="I636" i="33"/>
  <c r="H636" i="33"/>
  <c r="B635" i="33"/>
  <c r="B1446" i="33" s="1"/>
  <c r="R621" i="33"/>
  <c r="Q621" i="33"/>
  <c r="P621" i="33"/>
  <c r="O621" i="33"/>
  <c r="N621" i="33"/>
  <c r="M621" i="33"/>
  <c r="L621" i="33"/>
  <c r="K621" i="33"/>
  <c r="J621" i="33"/>
  <c r="I621" i="33"/>
  <c r="H621" i="33"/>
  <c r="R619" i="33"/>
  <c r="Q619" i="33"/>
  <c r="P619" i="33"/>
  <c r="O619" i="33"/>
  <c r="N619" i="33"/>
  <c r="M619" i="33"/>
  <c r="L619" i="33"/>
  <c r="K619" i="33"/>
  <c r="J619" i="33"/>
  <c r="I619" i="33"/>
  <c r="H619" i="33"/>
  <c r="R618" i="33"/>
  <c r="Q618" i="33"/>
  <c r="P618" i="33"/>
  <c r="O618" i="33"/>
  <c r="N618" i="33"/>
  <c r="M618" i="33"/>
  <c r="L618" i="33"/>
  <c r="K618" i="33"/>
  <c r="J618" i="33"/>
  <c r="I618" i="33"/>
  <c r="H618" i="33"/>
  <c r="B631" i="33"/>
  <c r="B630" i="33"/>
  <c r="B629" i="33"/>
  <c r="B627" i="33"/>
  <c r="B624" i="33"/>
  <c r="B623" i="33"/>
  <c r="B622" i="33"/>
  <c r="B619" i="33"/>
  <c r="B618" i="33"/>
  <c r="B617" i="33"/>
  <c r="V615" i="33"/>
  <c r="U615" i="33"/>
  <c r="U614" i="33"/>
  <c r="S614" i="33"/>
  <c r="B613" i="33"/>
  <c r="B612" i="33"/>
  <c r="R606" i="33"/>
  <c r="Q606" i="33"/>
  <c r="P606" i="33"/>
  <c r="O606" i="33"/>
  <c r="N606" i="33"/>
  <c r="M606" i="33"/>
  <c r="L606" i="33"/>
  <c r="K606" i="33"/>
  <c r="J606" i="33"/>
  <c r="I606" i="33"/>
  <c r="H606" i="33"/>
  <c r="G606" i="33"/>
  <c r="R605" i="33"/>
  <c r="Q605" i="33"/>
  <c r="P605" i="33"/>
  <c r="O605" i="33"/>
  <c r="N605" i="33"/>
  <c r="M605" i="33"/>
  <c r="L605" i="33"/>
  <c r="K605" i="33"/>
  <c r="J605" i="33"/>
  <c r="I605" i="33"/>
  <c r="H605" i="33"/>
  <c r="G605" i="33"/>
  <c r="R604" i="33"/>
  <c r="Q604" i="33"/>
  <c r="P604" i="33"/>
  <c r="O604" i="33"/>
  <c r="N604" i="33"/>
  <c r="M604" i="33"/>
  <c r="L604" i="33"/>
  <c r="K604" i="33"/>
  <c r="J604" i="33"/>
  <c r="I604" i="33"/>
  <c r="H604" i="33"/>
  <c r="G604" i="33"/>
  <c r="R603" i="33"/>
  <c r="Q603" i="33"/>
  <c r="P603" i="33"/>
  <c r="O603" i="33"/>
  <c r="N603" i="33"/>
  <c r="M603" i="33"/>
  <c r="L603" i="33"/>
  <c r="K603" i="33"/>
  <c r="J603" i="33"/>
  <c r="I603" i="33"/>
  <c r="H603" i="33"/>
  <c r="G603" i="33"/>
  <c r="R600" i="33"/>
  <c r="Q600" i="33"/>
  <c r="P600" i="33"/>
  <c r="O600" i="33"/>
  <c r="N600" i="33"/>
  <c r="M600" i="33"/>
  <c r="L600" i="33"/>
  <c r="K600" i="33"/>
  <c r="J600" i="33"/>
  <c r="I600" i="33"/>
  <c r="H600" i="33"/>
  <c r="G600" i="33"/>
  <c r="R599" i="33"/>
  <c r="Q599" i="33"/>
  <c r="P599" i="33"/>
  <c r="O599" i="33"/>
  <c r="N599" i="33"/>
  <c r="M599" i="33"/>
  <c r="L599" i="33"/>
  <c r="K599" i="33"/>
  <c r="J599" i="33"/>
  <c r="I599" i="33"/>
  <c r="H599" i="33"/>
  <c r="G599" i="33"/>
  <c r="R598" i="33"/>
  <c r="Q598" i="33"/>
  <c r="P598" i="33"/>
  <c r="O598" i="33"/>
  <c r="N598" i="33"/>
  <c r="M598" i="33"/>
  <c r="L598" i="33"/>
  <c r="K598" i="33"/>
  <c r="J598" i="33"/>
  <c r="I598" i="33"/>
  <c r="H598" i="33"/>
  <c r="G598" i="33"/>
  <c r="R597" i="33"/>
  <c r="Q597" i="33"/>
  <c r="P597" i="33"/>
  <c r="O597" i="33"/>
  <c r="N597" i="33"/>
  <c r="M597" i="33"/>
  <c r="L597" i="33"/>
  <c r="K597" i="33"/>
  <c r="J597" i="33"/>
  <c r="I597" i="33"/>
  <c r="H597" i="33"/>
  <c r="G597" i="33"/>
  <c r="R596" i="33"/>
  <c r="Q596" i="33"/>
  <c r="P596" i="33"/>
  <c r="O596" i="33"/>
  <c r="N596" i="33"/>
  <c r="M596" i="33"/>
  <c r="L596" i="33"/>
  <c r="K596" i="33"/>
  <c r="J596" i="33"/>
  <c r="I596" i="33"/>
  <c r="H596" i="33"/>
  <c r="G596" i="33"/>
  <c r="R592" i="33"/>
  <c r="H592" i="33"/>
  <c r="G592" i="33"/>
  <c r="G588" i="33"/>
  <c r="G587" i="33"/>
  <c r="G586" i="33"/>
  <c r="G580" i="33"/>
  <c r="G579" i="33"/>
  <c r="G575" i="33"/>
  <c r="G574" i="33"/>
  <c r="C606" i="33"/>
  <c r="B606" i="33"/>
  <c r="C605" i="33"/>
  <c r="B605" i="33"/>
  <c r="C604" i="33"/>
  <c r="B604" i="33"/>
  <c r="C603" i="33"/>
  <c r="B603" i="33"/>
  <c r="B602" i="33"/>
  <c r="C600" i="33"/>
  <c r="B600" i="33"/>
  <c r="C599" i="33"/>
  <c r="B599" i="33"/>
  <c r="C598" i="33"/>
  <c r="B598" i="33"/>
  <c r="C597" i="33"/>
  <c r="B597" i="33"/>
  <c r="C596" i="33"/>
  <c r="B596" i="33"/>
  <c r="B595" i="33"/>
  <c r="C593" i="33"/>
  <c r="B593" i="33"/>
  <c r="B592" i="33"/>
  <c r="B589" i="33"/>
  <c r="B588" i="33"/>
  <c r="B587" i="33"/>
  <c r="B586" i="33"/>
  <c r="B585" i="33"/>
  <c r="B583" i="33"/>
  <c r="B581" i="33"/>
  <c r="B580" i="33"/>
  <c r="B579" i="33"/>
  <c r="B578" i="33"/>
  <c r="B576" i="33"/>
  <c r="B575" i="33"/>
  <c r="B574" i="33"/>
  <c r="B573" i="33"/>
  <c r="C571" i="33"/>
  <c r="B571" i="33"/>
  <c r="B570" i="33"/>
  <c r="E565" i="33"/>
  <c r="B565" i="33"/>
  <c r="B564" i="33"/>
  <c r="R549" i="33"/>
  <c r="Q549" i="33"/>
  <c r="P549" i="33"/>
  <c r="O549" i="33"/>
  <c r="N549" i="33"/>
  <c r="M549" i="33"/>
  <c r="R548" i="33"/>
  <c r="Q548" i="33"/>
  <c r="P548" i="33"/>
  <c r="O548" i="33"/>
  <c r="N548" i="33"/>
  <c r="M548" i="33"/>
  <c r="R547" i="33"/>
  <c r="Q547" i="33"/>
  <c r="P547" i="33"/>
  <c r="O547" i="33"/>
  <c r="N547" i="33"/>
  <c r="M547" i="33"/>
  <c r="R546" i="33"/>
  <c r="Q546" i="33"/>
  <c r="P546" i="33"/>
  <c r="O546" i="33"/>
  <c r="N546" i="33"/>
  <c r="M546" i="33"/>
  <c r="R545" i="33"/>
  <c r="Q545" i="33"/>
  <c r="P545" i="33"/>
  <c r="O545" i="33"/>
  <c r="N545" i="33"/>
  <c r="M545" i="33"/>
  <c r="R544" i="33"/>
  <c r="Q544" i="33"/>
  <c r="P544" i="33"/>
  <c r="O544" i="33"/>
  <c r="N544" i="33"/>
  <c r="M544" i="33"/>
  <c r="R543" i="33"/>
  <c r="Q543" i="33"/>
  <c r="P543" i="33"/>
  <c r="O543" i="33"/>
  <c r="N543" i="33"/>
  <c r="M543" i="33"/>
  <c r="R542" i="33"/>
  <c r="Q542" i="33"/>
  <c r="P542" i="33"/>
  <c r="O542" i="33"/>
  <c r="N542" i="33"/>
  <c r="M542" i="33"/>
  <c r="R541" i="33"/>
  <c r="Q541" i="33"/>
  <c r="P541" i="33"/>
  <c r="O541" i="33"/>
  <c r="N541" i="33"/>
  <c r="M541" i="33"/>
  <c r="R540" i="33"/>
  <c r="Q540" i="33"/>
  <c r="P540" i="33"/>
  <c r="O540" i="33"/>
  <c r="N540" i="33"/>
  <c r="M540" i="33"/>
  <c r="L540" i="33"/>
  <c r="K540" i="33"/>
  <c r="J540" i="33"/>
  <c r="I540" i="33"/>
  <c r="R534" i="33"/>
  <c r="Q534" i="33"/>
  <c r="P534" i="33"/>
  <c r="O534" i="33"/>
  <c r="N534" i="33"/>
  <c r="M534" i="33"/>
  <c r="R523" i="33"/>
  <c r="Q523" i="33"/>
  <c r="P523" i="33"/>
  <c r="O523" i="33"/>
  <c r="N523" i="33"/>
  <c r="M523" i="33"/>
  <c r="L523" i="33"/>
  <c r="K523" i="33"/>
  <c r="J523" i="33"/>
  <c r="I523" i="33"/>
  <c r="R522" i="33"/>
  <c r="Q522" i="33"/>
  <c r="P522" i="33"/>
  <c r="O522" i="33"/>
  <c r="N522" i="33"/>
  <c r="M522" i="33"/>
  <c r="L522" i="33"/>
  <c r="K522" i="33"/>
  <c r="J522" i="33"/>
  <c r="I522" i="33"/>
  <c r="R521" i="33"/>
  <c r="Q521" i="33"/>
  <c r="P521" i="33"/>
  <c r="O521" i="33"/>
  <c r="N521" i="33"/>
  <c r="M521" i="33"/>
  <c r="L521" i="33"/>
  <c r="K521" i="33"/>
  <c r="J521" i="33"/>
  <c r="I521" i="33"/>
  <c r="R520" i="33"/>
  <c r="Q520" i="33"/>
  <c r="P520" i="33"/>
  <c r="O520" i="33"/>
  <c r="N520" i="33"/>
  <c r="M520" i="33"/>
  <c r="L520" i="33"/>
  <c r="K520" i="33"/>
  <c r="J520" i="33"/>
  <c r="I520" i="33"/>
  <c r="R519" i="33"/>
  <c r="Q519" i="33"/>
  <c r="P519" i="33"/>
  <c r="O519" i="33"/>
  <c r="N519" i="33"/>
  <c r="M519" i="33"/>
  <c r="L519" i="33"/>
  <c r="K519" i="33"/>
  <c r="J519" i="33"/>
  <c r="I519" i="33"/>
  <c r="R518" i="33"/>
  <c r="Q518" i="33"/>
  <c r="P518" i="33"/>
  <c r="O518" i="33"/>
  <c r="N518" i="33"/>
  <c r="M518" i="33"/>
  <c r="L518" i="33"/>
  <c r="K518" i="33"/>
  <c r="J518" i="33"/>
  <c r="I518" i="33"/>
  <c r="R517" i="33"/>
  <c r="Q517" i="33"/>
  <c r="P517" i="33"/>
  <c r="O517" i="33"/>
  <c r="N517" i="33"/>
  <c r="M517" i="33"/>
  <c r="L517" i="33"/>
  <c r="K517" i="33"/>
  <c r="J517" i="33"/>
  <c r="I517" i="33"/>
  <c r="R516" i="33"/>
  <c r="Q516" i="33"/>
  <c r="P516" i="33"/>
  <c r="O516" i="33"/>
  <c r="N516" i="33"/>
  <c r="M516" i="33"/>
  <c r="L516" i="33"/>
  <c r="K516" i="33"/>
  <c r="J516" i="33"/>
  <c r="I516" i="33"/>
  <c r="R515" i="33"/>
  <c r="Q515" i="33"/>
  <c r="P515" i="33"/>
  <c r="O515" i="33"/>
  <c r="N515" i="33"/>
  <c r="M515" i="33"/>
  <c r="L515" i="33"/>
  <c r="K515" i="33"/>
  <c r="J515" i="33"/>
  <c r="I515" i="33"/>
  <c r="R514" i="33"/>
  <c r="Q514" i="33"/>
  <c r="P514" i="33"/>
  <c r="O514" i="33"/>
  <c r="N514" i="33"/>
  <c r="M514" i="33"/>
  <c r="L514" i="33"/>
  <c r="K514" i="33"/>
  <c r="J514" i="33"/>
  <c r="I514" i="33"/>
  <c r="R512" i="33"/>
  <c r="Q512" i="33"/>
  <c r="P512" i="33"/>
  <c r="O512" i="33"/>
  <c r="N512" i="33"/>
  <c r="M512" i="33"/>
  <c r="R481" i="33"/>
  <c r="Q481" i="33"/>
  <c r="P481" i="33"/>
  <c r="O481" i="33"/>
  <c r="N481" i="33"/>
  <c r="M481" i="33"/>
  <c r="L481" i="33"/>
  <c r="K481" i="33"/>
  <c r="J481" i="33"/>
  <c r="I481" i="33"/>
  <c r="R480" i="33"/>
  <c r="Q480" i="33"/>
  <c r="P480" i="33"/>
  <c r="O480" i="33"/>
  <c r="N480" i="33"/>
  <c r="M480" i="33"/>
  <c r="L480" i="33"/>
  <c r="K480" i="33"/>
  <c r="J480" i="33"/>
  <c r="I480" i="33"/>
  <c r="R479" i="33"/>
  <c r="Q479" i="33"/>
  <c r="P479" i="33"/>
  <c r="O479" i="33"/>
  <c r="N479" i="33"/>
  <c r="M479" i="33"/>
  <c r="L479" i="33"/>
  <c r="K479" i="33"/>
  <c r="J479" i="33"/>
  <c r="I479" i="33"/>
  <c r="R478" i="33"/>
  <c r="Q478" i="33"/>
  <c r="P478" i="33"/>
  <c r="O478" i="33"/>
  <c r="N478" i="33"/>
  <c r="M478" i="33"/>
  <c r="L478" i="33"/>
  <c r="K478" i="33"/>
  <c r="J478" i="33"/>
  <c r="I478" i="33"/>
  <c r="R477" i="33"/>
  <c r="Q477" i="33"/>
  <c r="P477" i="33"/>
  <c r="O477" i="33"/>
  <c r="N477" i="33"/>
  <c r="M477" i="33"/>
  <c r="L477" i="33"/>
  <c r="K477" i="33"/>
  <c r="J477" i="33"/>
  <c r="I477" i="33"/>
  <c r="R476" i="33"/>
  <c r="Q476" i="33"/>
  <c r="P476" i="33"/>
  <c r="O476" i="33"/>
  <c r="N476" i="33"/>
  <c r="M476" i="33"/>
  <c r="L476" i="33"/>
  <c r="K476" i="33"/>
  <c r="J476" i="33"/>
  <c r="I476" i="33"/>
  <c r="R475" i="33"/>
  <c r="Q475" i="33"/>
  <c r="P475" i="33"/>
  <c r="O475" i="33"/>
  <c r="N475" i="33"/>
  <c r="M475" i="33"/>
  <c r="L475" i="33"/>
  <c r="K475" i="33"/>
  <c r="J475" i="33"/>
  <c r="I475" i="33"/>
  <c r="R474" i="33"/>
  <c r="Q474" i="33"/>
  <c r="P474" i="33"/>
  <c r="O474" i="33"/>
  <c r="N474" i="33"/>
  <c r="M474" i="33"/>
  <c r="L474" i="33"/>
  <c r="K474" i="33"/>
  <c r="J474" i="33"/>
  <c r="I474" i="33"/>
  <c r="R473" i="33"/>
  <c r="Q473" i="33"/>
  <c r="P473" i="33"/>
  <c r="O473" i="33"/>
  <c r="N473" i="33"/>
  <c r="M473" i="33"/>
  <c r="L473" i="33"/>
  <c r="K473" i="33"/>
  <c r="J473" i="33"/>
  <c r="I473" i="33"/>
  <c r="R472" i="33"/>
  <c r="Q472" i="33"/>
  <c r="P472" i="33"/>
  <c r="O472" i="33"/>
  <c r="N472" i="33"/>
  <c r="M472" i="33"/>
  <c r="L472" i="33"/>
  <c r="K472" i="33"/>
  <c r="J472" i="33"/>
  <c r="I472" i="33"/>
  <c r="R471" i="33"/>
  <c r="Q471" i="33"/>
  <c r="P471" i="33"/>
  <c r="O471" i="33"/>
  <c r="N471" i="33"/>
  <c r="M471" i="33"/>
  <c r="L471" i="33"/>
  <c r="K471" i="33"/>
  <c r="J471" i="33"/>
  <c r="I471" i="33"/>
  <c r="R464" i="33"/>
  <c r="Q464" i="33"/>
  <c r="P464" i="33"/>
  <c r="O464" i="33"/>
  <c r="N464" i="33"/>
  <c r="M464" i="33"/>
  <c r="R463" i="33"/>
  <c r="Q463" i="33"/>
  <c r="P463" i="33"/>
  <c r="O463" i="33"/>
  <c r="N463" i="33"/>
  <c r="M463" i="33"/>
  <c r="R462" i="33"/>
  <c r="Q462" i="33"/>
  <c r="P462" i="33"/>
  <c r="O462" i="33"/>
  <c r="N462" i="33"/>
  <c r="M462" i="33"/>
  <c r="R461" i="33"/>
  <c r="Q461" i="33"/>
  <c r="P461" i="33"/>
  <c r="O461" i="33"/>
  <c r="N461" i="33"/>
  <c r="M461" i="33"/>
  <c r="R460" i="33"/>
  <c r="Q460" i="33"/>
  <c r="P460" i="33"/>
  <c r="O460" i="33"/>
  <c r="N460" i="33"/>
  <c r="M460" i="33"/>
  <c r="R459" i="33"/>
  <c r="Q459" i="33"/>
  <c r="P459" i="33"/>
  <c r="O459" i="33"/>
  <c r="N459" i="33"/>
  <c r="M459" i="33"/>
  <c r="R458" i="33"/>
  <c r="Q458" i="33"/>
  <c r="P458" i="33"/>
  <c r="O458" i="33"/>
  <c r="N458" i="33"/>
  <c r="M458" i="33"/>
  <c r="R457" i="33"/>
  <c r="Q457" i="33"/>
  <c r="P457" i="33"/>
  <c r="O457" i="33"/>
  <c r="N457" i="33"/>
  <c r="M457" i="33"/>
  <c r="R456" i="33"/>
  <c r="Q456" i="33"/>
  <c r="P456" i="33"/>
  <c r="O456" i="33"/>
  <c r="N456" i="33"/>
  <c r="M456" i="33"/>
  <c r="R455" i="33"/>
  <c r="Q455" i="33"/>
  <c r="P455" i="33"/>
  <c r="O455" i="33"/>
  <c r="N455" i="33"/>
  <c r="M455" i="33"/>
  <c r="R454" i="33"/>
  <c r="Q454" i="33"/>
  <c r="P454" i="33"/>
  <c r="O454" i="33"/>
  <c r="N454" i="33"/>
  <c r="M454" i="33"/>
  <c r="R453" i="33"/>
  <c r="Q453" i="33"/>
  <c r="P453" i="33"/>
  <c r="O453" i="33"/>
  <c r="N453" i="33"/>
  <c r="M453" i="33"/>
  <c r="R452" i="33"/>
  <c r="Q452" i="33"/>
  <c r="P452" i="33"/>
  <c r="O452" i="33"/>
  <c r="N452" i="33"/>
  <c r="M452" i="33"/>
  <c r="R451" i="33"/>
  <c r="Q451" i="33"/>
  <c r="P451" i="33"/>
  <c r="O451" i="33"/>
  <c r="N451" i="33"/>
  <c r="M451" i="33"/>
  <c r="R450" i="33"/>
  <c r="Q450" i="33"/>
  <c r="P450" i="33"/>
  <c r="O450" i="33"/>
  <c r="N450" i="33"/>
  <c r="M450" i="33"/>
  <c r="I450" i="33"/>
  <c r="R448" i="33"/>
  <c r="Q448" i="33"/>
  <c r="P448" i="33"/>
  <c r="O448" i="33"/>
  <c r="N448" i="33"/>
  <c r="M448" i="33"/>
  <c r="R447" i="33"/>
  <c r="Q447" i="33"/>
  <c r="P447" i="33"/>
  <c r="O447" i="33"/>
  <c r="N447" i="33"/>
  <c r="M447" i="33"/>
  <c r="R446" i="33"/>
  <c r="Q446" i="33"/>
  <c r="P446" i="33"/>
  <c r="O446" i="33"/>
  <c r="N446" i="33"/>
  <c r="M446" i="33"/>
  <c r="R445" i="33"/>
  <c r="Q445" i="33"/>
  <c r="P445" i="33"/>
  <c r="O445" i="33"/>
  <c r="N445" i="33"/>
  <c r="M445" i="33"/>
  <c r="R444" i="33"/>
  <c r="Q444" i="33"/>
  <c r="P444" i="33"/>
  <c r="O444" i="33"/>
  <c r="N444" i="33"/>
  <c r="M444" i="33"/>
  <c r="R443" i="33"/>
  <c r="Q443" i="33"/>
  <c r="P443" i="33"/>
  <c r="O443" i="33"/>
  <c r="N443" i="33"/>
  <c r="M443" i="33"/>
  <c r="R442" i="33"/>
  <c r="Q442" i="33"/>
  <c r="P442" i="33"/>
  <c r="O442" i="33"/>
  <c r="N442" i="33"/>
  <c r="M442" i="33"/>
  <c r="R441" i="33"/>
  <c r="Q441" i="33"/>
  <c r="P441" i="33"/>
  <c r="O441" i="33"/>
  <c r="N441" i="33"/>
  <c r="M441" i="33"/>
  <c r="R440" i="33"/>
  <c r="Q440" i="33"/>
  <c r="P440" i="33"/>
  <c r="O440" i="33"/>
  <c r="N440" i="33"/>
  <c r="M440" i="33"/>
  <c r="R439" i="33"/>
  <c r="Q439" i="33"/>
  <c r="P439" i="33"/>
  <c r="O439" i="33"/>
  <c r="N439" i="33"/>
  <c r="M439" i="33"/>
  <c r="R438" i="33"/>
  <c r="Q438" i="33"/>
  <c r="P438" i="33"/>
  <c r="O438" i="33"/>
  <c r="N438" i="33"/>
  <c r="M438" i="33"/>
  <c r="R437" i="33"/>
  <c r="Q437" i="33"/>
  <c r="P437" i="33"/>
  <c r="O437" i="33"/>
  <c r="N437" i="33"/>
  <c r="M437" i="33"/>
  <c r="R436" i="33"/>
  <c r="Q436" i="33"/>
  <c r="P436" i="33"/>
  <c r="O436" i="33"/>
  <c r="N436" i="33"/>
  <c r="M436" i="33"/>
  <c r="R435" i="33"/>
  <c r="Q435" i="33"/>
  <c r="P435" i="33"/>
  <c r="O435" i="33"/>
  <c r="N435" i="33"/>
  <c r="M435" i="33"/>
  <c r="R434" i="33"/>
  <c r="Q434" i="33"/>
  <c r="P434" i="33"/>
  <c r="O434" i="33"/>
  <c r="N434" i="33"/>
  <c r="M434" i="33"/>
  <c r="I434" i="33"/>
  <c r="B556" i="33"/>
  <c r="B555" i="33"/>
  <c r="B554" i="33"/>
  <c r="B539" i="33"/>
  <c r="B534" i="33"/>
  <c r="B523" i="33"/>
  <c r="B522" i="33"/>
  <c r="B521" i="33"/>
  <c r="B520" i="33"/>
  <c r="B519" i="33"/>
  <c r="B518" i="33"/>
  <c r="B517" i="33"/>
  <c r="B516" i="33"/>
  <c r="B515" i="33"/>
  <c r="B514" i="33"/>
  <c r="B513" i="33"/>
  <c r="B481" i="33"/>
  <c r="B480" i="33"/>
  <c r="B479" i="33"/>
  <c r="B478" i="33"/>
  <c r="B477" i="33"/>
  <c r="B476" i="33"/>
  <c r="B475" i="33"/>
  <c r="B474" i="33"/>
  <c r="B473" i="33"/>
  <c r="B472" i="33"/>
  <c r="B471" i="33"/>
  <c r="B470" i="33"/>
  <c r="B469" i="33"/>
  <c r="B466" i="33"/>
  <c r="B465" i="33"/>
  <c r="B464" i="33"/>
  <c r="B463" i="33"/>
  <c r="B462" i="33"/>
  <c r="B461" i="33"/>
  <c r="B460" i="33"/>
  <c r="B459" i="33"/>
  <c r="B458" i="33"/>
  <c r="B457" i="33"/>
  <c r="B456" i="33"/>
  <c r="B455" i="33"/>
  <c r="B454" i="33"/>
  <c r="B453" i="33"/>
  <c r="B452" i="33"/>
  <c r="B451" i="33"/>
  <c r="B450" i="33"/>
  <c r="B449" i="33"/>
  <c r="B448" i="33"/>
  <c r="B447" i="33"/>
  <c r="B446" i="33"/>
  <c r="B445" i="33"/>
  <c r="B444" i="33"/>
  <c r="B443" i="33"/>
  <c r="B442" i="33"/>
  <c r="B441" i="33"/>
  <c r="B440" i="33"/>
  <c r="B439" i="33"/>
  <c r="B438" i="33"/>
  <c r="B437" i="33"/>
  <c r="B436" i="33"/>
  <c r="B435" i="33"/>
  <c r="B434" i="33"/>
  <c r="B433" i="33"/>
  <c r="B432" i="33"/>
  <c r="B430" i="33"/>
  <c r="B424" i="33"/>
  <c r="B423" i="33"/>
  <c r="O307" i="33"/>
  <c r="N307" i="33"/>
  <c r="M307" i="33"/>
  <c r="L307" i="33"/>
  <c r="K307" i="33"/>
  <c r="J307" i="33"/>
  <c r="O306" i="33"/>
  <c r="N306" i="33"/>
  <c r="M306" i="33"/>
  <c r="L306" i="33"/>
  <c r="K306" i="33"/>
  <c r="J306" i="33"/>
  <c r="O305" i="33"/>
  <c r="N305" i="33"/>
  <c r="M305" i="33"/>
  <c r="L305" i="33"/>
  <c r="K305" i="33"/>
  <c r="J305" i="33"/>
  <c r="O304" i="33"/>
  <c r="N304" i="33"/>
  <c r="M304" i="33"/>
  <c r="L304" i="33"/>
  <c r="K304" i="33"/>
  <c r="J304" i="33"/>
  <c r="O303" i="33"/>
  <c r="N303" i="33"/>
  <c r="M303" i="33"/>
  <c r="L303" i="33"/>
  <c r="K303" i="33"/>
  <c r="J303" i="33"/>
  <c r="O302" i="33"/>
  <c r="N302" i="33"/>
  <c r="M302" i="33"/>
  <c r="L302" i="33"/>
  <c r="K302" i="33"/>
  <c r="J302" i="33"/>
  <c r="O301" i="33"/>
  <c r="N301" i="33"/>
  <c r="M301" i="33"/>
  <c r="L301" i="33"/>
  <c r="K301" i="33"/>
  <c r="J301" i="33"/>
  <c r="O300" i="33"/>
  <c r="N300" i="33"/>
  <c r="M300" i="33"/>
  <c r="L300" i="33"/>
  <c r="K300" i="33"/>
  <c r="J300" i="33"/>
  <c r="O299" i="33"/>
  <c r="N299" i="33"/>
  <c r="M299" i="33"/>
  <c r="L299" i="33"/>
  <c r="K299" i="33"/>
  <c r="J299" i="33"/>
  <c r="O298" i="33"/>
  <c r="N298" i="33"/>
  <c r="M298" i="33"/>
  <c r="L298" i="33"/>
  <c r="K298" i="33"/>
  <c r="J298" i="33"/>
  <c r="O297" i="33"/>
  <c r="N297" i="33"/>
  <c r="M297" i="33"/>
  <c r="L297" i="33"/>
  <c r="K297" i="33"/>
  <c r="J297" i="33"/>
  <c r="O296" i="33"/>
  <c r="N296" i="33"/>
  <c r="M296" i="33"/>
  <c r="L296" i="33"/>
  <c r="K296" i="33"/>
  <c r="J296" i="33"/>
  <c r="O295" i="33"/>
  <c r="N295" i="33"/>
  <c r="M295" i="33"/>
  <c r="L295" i="33"/>
  <c r="K295" i="33"/>
  <c r="J295" i="33"/>
  <c r="O294" i="33"/>
  <c r="N294" i="33"/>
  <c r="M294" i="33"/>
  <c r="L294" i="33"/>
  <c r="K294" i="33"/>
  <c r="J294" i="33"/>
  <c r="O293" i="33"/>
  <c r="N293" i="33"/>
  <c r="M293" i="33"/>
  <c r="L293" i="33"/>
  <c r="K293" i="33"/>
  <c r="J293" i="33"/>
  <c r="O292" i="33"/>
  <c r="N292" i="33"/>
  <c r="M292" i="33"/>
  <c r="L292" i="33"/>
  <c r="K292" i="33"/>
  <c r="J292" i="33"/>
  <c r="O291" i="33"/>
  <c r="N291" i="33"/>
  <c r="M291" i="33"/>
  <c r="L291" i="33"/>
  <c r="K291" i="33"/>
  <c r="J291" i="33"/>
  <c r="O290" i="33"/>
  <c r="N290" i="33"/>
  <c r="M290" i="33"/>
  <c r="L290" i="33"/>
  <c r="K290" i="33"/>
  <c r="J290" i="33"/>
  <c r="O289" i="33"/>
  <c r="N289" i="33"/>
  <c r="M289" i="33"/>
  <c r="L289" i="33"/>
  <c r="K289" i="33"/>
  <c r="J289" i="33"/>
  <c r="O288" i="33"/>
  <c r="N288" i="33"/>
  <c r="M288" i="33"/>
  <c r="L288" i="33"/>
  <c r="K288" i="33"/>
  <c r="J288" i="33"/>
  <c r="O286" i="33"/>
  <c r="N286" i="33"/>
  <c r="M286" i="33"/>
  <c r="L286" i="33"/>
  <c r="K286" i="33"/>
  <c r="J286" i="33"/>
  <c r="O285" i="33"/>
  <c r="N285" i="33"/>
  <c r="M285" i="33"/>
  <c r="L285" i="33"/>
  <c r="K285" i="33"/>
  <c r="J285" i="33"/>
  <c r="O284" i="33"/>
  <c r="N284" i="33"/>
  <c r="M284" i="33"/>
  <c r="L284" i="33"/>
  <c r="K284" i="33"/>
  <c r="J284" i="33"/>
  <c r="O283" i="33"/>
  <c r="N283" i="33"/>
  <c r="M283" i="33"/>
  <c r="L283" i="33"/>
  <c r="K283" i="33"/>
  <c r="J283" i="33"/>
  <c r="O282" i="33"/>
  <c r="N282" i="33"/>
  <c r="M282" i="33"/>
  <c r="L282" i="33"/>
  <c r="K282" i="33"/>
  <c r="J282" i="33"/>
  <c r="O281" i="33"/>
  <c r="N281" i="33"/>
  <c r="M281" i="33"/>
  <c r="L281" i="33"/>
  <c r="K281" i="33"/>
  <c r="J281" i="33"/>
  <c r="O280" i="33"/>
  <c r="N280" i="33"/>
  <c r="M280" i="33"/>
  <c r="L280" i="33"/>
  <c r="K280" i="33"/>
  <c r="J280" i="33"/>
  <c r="O279" i="33"/>
  <c r="N279" i="33"/>
  <c r="M279" i="33"/>
  <c r="L279" i="33"/>
  <c r="K279" i="33"/>
  <c r="J279" i="33"/>
  <c r="O278" i="33"/>
  <c r="N278" i="33"/>
  <c r="M278" i="33"/>
  <c r="L278" i="33"/>
  <c r="K278" i="33"/>
  <c r="J278" i="33"/>
  <c r="O276" i="33"/>
  <c r="N276" i="33"/>
  <c r="M276" i="33"/>
  <c r="L276" i="33"/>
  <c r="K276" i="33"/>
  <c r="J276" i="33"/>
  <c r="O275" i="33"/>
  <c r="N275" i="33"/>
  <c r="M275" i="33"/>
  <c r="L275" i="33"/>
  <c r="K275" i="33"/>
  <c r="J275" i="33"/>
  <c r="O274" i="33"/>
  <c r="N274" i="33"/>
  <c r="M274" i="33"/>
  <c r="L274" i="33"/>
  <c r="K274" i="33"/>
  <c r="J274" i="33"/>
  <c r="O273" i="33"/>
  <c r="N273" i="33"/>
  <c r="M273" i="33"/>
  <c r="L273" i="33"/>
  <c r="K273" i="33"/>
  <c r="J273" i="33"/>
  <c r="O272" i="33"/>
  <c r="N272" i="33"/>
  <c r="M272" i="33"/>
  <c r="L272" i="33"/>
  <c r="K272" i="33"/>
  <c r="J272" i="33"/>
  <c r="O271" i="33"/>
  <c r="N271" i="33"/>
  <c r="M271" i="33"/>
  <c r="L271" i="33"/>
  <c r="K271" i="33"/>
  <c r="J271" i="33"/>
  <c r="O270" i="33"/>
  <c r="N270" i="33"/>
  <c r="M270" i="33"/>
  <c r="L270" i="33"/>
  <c r="K270" i="33"/>
  <c r="J270" i="33"/>
  <c r="O269" i="33"/>
  <c r="N269" i="33"/>
  <c r="M269" i="33"/>
  <c r="L269" i="33"/>
  <c r="K269" i="33"/>
  <c r="J269" i="33"/>
  <c r="O268" i="33"/>
  <c r="N268" i="33"/>
  <c r="M268" i="33"/>
  <c r="L268" i="33"/>
  <c r="K268" i="33"/>
  <c r="J268" i="33"/>
  <c r="O265" i="33"/>
  <c r="N265" i="33"/>
  <c r="M265" i="33"/>
  <c r="L265" i="33"/>
  <c r="K265" i="33"/>
  <c r="J265" i="33"/>
  <c r="O264" i="33"/>
  <c r="N264" i="33"/>
  <c r="M264" i="33"/>
  <c r="L264" i="33"/>
  <c r="K264" i="33"/>
  <c r="J264" i="33"/>
  <c r="O263" i="33"/>
  <c r="N263" i="33"/>
  <c r="M263" i="33"/>
  <c r="L263" i="33"/>
  <c r="K263" i="33"/>
  <c r="J263" i="33"/>
  <c r="O262" i="33"/>
  <c r="N262" i="33"/>
  <c r="M262" i="33"/>
  <c r="L262" i="33"/>
  <c r="K262" i="33"/>
  <c r="J262" i="33"/>
  <c r="O261" i="33"/>
  <c r="N261" i="33"/>
  <c r="M261" i="33"/>
  <c r="L261" i="33"/>
  <c r="K261" i="33"/>
  <c r="J261" i="33"/>
  <c r="O260" i="33"/>
  <c r="N260" i="33"/>
  <c r="M260" i="33"/>
  <c r="L260" i="33"/>
  <c r="K260" i="33"/>
  <c r="J260" i="33"/>
  <c r="O259" i="33"/>
  <c r="N259" i="33"/>
  <c r="M259" i="33"/>
  <c r="L259" i="33"/>
  <c r="K259" i="33"/>
  <c r="J259" i="33"/>
  <c r="O258" i="33"/>
  <c r="N258" i="33"/>
  <c r="M258" i="33"/>
  <c r="L258" i="33"/>
  <c r="K258" i="33"/>
  <c r="J258" i="33"/>
  <c r="O257" i="33"/>
  <c r="N257" i="33"/>
  <c r="M257" i="33"/>
  <c r="L257" i="33"/>
  <c r="K257" i="33"/>
  <c r="J257" i="33"/>
  <c r="O256" i="33"/>
  <c r="N256" i="33"/>
  <c r="M256" i="33"/>
  <c r="L256" i="33"/>
  <c r="K256" i="33"/>
  <c r="J256" i="33"/>
  <c r="O255" i="33"/>
  <c r="N255" i="33"/>
  <c r="M255" i="33"/>
  <c r="L255" i="33"/>
  <c r="K255" i="33"/>
  <c r="J255" i="33"/>
  <c r="O254" i="33"/>
  <c r="N254" i="33"/>
  <c r="M254" i="33"/>
  <c r="L254" i="33"/>
  <c r="K254" i="33"/>
  <c r="J254" i="33"/>
  <c r="O253" i="33"/>
  <c r="N253" i="33"/>
  <c r="M253" i="33"/>
  <c r="L253" i="33"/>
  <c r="K253" i="33"/>
  <c r="J253" i="33"/>
  <c r="O252" i="33"/>
  <c r="N252" i="33"/>
  <c r="M252" i="33"/>
  <c r="L252" i="33"/>
  <c r="K252" i="33"/>
  <c r="J252" i="33"/>
  <c r="O251" i="33"/>
  <c r="N251" i="33"/>
  <c r="M251" i="33"/>
  <c r="L251" i="33"/>
  <c r="K251" i="33"/>
  <c r="J251" i="33"/>
  <c r="O250" i="33"/>
  <c r="N250" i="33"/>
  <c r="M250" i="33"/>
  <c r="L250" i="33"/>
  <c r="K250" i="33"/>
  <c r="J250" i="33"/>
  <c r="O245" i="33"/>
  <c r="N245" i="33"/>
  <c r="M245" i="33"/>
  <c r="L245" i="33"/>
  <c r="K245" i="33"/>
  <c r="J245" i="33"/>
  <c r="O244" i="33"/>
  <c r="N244" i="33"/>
  <c r="M244" i="33"/>
  <c r="L244" i="33"/>
  <c r="K244" i="33"/>
  <c r="J244" i="33"/>
  <c r="O243" i="33"/>
  <c r="N243" i="33"/>
  <c r="M243" i="33"/>
  <c r="L243" i="33"/>
  <c r="K243" i="33"/>
  <c r="J243" i="33"/>
  <c r="O242" i="33"/>
  <c r="N242" i="33"/>
  <c r="M242" i="33"/>
  <c r="L242" i="33"/>
  <c r="K242" i="33"/>
  <c r="J242" i="33"/>
  <c r="O241" i="33"/>
  <c r="N241" i="33"/>
  <c r="M241" i="33"/>
  <c r="L241" i="33"/>
  <c r="K241" i="33"/>
  <c r="J241" i="33"/>
  <c r="O240" i="33"/>
  <c r="N240" i="33"/>
  <c r="M240" i="33"/>
  <c r="L240" i="33"/>
  <c r="K240" i="33"/>
  <c r="J240" i="33"/>
  <c r="O239" i="33"/>
  <c r="N239" i="33"/>
  <c r="M239" i="33"/>
  <c r="L239" i="33"/>
  <c r="K239" i="33"/>
  <c r="J239" i="33"/>
  <c r="O238" i="33"/>
  <c r="N238" i="33"/>
  <c r="M238" i="33"/>
  <c r="L238" i="33"/>
  <c r="K238" i="33"/>
  <c r="J238" i="33"/>
  <c r="O237" i="33"/>
  <c r="N237" i="33"/>
  <c r="M237" i="33"/>
  <c r="L237" i="33"/>
  <c r="K237" i="33"/>
  <c r="J237" i="33"/>
  <c r="O236" i="33"/>
  <c r="N236" i="33"/>
  <c r="M236" i="33"/>
  <c r="L236" i="33"/>
  <c r="K236" i="33"/>
  <c r="J236" i="33"/>
  <c r="O235" i="33"/>
  <c r="N235" i="33"/>
  <c r="M235" i="33"/>
  <c r="L235" i="33"/>
  <c r="K235" i="33"/>
  <c r="J235" i="33"/>
  <c r="O234" i="33"/>
  <c r="N234" i="33"/>
  <c r="M234" i="33"/>
  <c r="L234" i="33"/>
  <c r="K234" i="33"/>
  <c r="J234" i="33"/>
  <c r="O233" i="33"/>
  <c r="N233" i="33"/>
  <c r="M233" i="33"/>
  <c r="L233" i="33"/>
  <c r="K233" i="33"/>
  <c r="J233" i="33"/>
  <c r="O232" i="33"/>
  <c r="N232" i="33"/>
  <c r="M232" i="33"/>
  <c r="L232" i="33"/>
  <c r="K232" i="33"/>
  <c r="J232" i="33"/>
  <c r="O231" i="33"/>
  <c r="N231" i="33"/>
  <c r="M231" i="33"/>
  <c r="L231" i="33"/>
  <c r="K231" i="33"/>
  <c r="J231" i="33"/>
  <c r="O230" i="33"/>
  <c r="N230" i="33"/>
  <c r="M230" i="33"/>
  <c r="L230" i="33"/>
  <c r="K230" i="33"/>
  <c r="J230" i="33"/>
  <c r="O229" i="33"/>
  <c r="N229" i="33"/>
  <c r="M229" i="33"/>
  <c r="L229" i="33"/>
  <c r="K229" i="33"/>
  <c r="J229" i="33"/>
  <c r="O228" i="33"/>
  <c r="N228" i="33"/>
  <c r="M228" i="33"/>
  <c r="L228" i="33"/>
  <c r="K228" i="33"/>
  <c r="J228" i="33"/>
  <c r="O227" i="33"/>
  <c r="N227" i="33"/>
  <c r="M227" i="33"/>
  <c r="L227" i="33"/>
  <c r="K227" i="33"/>
  <c r="J227" i="33"/>
  <c r="O226" i="33"/>
  <c r="N226" i="33"/>
  <c r="M226" i="33"/>
  <c r="L226" i="33"/>
  <c r="K226" i="33"/>
  <c r="J226" i="33"/>
  <c r="O225" i="33"/>
  <c r="N225" i="33"/>
  <c r="M225" i="33"/>
  <c r="L225" i="33"/>
  <c r="K225" i="33"/>
  <c r="J225" i="33"/>
  <c r="O224" i="33"/>
  <c r="N224" i="33"/>
  <c r="M224" i="33"/>
  <c r="L224" i="33"/>
  <c r="K224" i="33"/>
  <c r="J224" i="33"/>
  <c r="O219" i="33"/>
  <c r="N219" i="33"/>
  <c r="M219" i="33"/>
  <c r="L219" i="33"/>
  <c r="K219" i="33"/>
  <c r="J219" i="33"/>
  <c r="O218" i="33"/>
  <c r="N218" i="33"/>
  <c r="M218" i="33"/>
  <c r="L218" i="33"/>
  <c r="K218" i="33"/>
  <c r="J218" i="33"/>
  <c r="O217" i="33"/>
  <c r="N217" i="33"/>
  <c r="M217" i="33"/>
  <c r="L217" i="33"/>
  <c r="K217" i="33"/>
  <c r="J217" i="33"/>
  <c r="O216" i="33"/>
  <c r="N216" i="33"/>
  <c r="M216" i="33"/>
  <c r="L216" i="33"/>
  <c r="K216" i="33"/>
  <c r="J216" i="33"/>
  <c r="O215" i="33"/>
  <c r="N215" i="33"/>
  <c r="M215" i="33"/>
  <c r="L215" i="33"/>
  <c r="K215" i="33"/>
  <c r="J215" i="33"/>
  <c r="O214" i="33"/>
  <c r="N214" i="33"/>
  <c r="M214" i="33"/>
  <c r="L214" i="33"/>
  <c r="K214" i="33"/>
  <c r="J214" i="33"/>
  <c r="O213" i="33"/>
  <c r="N213" i="33"/>
  <c r="M213" i="33"/>
  <c r="L213" i="33"/>
  <c r="K213" i="33"/>
  <c r="J213" i="33"/>
  <c r="O212" i="33"/>
  <c r="N212" i="33"/>
  <c r="M212" i="33"/>
  <c r="L212" i="33"/>
  <c r="K212" i="33"/>
  <c r="J212" i="33"/>
  <c r="O209" i="33"/>
  <c r="N209" i="33"/>
  <c r="M209" i="33"/>
  <c r="L209" i="33"/>
  <c r="K209" i="33"/>
  <c r="J209" i="33"/>
  <c r="O208" i="33"/>
  <c r="N208" i="33"/>
  <c r="M208" i="33"/>
  <c r="L208" i="33"/>
  <c r="K208" i="33"/>
  <c r="J208" i="33"/>
  <c r="O207" i="33"/>
  <c r="N207" i="33"/>
  <c r="M207" i="33"/>
  <c r="L207" i="33"/>
  <c r="K207" i="33"/>
  <c r="J207" i="33"/>
  <c r="O206" i="33"/>
  <c r="N206" i="33"/>
  <c r="M206" i="33"/>
  <c r="L206" i="33"/>
  <c r="K206" i="33"/>
  <c r="J206" i="33"/>
  <c r="O205" i="33"/>
  <c r="N205" i="33"/>
  <c r="M205" i="33"/>
  <c r="L205" i="33"/>
  <c r="K205" i="33"/>
  <c r="J205" i="33"/>
  <c r="O204" i="33"/>
  <c r="N204" i="33"/>
  <c r="M204" i="33"/>
  <c r="L204" i="33"/>
  <c r="K204" i="33"/>
  <c r="J204" i="33"/>
  <c r="O203" i="33"/>
  <c r="N203" i="33"/>
  <c r="M203" i="33"/>
  <c r="L203" i="33"/>
  <c r="K203" i="33"/>
  <c r="J203" i="33"/>
  <c r="O202" i="33"/>
  <c r="N202" i="33"/>
  <c r="M202" i="33"/>
  <c r="L202" i="33"/>
  <c r="K202" i="33"/>
  <c r="J202" i="33"/>
  <c r="O201" i="33"/>
  <c r="N201" i="33"/>
  <c r="M201" i="33"/>
  <c r="L201" i="33"/>
  <c r="K201" i="33"/>
  <c r="J201" i="33"/>
  <c r="O200" i="33"/>
  <c r="N200" i="33"/>
  <c r="M200" i="33"/>
  <c r="L200" i="33"/>
  <c r="K200" i="33"/>
  <c r="J200" i="33"/>
  <c r="O199" i="33"/>
  <c r="N199" i="33"/>
  <c r="M199" i="33"/>
  <c r="L199" i="33"/>
  <c r="K199" i="33"/>
  <c r="J199" i="33"/>
  <c r="O198" i="33"/>
  <c r="N198" i="33"/>
  <c r="M198" i="33"/>
  <c r="L198" i="33"/>
  <c r="K198" i="33"/>
  <c r="J198" i="33"/>
  <c r="O197" i="33"/>
  <c r="N197" i="33"/>
  <c r="M197" i="33"/>
  <c r="L197" i="33"/>
  <c r="K197" i="33"/>
  <c r="J197" i="33"/>
  <c r="O196" i="33"/>
  <c r="N196" i="33"/>
  <c r="M196" i="33"/>
  <c r="L196" i="33"/>
  <c r="K196" i="33"/>
  <c r="J196" i="33"/>
  <c r="O195" i="33"/>
  <c r="N195" i="33"/>
  <c r="M195" i="33"/>
  <c r="L195" i="33"/>
  <c r="K195" i="33"/>
  <c r="J195" i="33"/>
  <c r="O194" i="33"/>
  <c r="N194" i="33"/>
  <c r="M194" i="33"/>
  <c r="L194" i="33"/>
  <c r="K194" i="33"/>
  <c r="J194" i="33"/>
  <c r="O193" i="33"/>
  <c r="N193" i="33"/>
  <c r="M193" i="33"/>
  <c r="L193" i="33"/>
  <c r="K193" i="33"/>
  <c r="J193" i="33"/>
  <c r="O192" i="33"/>
  <c r="N192" i="33"/>
  <c r="M192" i="33"/>
  <c r="L192" i="33"/>
  <c r="K192" i="33"/>
  <c r="J192" i="33"/>
  <c r="O191" i="33"/>
  <c r="N191" i="33"/>
  <c r="M191" i="33"/>
  <c r="L191" i="33"/>
  <c r="K191" i="33"/>
  <c r="J191" i="33"/>
  <c r="O180" i="33"/>
  <c r="N180" i="33"/>
  <c r="M180" i="33"/>
  <c r="L180" i="33"/>
  <c r="K180" i="33"/>
  <c r="J180" i="33"/>
  <c r="I180" i="33"/>
  <c r="H180" i="33"/>
  <c r="O179" i="33"/>
  <c r="N179" i="33"/>
  <c r="M179" i="33"/>
  <c r="L179" i="33"/>
  <c r="K179" i="33"/>
  <c r="J179" i="33"/>
  <c r="I179" i="33"/>
  <c r="H179" i="33"/>
  <c r="O178" i="33"/>
  <c r="N178" i="33"/>
  <c r="M178" i="33"/>
  <c r="L178" i="33"/>
  <c r="K178" i="33"/>
  <c r="J178" i="33"/>
  <c r="I178" i="33"/>
  <c r="H178" i="33"/>
  <c r="O170" i="33"/>
  <c r="N170" i="33"/>
  <c r="M170" i="33"/>
  <c r="L170" i="33"/>
  <c r="K170" i="33"/>
  <c r="J170" i="33"/>
  <c r="I170" i="33"/>
  <c r="H170" i="33"/>
  <c r="O169" i="33"/>
  <c r="N169" i="33"/>
  <c r="M169" i="33"/>
  <c r="L169" i="33"/>
  <c r="K169" i="33"/>
  <c r="J169" i="33"/>
  <c r="I169" i="33"/>
  <c r="H169" i="33"/>
  <c r="O149" i="33"/>
  <c r="N149" i="33"/>
  <c r="M149" i="33"/>
  <c r="L149" i="33"/>
  <c r="K149" i="33"/>
  <c r="J149" i="33"/>
  <c r="I149" i="33"/>
  <c r="H149" i="33"/>
  <c r="O148" i="33"/>
  <c r="N148" i="33"/>
  <c r="M148" i="33"/>
  <c r="L148" i="33"/>
  <c r="K148" i="33"/>
  <c r="J148" i="33"/>
  <c r="I148" i="33"/>
  <c r="H148" i="33"/>
  <c r="O147" i="33"/>
  <c r="N147" i="33"/>
  <c r="M147" i="33"/>
  <c r="L147" i="33"/>
  <c r="K147" i="33"/>
  <c r="J147" i="33"/>
  <c r="I147" i="33"/>
  <c r="H147" i="33"/>
  <c r="O146" i="33"/>
  <c r="N146" i="33"/>
  <c r="M146" i="33"/>
  <c r="L146" i="33"/>
  <c r="K146" i="33"/>
  <c r="J146" i="33"/>
  <c r="I146" i="33"/>
  <c r="H146" i="33"/>
  <c r="O145" i="33"/>
  <c r="N145" i="33"/>
  <c r="M145" i="33"/>
  <c r="L145" i="33"/>
  <c r="K145" i="33"/>
  <c r="J145" i="33"/>
  <c r="I145" i="33"/>
  <c r="H145" i="33"/>
  <c r="O125" i="33"/>
  <c r="N125" i="33"/>
  <c r="M125" i="33"/>
  <c r="L125" i="33"/>
  <c r="K125" i="33"/>
  <c r="J125" i="33"/>
  <c r="I125" i="33"/>
  <c r="H125" i="33"/>
  <c r="O124" i="33"/>
  <c r="N124" i="33"/>
  <c r="M124" i="33"/>
  <c r="L124" i="33"/>
  <c r="K124" i="33"/>
  <c r="J124" i="33"/>
  <c r="I124" i="33"/>
  <c r="H124" i="33"/>
  <c r="O123" i="33"/>
  <c r="N123" i="33"/>
  <c r="M123" i="33"/>
  <c r="L123" i="33"/>
  <c r="K123" i="33"/>
  <c r="J123" i="33"/>
  <c r="I123" i="33"/>
  <c r="H123" i="33"/>
  <c r="B310" i="33"/>
  <c r="C308" i="33"/>
  <c r="B307" i="33"/>
  <c r="B306" i="33"/>
  <c r="B305" i="33"/>
  <c r="B304" i="33"/>
  <c r="B303" i="33"/>
  <c r="B302" i="33"/>
  <c r="B301" i="33"/>
  <c r="B300" i="33"/>
  <c r="B299" i="33"/>
  <c r="B298" i="33"/>
  <c r="B297" i="33"/>
  <c r="B296" i="33"/>
  <c r="B295" i="33"/>
  <c r="B294" i="33"/>
  <c r="B293" i="33"/>
  <c r="B292" i="33"/>
  <c r="B291" i="33"/>
  <c r="B290" i="33"/>
  <c r="B289" i="33"/>
  <c r="B288" i="33"/>
  <c r="B308" i="33" s="1"/>
  <c r="C287" i="33"/>
  <c r="B286" i="33"/>
  <c r="B285" i="33"/>
  <c r="B284" i="33"/>
  <c r="B283" i="33"/>
  <c r="B282" i="33"/>
  <c r="B281" i="33"/>
  <c r="B280" i="33"/>
  <c r="B279" i="33"/>
  <c r="B278" i="33"/>
  <c r="B277" i="33"/>
  <c r="B276" i="33"/>
  <c r="B275" i="33"/>
  <c r="B274" i="33"/>
  <c r="B273" i="33"/>
  <c r="B272" i="33"/>
  <c r="B271" i="33"/>
  <c r="B270" i="33"/>
  <c r="B269" i="33"/>
  <c r="B268" i="33"/>
  <c r="B267" i="33"/>
  <c r="B287" i="33" s="1"/>
  <c r="C266" i="33"/>
  <c r="B265" i="33"/>
  <c r="B264" i="33"/>
  <c r="B263" i="33"/>
  <c r="B262" i="33"/>
  <c r="B261" i="33"/>
  <c r="B260" i="33"/>
  <c r="B259" i="33"/>
  <c r="B258" i="33"/>
  <c r="B257" i="33"/>
  <c r="B256" i="33"/>
  <c r="B255" i="33"/>
  <c r="B254" i="33"/>
  <c r="B253" i="33"/>
  <c r="B252" i="33"/>
  <c r="B251" i="33"/>
  <c r="B250" i="33"/>
  <c r="B249" i="33"/>
  <c r="B248" i="33"/>
  <c r="B247" i="33"/>
  <c r="B246" i="33"/>
  <c r="B245" i="33"/>
  <c r="B244" i="33"/>
  <c r="B243" i="33"/>
  <c r="B242" i="33"/>
  <c r="B241" i="33"/>
  <c r="B240" i="33"/>
  <c r="B239" i="33"/>
  <c r="B238" i="33"/>
  <c r="B237" i="33"/>
  <c r="B236" i="33"/>
  <c r="B266" i="33" s="1"/>
  <c r="B235" i="33"/>
  <c r="B234" i="33"/>
  <c r="B233" i="33"/>
  <c r="B232" i="33"/>
  <c r="B231" i="33"/>
  <c r="B230" i="33"/>
  <c r="B229" i="33"/>
  <c r="B228" i="33"/>
  <c r="B227" i="33"/>
  <c r="B226" i="33"/>
  <c r="B225" i="33"/>
  <c r="B224" i="33"/>
  <c r="B223" i="33"/>
  <c r="B222" i="33"/>
  <c r="B221" i="33"/>
  <c r="C220" i="33"/>
  <c r="B219" i="33"/>
  <c r="B218" i="33"/>
  <c r="B217" i="33"/>
  <c r="B216" i="33"/>
  <c r="B215" i="33"/>
  <c r="B214" i="33"/>
  <c r="B213" i="33"/>
  <c r="B212" i="33"/>
  <c r="B211" i="33"/>
  <c r="B210" i="33"/>
  <c r="B209" i="33"/>
  <c r="B208" i="33"/>
  <c r="B207" i="33"/>
  <c r="B206" i="33"/>
  <c r="B205" i="33"/>
  <c r="B204" i="33"/>
  <c r="B203" i="33"/>
  <c r="B202" i="33"/>
  <c r="B201" i="33"/>
  <c r="B200" i="33"/>
  <c r="B199" i="33"/>
  <c r="B198" i="33"/>
  <c r="B197" i="33"/>
  <c r="B196" i="33"/>
  <c r="B195" i="33"/>
  <c r="B194" i="33"/>
  <c r="B193" i="33"/>
  <c r="B192" i="33"/>
  <c r="B191" i="33"/>
  <c r="B190" i="33"/>
  <c r="B220" i="33" s="1"/>
  <c r="B189" i="33"/>
  <c r="C180" i="33"/>
  <c r="B180" i="33"/>
  <c r="C179" i="33"/>
  <c r="B179" i="33"/>
  <c r="C178" i="33"/>
  <c r="B178" i="33"/>
  <c r="C170" i="33"/>
  <c r="B170" i="33"/>
  <c r="C169" i="33"/>
  <c r="B169" i="33"/>
  <c r="C149" i="33"/>
  <c r="C148" i="33"/>
  <c r="C147" i="33"/>
  <c r="B147" i="33"/>
  <c r="C146" i="33"/>
  <c r="C145" i="33"/>
  <c r="C125" i="33"/>
  <c r="B125" i="33"/>
  <c r="C124" i="33"/>
  <c r="B124" i="33"/>
  <c r="C123" i="33"/>
  <c r="B123" i="33"/>
  <c r="B122" i="33"/>
  <c r="B117" i="33"/>
  <c r="B52" i="33"/>
  <c r="G51" i="33"/>
  <c r="B51" i="33"/>
  <c r="B110" i="33"/>
  <c r="B106" i="33"/>
  <c r="B101" i="33"/>
  <c r="D97" i="33"/>
  <c r="B96" i="33"/>
  <c r="T112" i="33"/>
  <c r="T111" i="33"/>
  <c r="T94" i="33"/>
  <c r="T93" i="33"/>
  <c r="S93" i="33"/>
  <c r="B92" i="33"/>
  <c r="B91" i="33"/>
  <c r="O67" i="33"/>
  <c r="N67" i="33"/>
  <c r="M67" i="33"/>
  <c r="L67" i="33"/>
  <c r="K67" i="33"/>
  <c r="J67" i="33"/>
  <c r="B68" i="33"/>
  <c r="C67" i="33"/>
  <c r="B66" i="33"/>
  <c r="B64" i="33"/>
  <c r="C63" i="33"/>
  <c r="C61" i="33"/>
  <c r="B60" i="33"/>
  <c r="C59" i="33"/>
  <c r="B59" i="33"/>
  <c r="B57" i="33"/>
  <c r="C56" i="33"/>
  <c r="B56" i="33"/>
  <c r="B55" i="33"/>
  <c r="B54" i="33"/>
  <c r="B50" i="33"/>
  <c r="B49" i="33"/>
  <c r="O43" i="33"/>
  <c r="N43" i="33"/>
  <c r="M43" i="33"/>
  <c r="L43" i="33"/>
  <c r="K43" i="33"/>
  <c r="J43" i="33"/>
  <c r="I43" i="33"/>
  <c r="O35" i="33"/>
  <c r="N35" i="33"/>
  <c r="M35" i="33"/>
  <c r="L35" i="33"/>
  <c r="K35" i="33"/>
  <c r="J35" i="33"/>
  <c r="B44" i="33"/>
  <c r="B43" i="33"/>
  <c r="B42" i="33"/>
  <c r="B37" i="33"/>
  <c r="C35" i="33"/>
  <c r="B33" i="33"/>
  <c r="B31" i="33"/>
  <c r="B28" i="33"/>
  <c r="B27" i="33"/>
  <c r="B26" i="33"/>
  <c r="B23" i="33"/>
  <c r="B22" i="33"/>
  <c r="D18" i="33"/>
  <c r="B18" i="33"/>
  <c r="D17" i="33"/>
  <c r="B17" i="33"/>
  <c r="B15" i="33"/>
  <c r="D11" i="33"/>
  <c r="D10" i="33"/>
  <c r="D8" i="33"/>
  <c r="D7" i="33"/>
  <c r="B6" i="33"/>
  <c r="B5" i="33"/>
  <c r="T701" i="33"/>
  <c r="B639" i="33"/>
  <c r="B706" i="33"/>
  <c r="B93" i="33" l="1"/>
  <c r="B1439" i="33"/>
  <c r="B707" i="33"/>
  <c r="B1447" i="33"/>
  <c r="B426" i="33"/>
  <c r="B1440" i="33"/>
  <c r="B705" i="33"/>
  <c r="B730" i="33" s="1"/>
  <c r="B1445" i="33"/>
  <c r="B1462" i="33"/>
  <c r="B1455" i="33"/>
  <c r="B1471" i="33"/>
  <c r="B1451" i="33"/>
  <c r="B1467" i="33"/>
  <c r="C53" i="15"/>
  <c r="B150" i="33"/>
  <c r="C30" i="15"/>
  <c r="B128" i="33"/>
  <c r="C88" i="15"/>
  <c r="B183" i="33"/>
  <c r="C76" i="15"/>
  <c r="B146" i="33"/>
  <c r="B148" i="33"/>
  <c r="B145" i="33"/>
  <c r="B149" i="33"/>
  <c r="K601" i="33"/>
  <c r="G607" i="33"/>
  <c r="M601" i="33"/>
  <c r="I607" i="33"/>
  <c r="Q607" i="33"/>
  <c r="B615" i="33"/>
  <c r="J601" i="33"/>
  <c r="R601" i="33"/>
  <c r="N601" i="33"/>
  <c r="N607" i="33"/>
  <c r="L607" i="33"/>
  <c r="L29" i="33"/>
  <c r="M29" i="33"/>
  <c r="N29" i="33"/>
  <c r="I29" i="33"/>
  <c r="J29" i="33"/>
  <c r="K29" i="33"/>
  <c r="O29" i="33"/>
  <c r="O607" i="33"/>
  <c r="L601" i="33"/>
  <c r="H607" i="33"/>
  <c r="P607" i="33"/>
  <c r="G601" i="33"/>
  <c r="O601" i="33"/>
  <c r="K607" i="33"/>
  <c r="H601" i="33"/>
  <c r="I601" i="33"/>
  <c r="M607" i="33"/>
  <c r="P601" i="33"/>
  <c r="Q601" i="33"/>
  <c r="J607" i="33"/>
  <c r="R607" i="33"/>
  <c r="B566" i="33"/>
  <c r="G93" i="33"/>
  <c r="G566" i="33"/>
  <c r="G425" i="33"/>
  <c r="G614" i="33"/>
  <c r="G699" i="33"/>
  <c r="B731" i="33"/>
  <c r="B727" i="33"/>
  <c r="B715" i="33"/>
  <c r="B722" i="33"/>
  <c r="B711" i="33"/>
  <c r="B726" i="33"/>
  <c r="B714" i="33"/>
  <c r="B710" i="33"/>
  <c r="B721" i="33"/>
  <c r="G119" i="33"/>
  <c r="B94" i="33"/>
  <c r="B120" i="33"/>
  <c r="B700" i="33"/>
  <c r="B699" i="33"/>
  <c r="B119" i="33"/>
  <c r="B614" i="33"/>
  <c r="B425" i="33"/>
  <c r="B567" i="33"/>
  <c r="B1461" i="33" l="1"/>
  <c r="B1454" i="33"/>
  <c r="B1470" i="33"/>
  <c r="B1450" i="33"/>
  <c r="B1466" i="33"/>
  <c r="C89" i="15"/>
  <c r="B184" i="33"/>
  <c r="C77" i="15"/>
  <c r="B173" i="33"/>
  <c r="C31" i="15"/>
  <c r="B129" i="33"/>
  <c r="C54" i="15"/>
  <c r="B151" i="33"/>
  <c r="B82" i="14"/>
  <c r="B662" i="33"/>
  <c r="C32" i="15" l="1"/>
  <c r="B130" i="33"/>
  <c r="C78" i="15"/>
  <c r="B174" i="33"/>
  <c r="C55" i="15"/>
  <c r="B152" i="33"/>
  <c r="C90" i="15"/>
  <c r="B185" i="33"/>
  <c r="B661" i="33"/>
  <c r="C91" i="15" l="1"/>
  <c r="B187" i="33" s="1"/>
  <c r="B186" i="33"/>
  <c r="C56" i="15"/>
  <c r="B153" i="33"/>
  <c r="C79" i="15"/>
  <c r="B175" i="33"/>
  <c r="C33" i="15"/>
  <c r="B131" i="33"/>
  <c r="B648" i="33"/>
  <c r="C34" i="15" l="1"/>
  <c r="B132" i="33"/>
  <c r="C80" i="15"/>
  <c r="B177" i="33" s="1"/>
  <c r="B176" i="33"/>
  <c r="C57" i="15"/>
  <c r="B154" i="33"/>
  <c r="I541" i="33"/>
  <c r="J450" i="33"/>
  <c r="J434" i="33"/>
  <c r="I435" i="33"/>
  <c r="C58" i="15" l="1"/>
  <c r="B155" i="33"/>
  <c r="C35" i="15"/>
  <c r="B133" i="33"/>
  <c r="I452" i="33"/>
  <c r="I451" i="33"/>
  <c r="I437" i="33"/>
  <c r="I436" i="33"/>
  <c r="J436" i="33"/>
  <c r="J435" i="33"/>
  <c r="J512" i="33"/>
  <c r="I512" i="33"/>
  <c r="J534" i="33"/>
  <c r="I534" i="33"/>
  <c r="I542" i="33"/>
  <c r="J541" i="33"/>
  <c r="I438" i="33"/>
  <c r="C36" i="15" l="1"/>
  <c r="B134" i="33"/>
  <c r="B156" i="33"/>
  <c r="C59" i="15"/>
  <c r="K534" i="33"/>
  <c r="K512" i="33"/>
  <c r="J437" i="33"/>
  <c r="L435" i="33"/>
  <c r="K435" i="33"/>
  <c r="K434" i="33"/>
  <c r="L434" i="33"/>
  <c r="J451" i="33"/>
  <c r="I453" i="33"/>
  <c r="L450" i="33"/>
  <c r="K450" i="33"/>
  <c r="L436" i="33"/>
  <c r="K436" i="33"/>
  <c r="K541" i="33"/>
  <c r="I543" i="33"/>
  <c r="J542" i="33"/>
  <c r="L534" i="33"/>
  <c r="I454" i="33"/>
  <c r="J453" i="33"/>
  <c r="J438" i="33"/>
  <c r="I439" i="33"/>
  <c r="B667" i="33"/>
  <c r="C60" i="15" l="1"/>
  <c r="B157" i="33"/>
  <c r="C37" i="15"/>
  <c r="B135" i="33"/>
  <c r="L512" i="33"/>
  <c r="J452" i="33"/>
  <c r="L451" i="33"/>
  <c r="K451" i="33"/>
  <c r="L437" i="33"/>
  <c r="K437" i="33"/>
  <c r="K542" i="33"/>
  <c r="J543" i="33"/>
  <c r="I544" i="33"/>
  <c r="L541" i="33"/>
  <c r="K453" i="33"/>
  <c r="J454" i="33"/>
  <c r="I455" i="33"/>
  <c r="I440" i="33"/>
  <c r="J439" i="33"/>
  <c r="K438" i="33"/>
  <c r="C38" i="15" l="1"/>
  <c r="B136" i="33"/>
  <c r="C61" i="15"/>
  <c r="B158" i="33"/>
  <c r="L452" i="33"/>
  <c r="K452" i="33"/>
  <c r="K543" i="33"/>
  <c r="I545" i="33"/>
  <c r="J544" i="33"/>
  <c r="L542" i="33"/>
  <c r="L453" i="33"/>
  <c r="I456" i="33"/>
  <c r="J455" i="33"/>
  <c r="K454" i="33"/>
  <c r="J440" i="33"/>
  <c r="I441" i="33"/>
  <c r="L438" i="33"/>
  <c r="K439" i="33"/>
  <c r="B655" i="33"/>
  <c r="B641" i="33"/>
  <c r="C62" i="15" l="1"/>
  <c r="B159" i="33"/>
  <c r="C39" i="15"/>
  <c r="B137" i="33"/>
  <c r="K544" i="33"/>
  <c r="J545" i="33"/>
  <c r="I546" i="33"/>
  <c r="L543" i="33"/>
  <c r="L454" i="33"/>
  <c r="K455" i="33"/>
  <c r="J456" i="33"/>
  <c r="I457" i="33"/>
  <c r="J441" i="33"/>
  <c r="I442" i="33"/>
  <c r="K440" i="33"/>
  <c r="L439" i="33"/>
  <c r="C40" i="15" l="1"/>
  <c r="B138" i="33"/>
  <c r="C63" i="15"/>
  <c r="B160" i="33"/>
  <c r="I547" i="33"/>
  <c r="J546" i="33"/>
  <c r="K545" i="33"/>
  <c r="L544" i="33"/>
  <c r="K456" i="33"/>
  <c r="J457" i="33"/>
  <c r="L455" i="33"/>
  <c r="L440" i="33"/>
  <c r="J442" i="33"/>
  <c r="I443" i="33"/>
  <c r="K441" i="33"/>
  <c r="C64" i="15" l="1"/>
  <c r="B161" i="33"/>
  <c r="C41" i="15"/>
  <c r="B139" i="33"/>
  <c r="I458" i="33"/>
  <c r="L545" i="33"/>
  <c r="K546" i="33"/>
  <c r="J547" i="33"/>
  <c r="I548" i="33"/>
  <c r="L456" i="33"/>
  <c r="K457" i="33"/>
  <c r="J458" i="33"/>
  <c r="I444" i="33"/>
  <c r="J443" i="33"/>
  <c r="K442" i="33"/>
  <c r="L441" i="33"/>
  <c r="C42" i="15" l="1"/>
  <c r="B140" i="33"/>
  <c r="C65" i="15"/>
  <c r="B162" i="33"/>
  <c r="I459" i="33"/>
  <c r="I549" i="33"/>
  <c r="J548" i="33"/>
  <c r="K547" i="33"/>
  <c r="L546" i="33"/>
  <c r="K458" i="33"/>
  <c r="L457" i="33"/>
  <c r="L442" i="33"/>
  <c r="K443" i="33"/>
  <c r="J444" i="33"/>
  <c r="I445" i="33"/>
  <c r="C66" i="15" l="1"/>
  <c r="B163" i="33"/>
  <c r="C43" i="15"/>
  <c r="B142" i="33" s="1"/>
  <c r="B141" i="33"/>
  <c r="J459" i="33"/>
  <c r="I460" i="33"/>
  <c r="L547" i="33"/>
  <c r="K548" i="33"/>
  <c r="J549" i="33"/>
  <c r="L458" i="33"/>
  <c r="J445" i="33"/>
  <c r="I446" i="33"/>
  <c r="L443" i="33"/>
  <c r="K444" i="33"/>
  <c r="C67" i="15" l="1"/>
  <c r="B164" i="33"/>
  <c r="J460" i="33"/>
  <c r="I461" i="33"/>
  <c r="K459" i="33"/>
  <c r="L459" i="33"/>
  <c r="K549" i="33"/>
  <c r="L548" i="33"/>
  <c r="L444" i="33"/>
  <c r="I447" i="33"/>
  <c r="J446" i="33"/>
  <c r="K445" i="33"/>
  <c r="L75" i="14"/>
  <c r="N85" i="33" s="1"/>
  <c r="K75" i="14"/>
  <c r="M85" i="33" s="1"/>
  <c r="J75" i="14"/>
  <c r="L85" i="33" s="1"/>
  <c r="I75" i="14"/>
  <c r="K85" i="33" s="1"/>
  <c r="H75" i="14"/>
  <c r="J85" i="33" s="1"/>
  <c r="L67" i="14"/>
  <c r="N77" i="33" s="1"/>
  <c r="K67" i="14"/>
  <c r="M77" i="33" s="1"/>
  <c r="J67" i="14"/>
  <c r="L77" i="33" s="1"/>
  <c r="I67" i="14"/>
  <c r="K77" i="33" s="1"/>
  <c r="H67" i="14"/>
  <c r="J77" i="33" s="1"/>
  <c r="G46" i="14"/>
  <c r="K46" i="14"/>
  <c r="J46" i="14"/>
  <c r="I46" i="14"/>
  <c r="H46" i="14"/>
  <c r="G57" i="14"/>
  <c r="L46" i="14"/>
  <c r="C42" i="14"/>
  <c r="C68" i="15" l="1"/>
  <c r="B165" i="33"/>
  <c r="G63" i="14"/>
  <c r="I73" i="33" s="1"/>
  <c r="I56" i="33"/>
  <c r="I63" i="14"/>
  <c r="K73" i="33" s="1"/>
  <c r="K56" i="33"/>
  <c r="J63" i="14"/>
  <c r="L73" i="33" s="1"/>
  <c r="L56" i="33"/>
  <c r="L63" i="14"/>
  <c r="N73" i="33" s="1"/>
  <c r="N56" i="33"/>
  <c r="H63" i="14"/>
  <c r="J73" i="33" s="1"/>
  <c r="J56" i="33"/>
  <c r="K63" i="14"/>
  <c r="M73" i="33" s="1"/>
  <c r="M56" i="33"/>
  <c r="G67" i="14"/>
  <c r="I77" i="33" s="1"/>
  <c r="I67" i="33"/>
  <c r="I462" i="33"/>
  <c r="J461" i="33"/>
  <c r="K460" i="33"/>
  <c r="L460" i="33"/>
  <c r="L549" i="33"/>
  <c r="K446" i="33"/>
  <c r="L445" i="33"/>
  <c r="I448" i="33"/>
  <c r="J447" i="33"/>
  <c r="G75" i="14"/>
  <c r="I85" i="33" s="1"/>
  <c r="C69" i="15" l="1"/>
  <c r="B167" i="33" s="1"/>
  <c r="B166" i="33"/>
  <c r="J462" i="33"/>
  <c r="I463" i="33"/>
  <c r="K461" i="33"/>
  <c r="L461" i="33"/>
  <c r="K447" i="33"/>
  <c r="J448" i="33"/>
  <c r="L446" i="33"/>
  <c r="S29" i="13"/>
  <c r="S28" i="13"/>
  <c r="J463" i="33" l="1"/>
  <c r="I464" i="33"/>
  <c r="K462" i="33"/>
  <c r="L462" i="33"/>
  <c r="K448" i="33"/>
  <c r="L447" i="33"/>
  <c r="L29" i="13"/>
  <c r="S31" i="13"/>
  <c r="D9" i="33" s="1"/>
  <c r="S24" i="13"/>
  <c r="C33" i="13" s="1"/>
  <c r="C69" i="13" l="1"/>
  <c r="K63" i="13"/>
  <c r="M32" i="33" s="1"/>
  <c r="D63" i="13"/>
  <c r="S64" i="13"/>
  <c r="D65" i="13" s="1"/>
  <c r="J464" i="33"/>
  <c r="K463" i="33"/>
  <c r="L463" i="33"/>
  <c r="L448" i="33"/>
  <c r="C61" i="14"/>
  <c r="B71" i="33" s="1"/>
  <c r="L63" i="13"/>
  <c r="N32" i="33" s="1"/>
  <c r="M63" i="13"/>
  <c r="O32" i="33" s="1"/>
  <c r="C71" i="14"/>
  <c r="B81" i="33" s="1"/>
  <c r="C32" i="33" l="1"/>
  <c r="C34" i="33"/>
  <c r="D64" i="13"/>
  <c r="L464" i="33"/>
  <c r="K464" i="33"/>
  <c r="C66" i="14"/>
  <c r="B76" i="33" s="1"/>
  <c r="K102" i="31"/>
  <c r="B38" i="33"/>
  <c r="H20" i="14"/>
  <c r="L102" i="31" l="1"/>
  <c r="I592" i="33"/>
  <c r="C74" i="14"/>
  <c r="B84" i="33" s="1"/>
  <c r="M102" i="31" l="1"/>
  <c r="J592" i="33"/>
  <c r="N102" i="31" l="1"/>
  <c r="K592" i="33"/>
  <c r="O102" i="31" l="1"/>
  <c r="L592" i="33"/>
  <c r="O211" i="33"/>
  <c r="N211" i="33"/>
  <c r="O249" i="33"/>
  <c r="N249" i="33"/>
  <c r="M249" i="33"/>
  <c r="L249" i="33"/>
  <c r="K249" i="33"/>
  <c r="J249" i="33"/>
  <c r="M211" i="33"/>
  <c r="L211" i="33"/>
  <c r="K211" i="33"/>
  <c r="J211" i="33"/>
  <c r="P102" i="31" l="1"/>
  <c r="M592" i="33"/>
  <c r="M163" i="4"/>
  <c r="Q102" i="31" l="1"/>
  <c r="N592" i="33"/>
  <c r="R622" i="33" l="1"/>
  <c r="R632" i="33" s="1"/>
  <c r="R102" i="31"/>
  <c r="O592" i="33"/>
  <c r="R624" i="33"/>
  <c r="R623" i="33"/>
  <c r="B32" i="33"/>
  <c r="R710" i="33" l="1"/>
  <c r="S102" i="31"/>
  <c r="Q592" i="33" s="1"/>
  <c r="P592" i="33"/>
  <c r="D17" i="14"/>
  <c r="D50" i="14"/>
  <c r="C60" i="33" s="1"/>
  <c r="D66" i="14" l="1"/>
  <c r="C76" i="33" s="1"/>
  <c r="H231" i="21"/>
  <c r="J678" i="33" s="1"/>
  <c r="I231" i="21"/>
  <c r="K678" i="33" s="1"/>
  <c r="J231" i="21"/>
  <c r="L678" i="33" s="1"/>
  <c r="K231" i="21"/>
  <c r="M678" i="33" s="1"/>
  <c r="L231" i="21"/>
  <c r="N678" i="33" s="1"/>
  <c r="M231" i="21"/>
  <c r="O678" i="33" s="1"/>
  <c r="N231" i="21"/>
  <c r="P678" i="33" s="1"/>
  <c r="O231" i="21"/>
  <c r="Q678" i="33" s="1"/>
  <c r="P231" i="21"/>
  <c r="R678" i="33" s="1"/>
  <c r="H232" i="21"/>
  <c r="J679" i="33" s="1"/>
  <c r="I232" i="21"/>
  <c r="K679" i="33" s="1"/>
  <c r="J232" i="21"/>
  <c r="L679" i="33" s="1"/>
  <c r="K232" i="21"/>
  <c r="M679" i="33" s="1"/>
  <c r="L232" i="21"/>
  <c r="N679" i="33" s="1"/>
  <c r="M232" i="21"/>
  <c r="O679" i="33" s="1"/>
  <c r="N232" i="21"/>
  <c r="P679" i="33" s="1"/>
  <c r="O232" i="21"/>
  <c r="Q679" i="33" s="1"/>
  <c r="P232" i="21"/>
  <c r="R679" i="33" s="1"/>
  <c r="G232" i="21"/>
  <c r="I679" i="33" s="1"/>
  <c r="G231" i="21"/>
  <c r="I678" i="33" s="1"/>
  <c r="R640" i="33" l="1"/>
  <c r="R650" i="33" s="1"/>
  <c r="L622" i="33"/>
  <c r="L632" i="33" s="1"/>
  <c r="L640" i="33"/>
  <c r="L650" i="33" s="1"/>
  <c r="N622" i="33"/>
  <c r="N632" i="33" s="1"/>
  <c r="K640" i="33"/>
  <c r="K650" i="33" s="1"/>
  <c r="K622" i="33"/>
  <c r="K632" i="33" s="1"/>
  <c r="M640" i="33"/>
  <c r="M650" i="33" s="1"/>
  <c r="M622" i="33"/>
  <c r="M632" i="33" s="1"/>
  <c r="J622" i="33"/>
  <c r="J632" i="33" s="1"/>
  <c r="Q622" i="33"/>
  <c r="Q632" i="33" s="1"/>
  <c r="I622" i="33"/>
  <c r="I632" i="33" s="1"/>
  <c r="O640" i="33"/>
  <c r="O650" i="33" s="1"/>
  <c r="J640" i="33"/>
  <c r="J650" i="33" s="1"/>
  <c r="H622" i="33"/>
  <c r="H632" i="33" s="1"/>
  <c r="P622" i="33"/>
  <c r="P632" i="33" s="1"/>
  <c r="H640" i="33"/>
  <c r="H650" i="33" s="1"/>
  <c r="P640" i="33"/>
  <c r="P650" i="33" s="1"/>
  <c r="N640" i="33"/>
  <c r="N650" i="33" s="1"/>
  <c r="O622" i="33"/>
  <c r="O632" i="33" s="1"/>
  <c r="I640" i="33"/>
  <c r="I650" i="33" s="1"/>
  <c r="Q640" i="33"/>
  <c r="Q650" i="33" s="1"/>
  <c r="K641" i="33"/>
  <c r="K624" i="33"/>
  <c r="K623" i="33"/>
  <c r="L642" i="33"/>
  <c r="L641" i="33"/>
  <c r="L624" i="33"/>
  <c r="L623" i="33"/>
  <c r="M642" i="33"/>
  <c r="M641" i="33"/>
  <c r="H623" i="33"/>
  <c r="N642" i="33"/>
  <c r="N641" i="33"/>
  <c r="Q624" i="33"/>
  <c r="Q623" i="33"/>
  <c r="H642" i="33"/>
  <c r="H641" i="33"/>
  <c r="P642" i="33"/>
  <c r="P641" i="33"/>
  <c r="M624" i="33"/>
  <c r="M623" i="33"/>
  <c r="O642" i="33"/>
  <c r="O641" i="33"/>
  <c r="P624" i="33"/>
  <c r="P623" i="33"/>
  <c r="I642" i="33"/>
  <c r="I641" i="33"/>
  <c r="Q642" i="33"/>
  <c r="J624" i="33"/>
  <c r="J623" i="33"/>
  <c r="I624" i="33"/>
  <c r="I623" i="33"/>
  <c r="O624" i="33"/>
  <c r="O623" i="33"/>
  <c r="N624" i="33"/>
  <c r="N623" i="33"/>
  <c r="J642" i="33"/>
  <c r="J641" i="33"/>
  <c r="K642" i="33"/>
  <c r="D74" i="14"/>
  <c r="C84" i="33" s="1"/>
  <c r="K710" i="33" l="1"/>
  <c r="H711" i="33"/>
  <c r="O711" i="33"/>
  <c r="M710" i="33"/>
  <c r="N710" i="33"/>
  <c r="O710" i="33"/>
  <c r="P710" i="33"/>
  <c r="I710" i="33"/>
  <c r="M711" i="33"/>
  <c r="L711" i="33"/>
  <c r="N711" i="33"/>
  <c r="Q710" i="33"/>
  <c r="L710" i="33"/>
  <c r="Q711" i="33"/>
  <c r="P711" i="33"/>
  <c r="J711" i="33"/>
  <c r="K711" i="33"/>
  <c r="R641" i="33"/>
  <c r="Q641" i="33"/>
  <c r="R667" i="33"/>
  <c r="R642" i="33"/>
  <c r="H667" i="33"/>
  <c r="H624" i="33"/>
  <c r="Q667" i="33"/>
  <c r="L667" i="33"/>
  <c r="S624" i="33"/>
  <c r="I667" i="33"/>
  <c r="J667" i="33"/>
  <c r="P667" i="33"/>
  <c r="M667" i="33"/>
  <c r="N667" i="33"/>
  <c r="O667" i="33"/>
  <c r="K667" i="33"/>
  <c r="I711" i="33"/>
  <c r="R711" i="33"/>
  <c r="U623" i="33"/>
  <c r="W623" i="33" s="1"/>
  <c r="U641" i="33"/>
  <c r="J710" i="33"/>
  <c r="S623" i="33"/>
  <c r="S641" i="33"/>
  <c r="H710" i="33"/>
  <c r="O60" i="22"/>
  <c r="W641" i="33" l="1"/>
  <c r="V623" i="33"/>
  <c r="V641" i="33"/>
  <c r="C60" i="13" l="1"/>
  <c r="B29" i="33" s="1"/>
  <c r="C33" i="33" l="1"/>
  <c r="C27" i="18"/>
  <c r="B429" i="33" s="1"/>
  <c r="C68" i="14"/>
  <c r="B78" i="33" s="1"/>
  <c r="C67" i="13"/>
  <c r="B36" i="33" s="1"/>
  <c r="H645" i="33" l="1"/>
  <c r="H648" i="33"/>
  <c r="H21" i="4"/>
  <c r="L23" i="32" l="1"/>
  <c r="H706" i="33" s="1"/>
  <c r="H649" i="33"/>
  <c r="H652" i="33" s="1"/>
  <c r="F53" i="32"/>
  <c r="F52" i="32"/>
  <c r="F47" i="32"/>
  <c r="F46" i="32"/>
  <c r="F41" i="32"/>
  <c r="F40" i="32"/>
  <c r="F34" i="32"/>
  <c r="F33" i="32"/>
  <c r="F29" i="32"/>
  <c r="F28" i="32"/>
  <c r="C151" i="18"/>
  <c r="B551" i="33" s="1"/>
  <c r="C150" i="18"/>
  <c r="B550" i="33" s="1"/>
  <c r="C136" i="18"/>
  <c r="B536" i="33" s="1"/>
  <c r="C135" i="18"/>
  <c r="B535" i="33" s="1"/>
  <c r="F55" i="22" l="1"/>
  <c r="F51" i="33" s="1"/>
  <c r="F614" i="33" l="1"/>
  <c r="F566" i="33"/>
  <c r="F119" i="33"/>
  <c r="F699" i="33"/>
  <c r="F93" i="33"/>
  <c r="F425" i="33"/>
  <c r="E55" i="22"/>
  <c r="E51" i="33" s="1"/>
  <c r="E614" i="33" l="1"/>
  <c r="E566" i="33"/>
  <c r="E93" i="33"/>
  <c r="E699" i="33"/>
  <c r="E425" i="33"/>
  <c r="E119" i="33"/>
  <c r="C3" i="3"/>
  <c r="D6" i="33" s="1"/>
  <c r="I13" i="13"/>
  <c r="C3" i="21" l="1"/>
  <c r="C3" i="4"/>
  <c r="C3" i="14"/>
  <c r="C3" i="15"/>
  <c r="C3" i="32"/>
  <c r="C3" i="18"/>
  <c r="C3" i="31"/>
  <c r="L39" i="32" l="1"/>
  <c r="L34" i="32"/>
  <c r="H715" i="33" s="1"/>
  <c r="C80" i="32" l="1"/>
  <c r="I101" i="31"/>
  <c r="J33" i="32"/>
  <c r="F714" i="33" s="1"/>
  <c r="K33" i="32"/>
  <c r="G714" i="33" s="1"/>
  <c r="I33" i="32"/>
  <c r="E714" i="33" s="1"/>
  <c r="J40" i="32"/>
  <c r="F721" i="33" s="1"/>
  <c r="K40" i="32"/>
  <c r="G721" i="33" s="1"/>
  <c r="I40" i="32"/>
  <c r="E721" i="33" s="1"/>
  <c r="J46" i="32"/>
  <c r="F726" i="33" s="1"/>
  <c r="K46" i="32"/>
  <c r="G726" i="33" s="1"/>
  <c r="I46" i="32"/>
  <c r="E726" i="33" s="1"/>
  <c r="I41" i="32" l="1"/>
  <c r="E722" i="33" s="1"/>
  <c r="K41" i="32"/>
  <c r="G722" i="33" s="1"/>
  <c r="J41" i="32"/>
  <c r="F722" i="33" s="1"/>
  <c r="I34" i="32"/>
  <c r="E715" i="33" s="1"/>
  <c r="K34" i="32"/>
  <c r="G715" i="33" s="1"/>
  <c r="J47" i="32"/>
  <c r="F727" i="33" s="1"/>
  <c r="I47" i="32"/>
  <c r="E727" i="33" s="1"/>
  <c r="J34" i="32"/>
  <c r="F715" i="33" s="1"/>
  <c r="K47" i="32"/>
  <c r="G727" i="33" s="1"/>
  <c r="I95" i="31" l="1"/>
  <c r="G589" i="33" s="1"/>
  <c r="I87" i="31"/>
  <c r="G581" i="33" s="1"/>
  <c r="I82" i="31"/>
  <c r="G576" i="33" s="1"/>
  <c r="I89" i="31" l="1"/>
  <c r="G583" i="33" s="1"/>
  <c r="G590" i="33" l="1"/>
  <c r="G584" i="33"/>
  <c r="I96" i="31"/>
  <c r="J42" i="31"/>
  <c r="J43" i="31" s="1"/>
  <c r="J44" i="31" s="1"/>
  <c r="I42" i="31"/>
  <c r="I43" i="31" s="1"/>
  <c r="I44" i="31" s="1"/>
  <c r="K27" i="31"/>
  <c r="J27" i="31"/>
  <c r="I27" i="31"/>
  <c r="J28" i="31" l="1"/>
  <c r="K28" i="31"/>
  <c r="I45" i="31"/>
  <c r="J45" i="31"/>
  <c r="I28" i="31"/>
  <c r="K52" i="32" l="1"/>
  <c r="K53" i="32" s="1"/>
  <c r="G731" i="33" s="1"/>
  <c r="K29" i="31"/>
  <c r="K28" i="32" s="1"/>
  <c r="I52" i="32"/>
  <c r="E730" i="33" s="1"/>
  <c r="I29" i="31"/>
  <c r="J52" i="32"/>
  <c r="F730" i="33" s="1"/>
  <c r="J29" i="31"/>
  <c r="J46" i="31"/>
  <c r="I46" i="31"/>
  <c r="G730" i="33" l="1"/>
  <c r="J53" i="32"/>
  <c r="F731" i="33" s="1"/>
  <c r="I28" i="32"/>
  <c r="I29" i="32" s="1"/>
  <c r="E711" i="33" s="1"/>
  <c r="J28" i="32"/>
  <c r="K29" i="32"/>
  <c r="G711" i="33" s="1"/>
  <c r="G710" i="33"/>
  <c r="J47" i="31"/>
  <c r="J49" i="31" s="1"/>
  <c r="J22" i="32" s="1"/>
  <c r="F705" i="33" s="1"/>
  <c r="I47" i="31"/>
  <c r="I49" i="31" s="1"/>
  <c r="I53" i="32"/>
  <c r="E731" i="33" s="1"/>
  <c r="C193" i="16"/>
  <c r="Q164" i="16"/>
  <c r="O158" i="16"/>
  <c r="Q152" i="16"/>
  <c r="D113" i="16"/>
  <c r="E108" i="16"/>
  <c r="D108" i="16"/>
  <c r="D117" i="16"/>
  <c r="D112" i="16"/>
  <c r="C114" i="16"/>
  <c r="C111" i="16"/>
  <c r="C104" i="16"/>
  <c r="C105" i="16"/>
  <c r="C103" i="16"/>
  <c r="D115" i="16"/>
  <c r="D109" i="16"/>
  <c r="Y450" i="15"/>
  <c r="X450" i="15"/>
  <c r="W450" i="15"/>
  <c r="V450" i="15"/>
  <c r="U450" i="15"/>
  <c r="T450" i="15"/>
  <c r="S450" i="15"/>
  <c r="Y449" i="15"/>
  <c r="X449" i="15"/>
  <c r="W449" i="15"/>
  <c r="V449" i="15"/>
  <c r="U449" i="15"/>
  <c r="T449" i="15"/>
  <c r="S449" i="15"/>
  <c r="Y448" i="15"/>
  <c r="X448" i="15"/>
  <c r="W448" i="15"/>
  <c r="V448" i="15"/>
  <c r="U448" i="15"/>
  <c r="T448" i="15"/>
  <c r="S448" i="15"/>
  <c r="Y447" i="15"/>
  <c r="X447" i="15"/>
  <c r="W447" i="15"/>
  <c r="V447" i="15"/>
  <c r="U447" i="15"/>
  <c r="T447" i="15"/>
  <c r="S447" i="15"/>
  <c r="Y446" i="15"/>
  <c r="X446" i="15"/>
  <c r="W446" i="15"/>
  <c r="V446" i="15"/>
  <c r="U446" i="15"/>
  <c r="T446" i="15"/>
  <c r="S446" i="15"/>
  <c r="Y445" i="15"/>
  <c r="X445" i="15"/>
  <c r="W445" i="15"/>
  <c r="V445" i="15"/>
  <c r="U445" i="15"/>
  <c r="T445" i="15"/>
  <c r="S445" i="15"/>
  <c r="Y444" i="15"/>
  <c r="X444" i="15"/>
  <c r="W444" i="15"/>
  <c r="V444" i="15"/>
  <c r="U444" i="15"/>
  <c r="T444" i="15"/>
  <c r="S444" i="15"/>
  <c r="Y443" i="15"/>
  <c r="X443" i="15"/>
  <c r="W443" i="15"/>
  <c r="V443" i="15"/>
  <c r="U443" i="15"/>
  <c r="T443" i="15"/>
  <c r="S443" i="15"/>
  <c r="Y442" i="15"/>
  <c r="X442" i="15"/>
  <c r="W442" i="15"/>
  <c r="V442" i="15"/>
  <c r="U442" i="15"/>
  <c r="T442" i="15"/>
  <c r="S442" i="15"/>
  <c r="Y441" i="15"/>
  <c r="X441" i="15"/>
  <c r="W441" i="15"/>
  <c r="V441" i="15"/>
  <c r="U441" i="15"/>
  <c r="T441" i="15"/>
  <c r="S441" i="15"/>
  <c r="Y432" i="15"/>
  <c r="X432" i="15"/>
  <c r="W432" i="15"/>
  <c r="V432" i="15"/>
  <c r="U432" i="15"/>
  <c r="T432" i="15"/>
  <c r="S432" i="15"/>
  <c r="Y431" i="15"/>
  <c r="X431" i="15"/>
  <c r="W431" i="15"/>
  <c r="V431" i="15"/>
  <c r="U431" i="15"/>
  <c r="T431" i="15"/>
  <c r="S431" i="15"/>
  <c r="Y430" i="15"/>
  <c r="X430" i="15"/>
  <c r="W430" i="15"/>
  <c r="V430" i="15"/>
  <c r="U430" i="15"/>
  <c r="T430" i="15"/>
  <c r="S430" i="15"/>
  <c r="Y429" i="15"/>
  <c r="X429" i="15"/>
  <c r="W429" i="15"/>
  <c r="V429" i="15"/>
  <c r="U429" i="15"/>
  <c r="T429" i="15"/>
  <c r="S429" i="15"/>
  <c r="Y428" i="15"/>
  <c r="X428" i="15"/>
  <c r="W428" i="15"/>
  <c r="V428" i="15"/>
  <c r="U428" i="15"/>
  <c r="T428" i="15"/>
  <c r="S428" i="15"/>
  <c r="Y427" i="15"/>
  <c r="X427" i="15"/>
  <c r="W427" i="15"/>
  <c r="V427" i="15"/>
  <c r="U427" i="15"/>
  <c r="T427" i="15"/>
  <c r="S427" i="15"/>
  <c r="Y426" i="15"/>
  <c r="X426" i="15"/>
  <c r="W426" i="15"/>
  <c r="V426" i="15"/>
  <c r="U426" i="15"/>
  <c r="T426" i="15"/>
  <c r="S426" i="15"/>
  <c r="Y425" i="15"/>
  <c r="X425" i="15"/>
  <c r="W425" i="15"/>
  <c r="V425" i="15"/>
  <c r="U425" i="15"/>
  <c r="T425" i="15"/>
  <c r="S425" i="15"/>
  <c r="Y424" i="15"/>
  <c r="X424" i="15"/>
  <c r="W424" i="15"/>
  <c r="V424" i="15"/>
  <c r="U424" i="15"/>
  <c r="T424" i="15"/>
  <c r="S424" i="15"/>
  <c r="Y423" i="15"/>
  <c r="X423" i="15"/>
  <c r="W423" i="15"/>
  <c r="V423" i="15"/>
  <c r="U423" i="15"/>
  <c r="T423" i="15"/>
  <c r="S423" i="15"/>
  <c r="Y422" i="15"/>
  <c r="X422" i="15"/>
  <c r="W422" i="15"/>
  <c r="V422" i="15"/>
  <c r="U422" i="15"/>
  <c r="T422" i="15"/>
  <c r="S422" i="15"/>
  <c r="Y421" i="15"/>
  <c r="X421" i="15"/>
  <c r="W421" i="15"/>
  <c r="V421" i="15"/>
  <c r="U421" i="15"/>
  <c r="T421" i="15"/>
  <c r="S421" i="15"/>
  <c r="Y420" i="15"/>
  <c r="X420" i="15"/>
  <c r="W420" i="15"/>
  <c r="V420" i="15"/>
  <c r="U420" i="15"/>
  <c r="T420" i="15"/>
  <c r="S420" i="15"/>
  <c r="Y419" i="15"/>
  <c r="X419" i="15"/>
  <c r="W419" i="15"/>
  <c r="V419" i="15"/>
  <c r="U419" i="15"/>
  <c r="T419" i="15"/>
  <c r="S419" i="15"/>
  <c r="Y418" i="15"/>
  <c r="X418" i="15"/>
  <c r="W418" i="15"/>
  <c r="V418" i="15"/>
  <c r="U418" i="15"/>
  <c r="T418" i="15"/>
  <c r="S418" i="15"/>
  <c r="Y417" i="15"/>
  <c r="X417" i="15"/>
  <c r="W417" i="15"/>
  <c r="V417" i="15"/>
  <c r="U417" i="15"/>
  <c r="T417" i="15"/>
  <c r="S417" i="15"/>
  <c r="Y416" i="15"/>
  <c r="X416" i="15"/>
  <c r="W416" i="15"/>
  <c r="V416" i="15"/>
  <c r="U416" i="15"/>
  <c r="T416" i="15"/>
  <c r="S416" i="15"/>
  <c r="Y415" i="15"/>
  <c r="X415" i="15"/>
  <c r="W415" i="15"/>
  <c r="V415" i="15"/>
  <c r="U415" i="15"/>
  <c r="T415" i="15"/>
  <c r="S415" i="15"/>
  <c r="Y414" i="15"/>
  <c r="X414" i="15"/>
  <c r="W414" i="15"/>
  <c r="V414" i="15"/>
  <c r="U414" i="15"/>
  <c r="T414" i="15"/>
  <c r="S414" i="15"/>
  <c r="Y413" i="15"/>
  <c r="X413" i="15"/>
  <c r="W413" i="15"/>
  <c r="V413" i="15"/>
  <c r="U413" i="15"/>
  <c r="T413" i="15"/>
  <c r="S413" i="15"/>
  <c r="Y404" i="15"/>
  <c r="X404" i="15"/>
  <c r="W404" i="15"/>
  <c r="V404" i="15"/>
  <c r="U404" i="15"/>
  <c r="T404" i="15"/>
  <c r="S404" i="15"/>
  <c r="Y403" i="15"/>
  <c r="X403" i="15"/>
  <c r="W403" i="15"/>
  <c r="V403" i="15"/>
  <c r="U403" i="15"/>
  <c r="T403" i="15"/>
  <c r="S403" i="15"/>
  <c r="Y402" i="15"/>
  <c r="X402" i="15"/>
  <c r="W402" i="15"/>
  <c r="V402" i="15"/>
  <c r="U402" i="15"/>
  <c r="T402" i="15"/>
  <c r="S402" i="15"/>
  <c r="Y401" i="15"/>
  <c r="X401" i="15"/>
  <c r="W401" i="15"/>
  <c r="V401" i="15"/>
  <c r="U401" i="15"/>
  <c r="T401" i="15"/>
  <c r="S401" i="15"/>
  <c r="Y400" i="15"/>
  <c r="X400" i="15"/>
  <c r="W400" i="15"/>
  <c r="V400" i="15"/>
  <c r="U400" i="15"/>
  <c r="T400" i="15"/>
  <c r="S400" i="15"/>
  <c r="Y399" i="15"/>
  <c r="X399" i="15"/>
  <c r="W399" i="15"/>
  <c r="V399" i="15"/>
  <c r="U399" i="15"/>
  <c r="T399" i="15"/>
  <c r="S399" i="15"/>
  <c r="Y398" i="15"/>
  <c r="X398" i="15"/>
  <c r="W398" i="15"/>
  <c r="V398" i="15"/>
  <c r="U398" i="15"/>
  <c r="T398" i="15"/>
  <c r="S398" i="15"/>
  <c r="Y397" i="15"/>
  <c r="X397" i="15"/>
  <c r="W397" i="15"/>
  <c r="V397" i="15"/>
  <c r="U397" i="15"/>
  <c r="T397" i="15"/>
  <c r="S397" i="15"/>
  <c r="Y396" i="15"/>
  <c r="X396" i="15"/>
  <c r="W396" i="15"/>
  <c r="V396" i="15"/>
  <c r="U396" i="15"/>
  <c r="T396" i="15"/>
  <c r="S396" i="15"/>
  <c r="Y395" i="15"/>
  <c r="X395" i="15"/>
  <c r="W395" i="15"/>
  <c r="V395" i="15"/>
  <c r="U395" i="15"/>
  <c r="T395" i="15"/>
  <c r="S395" i="15"/>
  <c r="Y394" i="15"/>
  <c r="X394" i="15"/>
  <c r="W394" i="15"/>
  <c r="V394" i="15"/>
  <c r="U394" i="15"/>
  <c r="T394" i="15"/>
  <c r="S394" i="15"/>
  <c r="Y393" i="15"/>
  <c r="X393" i="15"/>
  <c r="W393" i="15"/>
  <c r="V393" i="15"/>
  <c r="U393" i="15"/>
  <c r="T393" i="15"/>
  <c r="S393" i="15"/>
  <c r="Y392" i="15"/>
  <c r="X392" i="15"/>
  <c r="W392" i="15"/>
  <c r="V392" i="15"/>
  <c r="U392" i="15"/>
  <c r="T392" i="15"/>
  <c r="S392" i="15"/>
  <c r="Y391" i="15"/>
  <c r="X391" i="15"/>
  <c r="W391" i="15"/>
  <c r="V391" i="15"/>
  <c r="U391" i="15"/>
  <c r="T391" i="15"/>
  <c r="S391" i="15"/>
  <c r="Y390" i="15"/>
  <c r="X390" i="15"/>
  <c r="W390" i="15"/>
  <c r="V390" i="15"/>
  <c r="U390" i="15"/>
  <c r="T390" i="15"/>
  <c r="S390" i="15"/>
  <c r="Y389" i="15"/>
  <c r="X389" i="15"/>
  <c r="W389" i="15"/>
  <c r="V389" i="15"/>
  <c r="U389" i="15"/>
  <c r="T389" i="15"/>
  <c r="S389" i="15"/>
  <c r="Y388" i="15"/>
  <c r="X388" i="15"/>
  <c r="W388" i="15"/>
  <c r="V388" i="15"/>
  <c r="U388" i="15"/>
  <c r="T388" i="15"/>
  <c r="S388" i="15"/>
  <c r="Y387" i="15"/>
  <c r="X387" i="15"/>
  <c r="W387" i="15"/>
  <c r="V387" i="15"/>
  <c r="U387" i="15"/>
  <c r="T387" i="15"/>
  <c r="S387" i="15"/>
  <c r="Y386" i="15"/>
  <c r="X386" i="15"/>
  <c r="W386" i="15"/>
  <c r="V386" i="15"/>
  <c r="U386" i="15"/>
  <c r="T386" i="15"/>
  <c r="S386" i="15"/>
  <c r="Y385" i="15"/>
  <c r="X385" i="15"/>
  <c r="W385" i="15"/>
  <c r="V385" i="15"/>
  <c r="U385" i="15"/>
  <c r="T385" i="15"/>
  <c r="S385" i="15"/>
  <c r="Y376" i="15"/>
  <c r="X376" i="15"/>
  <c r="W376" i="15"/>
  <c r="V376" i="15"/>
  <c r="U376" i="15"/>
  <c r="T376" i="15"/>
  <c r="S376" i="15"/>
  <c r="Y375" i="15"/>
  <c r="X375" i="15"/>
  <c r="W375" i="15"/>
  <c r="V375" i="15"/>
  <c r="U375" i="15"/>
  <c r="T375" i="15"/>
  <c r="S375" i="15"/>
  <c r="Y374" i="15"/>
  <c r="X374" i="15"/>
  <c r="W374" i="15"/>
  <c r="V374" i="15"/>
  <c r="U374" i="15"/>
  <c r="T374" i="15"/>
  <c r="S374" i="15"/>
  <c r="Y373" i="15"/>
  <c r="X373" i="15"/>
  <c r="W373" i="15"/>
  <c r="V373" i="15"/>
  <c r="U373" i="15"/>
  <c r="T373" i="15"/>
  <c r="S373" i="15"/>
  <c r="Y372" i="15"/>
  <c r="X372" i="15"/>
  <c r="W372" i="15"/>
  <c r="V372" i="15"/>
  <c r="U372" i="15"/>
  <c r="T372" i="15"/>
  <c r="S372" i="15"/>
  <c r="Y371" i="15"/>
  <c r="X371" i="15"/>
  <c r="W371" i="15"/>
  <c r="V371" i="15"/>
  <c r="U371" i="15"/>
  <c r="T371" i="15"/>
  <c r="S371" i="15"/>
  <c r="Y370" i="15"/>
  <c r="X370" i="15"/>
  <c r="W370" i="15"/>
  <c r="V370" i="15"/>
  <c r="U370" i="15"/>
  <c r="T370" i="15"/>
  <c r="S370" i="15"/>
  <c r="Y369" i="15"/>
  <c r="X369" i="15"/>
  <c r="W369" i="15"/>
  <c r="V369" i="15"/>
  <c r="U369" i="15"/>
  <c r="T369" i="15"/>
  <c r="S369" i="15"/>
  <c r="Y368" i="15"/>
  <c r="X368" i="15"/>
  <c r="W368" i="15"/>
  <c r="V368" i="15"/>
  <c r="U368" i="15"/>
  <c r="T368" i="15"/>
  <c r="S368" i="15"/>
  <c r="Y367" i="15"/>
  <c r="X367" i="15"/>
  <c r="W367" i="15"/>
  <c r="V367" i="15"/>
  <c r="U367" i="15"/>
  <c r="T367" i="15"/>
  <c r="S367" i="15"/>
  <c r="Y366" i="15"/>
  <c r="X366" i="15"/>
  <c r="W366" i="15"/>
  <c r="V366" i="15"/>
  <c r="U366" i="15"/>
  <c r="T366" i="15"/>
  <c r="S366" i="15"/>
  <c r="Y365" i="15"/>
  <c r="X365" i="15"/>
  <c r="W365" i="15"/>
  <c r="V365" i="15"/>
  <c r="U365" i="15"/>
  <c r="T365" i="15"/>
  <c r="S365" i="15"/>
  <c r="Y364" i="15"/>
  <c r="X364" i="15"/>
  <c r="W364" i="15"/>
  <c r="V364" i="15"/>
  <c r="U364" i="15"/>
  <c r="T364" i="15"/>
  <c r="S364" i="15"/>
  <c r="Y363" i="15"/>
  <c r="X363" i="15"/>
  <c r="W363" i="15"/>
  <c r="V363" i="15"/>
  <c r="U363" i="15"/>
  <c r="T363" i="15"/>
  <c r="S363" i="15"/>
  <c r="Y362" i="15"/>
  <c r="X362" i="15"/>
  <c r="W362" i="15"/>
  <c r="V362" i="15"/>
  <c r="U362" i="15"/>
  <c r="T362" i="15"/>
  <c r="S362" i="15"/>
  <c r="Y361" i="15"/>
  <c r="X361" i="15"/>
  <c r="W361" i="15"/>
  <c r="V361" i="15"/>
  <c r="U361" i="15"/>
  <c r="T361" i="15"/>
  <c r="S361" i="15"/>
  <c r="Y360" i="15"/>
  <c r="X360" i="15"/>
  <c r="W360" i="15"/>
  <c r="V360" i="15"/>
  <c r="U360" i="15"/>
  <c r="T360" i="15"/>
  <c r="S360" i="15"/>
  <c r="Y359" i="15"/>
  <c r="X359" i="15"/>
  <c r="W359" i="15"/>
  <c r="V359" i="15"/>
  <c r="U359" i="15"/>
  <c r="T359" i="15"/>
  <c r="S359" i="15"/>
  <c r="Y358" i="15"/>
  <c r="X358" i="15"/>
  <c r="W358" i="15"/>
  <c r="V358" i="15"/>
  <c r="U358" i="15"/>
  <c r="T358" i="15"/>
  <c r="S358" i="15"/>
  <c r="Y357" i="15"/>
  <c r="X357" i="15"/>
  <c r="W357" i="15"/>
  <c r="V357" i="15"/>
  <c r="U357" i="15"/>
  <c r="T357" i="15"/>
  <c r="S357" i="15"/>
  <c r="Y356" i="15"/>
  <c r="X356" i="15"/>
  <c r="W356" i="15"/>
  <c r="V356" i="15"/>
  <c r="U356" i="15"/>
  <c r="T356" i="15"/>
  <c r="S356" i="15"/>
  <c r="Y355" i="15"/>
  <c r="X355" i="15"/>
  <c r="W355" i="15"/>
  <c r="V355" i="15"/>
  <c r="U355" i="15"/>
  <c r="T355" i="15"/>
  <c r="S355" i="15"/>
  <c r="Y354" i="15"/>
  <c r="X354" i="15"/>
  <c r="W354" i="15"/>
  <c r="V354" i="15"/>
  <c r="U354" i="15"/>
  <c r="T354" i="15"/>
  <c r="S354" i="15"/>
  <c r="Y353" i="15"/>
  <c r="X353" i="15"/>
  <c r="W353" i="15"/>
  <c r="V353" i="15"/>
  <c r="U353" i="15"/>
  <c r="T353" i="15"/>
  <c r="S353" i="15"/>
  <c r="Y352" i="15"/>
  <c r="X352" i="15"/>
  <c r="W352" i="15"/>
  <c r="V352" i="15"/>
  <c r="U352" i="15"/>
  <c r="T352" i="15"/>
  <c r="S352" i="15"/>
  <c r="Y351" i="15"/>
  <c r="X351" i="15"/>
  <c r="W351" i="15"/>
  <c r="V351" i="15"/>
  <c r="U351" i="15"/>
  <c r="T351" i="15"/>
  <c r="S351" i="15"/>
  <c r="Y340" i="15"/>
  <c r="X340" i="15"/>
  <c r="W340" i="15"/>
  <c r="V340" i="15"/>
  <c r="U340" i="15"/>
  <c r="Y339" i="15"/>
  <c r="X339" i="15"/>
  <c r="W339" i="15"/>
  <c r="V339" i="15"/>
  <c r="U339" i="15"/>
  <c r="Y338" i="15"/>
  <c r="X338" i="15"/>
  <c r="W338" i="15"/>
  <c r="V338" i="15"/>
  <c r="U338" i="15"/>
  <c r="Y337" i="15"/>
  <c r="X337" i="15"/>
  <c r="W337" i="15"/>
  <c r="V337" i="15"/>
  <c r="U337" i="15"/>
  <c r="Y336" i="15"/>
  <c r="X336" i="15"/>
  <c r="W336" i="15"/>
  <c r="V336" i="15"/>
  <c r="U336" i="15"/>
  <c r="Y335" i="15"/>
  <c r="X335" i="15"/>
  <c r="W335" i="15"/>
  <c r="V335" i="15"/>
  <c r="U335" i="15"/>
  <c r="Y334" i="15"/>
  <c r="X334" i="15"/>
  <c r="W334" i="15"/>
  <c r="V334" i="15"/>
  <c r="U334" i="15"/>
  <c r="Y333" i="15"/>
  <c r="X333" i="15"/>
  <c r="W333" i="15"/>
  <c r="V333" i="15"/>
  <c r="U333" i="15"/>
  <c r="Y332" i="15"/>
  <c r="X332" i="15"/>
  <c r="W332" i="15"/>
  <c r="V332" i="15"/>
  <c r="U332" i="15"/>
  <c r="Y331" i="15"/>
  <c r="X331" i="15"/>
  <c r="W331" i="15"/>
  <c r="V331" i="15"/>
  <c r="U331" i="15"/>
  <c r="Y330" i="15"/>
  <c r="X330" i="15"/>
  <c r="W330" i="15"/>
  <c r="V330" i="15"/>
  <c r="U330" i="15"/>
  <c r="Y329" i="15"/>
  <c r="X329" i="15"/>
  <c r="W329" i="15"/>
  <c r="V329" i="15"/>
  <c r="U329" i="15"/>
  <c r="Y328" i="15"/>
  <c r="X328" i="15"/>
  <c r="W328" i="15"/>
  <c r="V328" i="15"/>
  <c r="U328" i="15"/>
  <c r="Y327" i="15"/>
  <c r="X327" i="15"/>
  <c r="W327" i="15"/>
  <c r="V327" i="15"/>
  <c r="U327" i="15"/>
  <c r="Y326" i="15"/>
  <c r="X326" i="15"/>
  <c r="W326" i="15"/>
  <c r="V326" i="15"/>
  <c r="U326" i="15"/>
  <c r="Y325" i="15"/>
  <c r="X325" i="15"/>
  <c r="W325" i="15"/>
  <c r="V325" i="15"/>
  <c r="U325" i="15"/>
  <c r="Y324" i="15"/>
  <c r="X324" i="15"/>
  <c r="W324" i="15"/>
  <c r="V324" i="15"/>
  <c r="U324" i="15"/>
  <c r="Y323" i="15"/>
  <c r="X323" i="15"/>
  <c r="W323" i="15"/>
  <c r="V323" i="15"/>
  <c r="U323" i="15"/>
  <c r="Y322" i="15"/>
  <c r="X322" i="15"/>
  <c r="W322" i="15"/>
  <c r="V322" i="15"/>
  <c r="U322" i="15"/>
  <c r="Y321" i="15"/>
  <c r="X321" i="15"/>
  <c r="W321" i="15"/>
  <c r="V321" i="15"/>
  <c r="U321" i="15"/>
  <c r="Y319" i="15"/>
  <c r="X319" i="15"/>
  <c r="W319" i="15"/>
  <c r="V319" i="15"/>
  <c r="U319" i="15"/>
  <c r="Y318" i="15"/>
  <c r="X318" i="15"/>
  <c r="W318" i="15"/>
  <c r="V318" i="15"/>
  <c r="U318" i="15"/>
  <c r="Y317" i="15"/>
  <c r="X317" i="15"/>
  <c r="W317" i="15"/>
  <c r="V317" i="15"/>
  <c r="U317" i="15"/>
  <c r="Y316" i="15"/>
  <c r="X316" i="15"/>
  <c r="W316" i="15"/>
  <c r="V316" i="15"/>
  <c r="U316" i="15"/>
  <c r="Y315" i="15"/>
  <c r="X315" i="15"/>
  <c r="W315" i="15"/>
  <c r="V315" i="15"/>
  <c r="U315" i="15"/>
  <c r="Y314" i="15"/>
  <c r="X314" i="15"/>
  <c r="W314" i="15"/>
  <c r="V314" i="15"/>
  <c r="U314" i="15"/>
  <c r="Y313" i="15"/>
  <c r="X313" i="15"/>
  <c r="W313" i="15"/>
  <c r="V313" i="15"/>
  <c r="U313" i="15"/>
  <c r="Y312" i="15"/>
  <c r="X312" i="15"/>
  <c r="W312" i="15"/>
  <c r="V312" i="15"/>
  <c r="U312" i="15"/>
  <c r="Y311" i="15"/>
  <c r="X311" i="15"/>
  <c r="W311" i="15"/>
  <c r="V311" i="15"/>
  <c r="U311" i="15"/>
  <c r="Y310" i="15"/>
  <c r="X310" i="15"/>
  <c r="W310" i="15"/>
  <c r="V310" i="15"/>
  <c r="U310" i="15"/>
  <c r="Y309" i="15"/>
  <c r="X309" i="15"/>
  <c r="W309" i="15"/>
  <c r="V309" i="15"/>
  <c r="U309" i="15"/>
  <c r="Y308" i="15"/>
  <c r="X308" i="15"/>
  <c r="W308" i="15"/>
  <c r="V308" i="15"/>
  <c r="U308" i="15"/>
  <c r="Y307" i="15"/>
  <c r="X307" i="15"/>
  <c r="W307" i="15"/>
  <c r="V307" i="15"/>
  <c r="U307" i="15"/>
  <c r="Y306" i="15"/>
  <c r="X306" i="15"/>
  <c r="W306" i="15"/>
  <c r="V306" i="15"/>
  <c r="U306" i="15"/>
  <c r="Y305" i="15"/>
  <c r="X305" i="15"/>
  <c r="W305" i="15"/>
  <c r="V305" i="15"/>
  <c r="U305" i="15"/>
  <c r="Y304" i="15"/>
  <c r="X304" i="15"/>
  <c r="W304" i="15"/>
  <c r="V304" i="15"/>
  <c r="U304" i="15"/>
  <c r="Y303" i="15"/>
  <c r="X303" i="15"/>
  <c r="W303" i="15"/>
  <c r="V303" i="15"/>
  <c r="U303" i="15"/>
  <c r="Y302" i="15"/>
  <c r="X302" i="15"/>
  <c r="W302" i="15"/>
  <c r="V302" i="15"/>
  <c r="U302" i="15"/>
  <c r="Y301" i="15"/>
  <c r="X301" i="15"/>
  <c r="W301" i="15"/>
  <c r="V301" i="15"/>
  <c r="U301" i="15"/>
  <c r="Y300" i="15"/>
  <c r="X300" i="15"/>
  <c r="W300" i="15"/>
  <c r="V300" i="15"/>
  <c r="U300" i="15"/>
  <c r="Y298" i="15"/>
  <c r="X298" i="15"/>
  <c r="W298" i="15"/>
  <c r="V298" i="15"/>
  <c r="U298" i="15"/>
  <c r="Y297" i="15"/>
  <c r="X297" i="15"/>
  <c r="W297" i="15"/>
  <c r="V297" i="15"/>
  <c r="U297" i="15"/>
  <c r="Y296" i="15"/>
  <c r="X296" i="15"/>
  <c r="W296" i="15"/>
  <c r="V296" i="15"/>
  <c r="U296" i="15"/>
  <c r="Y295" i="15"/>
  <c r="X295" i="15"/>
  <c r="W295" i="15"/>
  <c r="V295" i="15"/>
  <c r="U295" i="15"/>
  <c r="Y294" i="15"/>
  <c r="X294" i="15"/>
  <c r="W294" i="15"/>
  <c r="V294" i="15"/>
  <c r="U294" i="15"/>
  <c r="Y293" i="15"/>
  <c r="X293" i="15"/>
  <c r="W293" i="15"/>
  <c r="V293" i="15"/>
  <c r="U293" i="15"/>
  <c r="Y292" i="15"/>
  <c r="X292" i="15"/>
  <c r="W292" i="15"/>
  <c r="V292" i="15"/>
  <c r="U292" i="15"/>
  <c r="Y291" i="15"/>
  <c r="X291" i="15"/>
  <c r="W291" i="15"/>
  <c r="V291" i="15"/>
  <c r="U291" i="15"/>
  <c r="Y290" i="15"/>
  <c r="X290" i="15"/>
  <c r="W290" i="15"/>
  <c r="V290" i="15"/>
  <c r="U290" i="15"/>
  <c r="Y289" i="15"/>
  <c r="X289" i="15"/>
  <c r="W289" i="15"/>
  <c r="V289" i="15"/>
  <c r="U289" i="15"/>
  <c r="Y288" i="15"/>
  <c r="X288" i="15"/>
  <c r="W288" i="15"/>
  <c r="V288" i="15"/>
  <c r="U288" i="15"/>
  <c r="Y287" i="15"/>
  <c r="X287" i="15"/>
  <c r="W287" i="15"/>
  <c r="V287" i="15"/>
  <c r="U287" i="15"/>
  <c r="Y286" i="15"/>
  <c r="X286" i="15"/>
  <c r="W286" i="15"/>
  <c r="V286" i="15"/>
  <c r="U286" i="15"/>
  <c r="Y285" i="15"/>
  <c r="X285" i="15"/>
  <c r="W285" i="15"/>
  <c r="V285" i="15"/>
  <c r="U285" i="15"/>
  <c r="Y284" i="15"/>
  <c r="X284" i="15"/>
  <c r="W284" i="15"/>
  <c r="V284" i="15"/>
  <c r="U284" i="15"/>
  <c r="Y283" i="15"/>
  <c r="X283" i="15"/>
  <c r="W283" i="15"/>
  <c r="V283" i="15"/>
  <c r="U283" i="15"/>
  <c r="Y282" i="15"/>
  <c r="X282" i="15"/>
  <c r="W282" i="15"/>
  <c r="V282" i="15"/>
  <c r="U282" i="15"/>
  <c r="Y281" i="15"/>
  <c r="X281" i="15"/>
  <c r="W281" i="15"/>
  <c r="V281" i="15"/>
  <c r="U281" i="15"/>
  <c r="Y280" i="15"/>
  <c r="X280" i="15"/>
  <c r="W280" i="15"/>
  <c r="V280" i="15"/>
  <c r="U280" i="15"/>
  <c r="Y279" i="15"/>
  <c r="X279" i="15"/>
  <c r="W279" i="15"/>
  <c r="V279" i="15"/>
  <c r="U279" i="15"/>
  <c r="Y278" i="15"/>
  <c r="X278" i="15"/>
  <c r="W278" i="15"/>
  <c r="V278" i="15"/>
  <c r="U278" i="15"/>
  <c r="Y277" i="15"/>
  <c r="X277" i="15"/>
  <c r="W277" i="15"/>
  <c r="V277" i="15"/>
  <c r="U277" i="15"/>
  <c r="Y276" i="15"/>
  <c r="X276" i="15"/>
  <c r="W276" i="15"/>
  <c r="V276" i="15"/>
  <c r="U276" i="15"/>
  <c r="Y275" i="15"/>
  <c r="X275" i="15"/>
  <c r="W275" i="15"/>
  <c r="V275" i="15"/>
  <c r="U275" i="15"/>
  <c r="Y274" i="15"/>
  <c r="X274" i="15"/>
  <c r="W274" i="15"/>
  <c r="V274" i="15"/>
  <c r="U274" i="15"/>
  <c r="Y273" i="15"/>
  <c r="X273" i="15"/>
  <c r="W273" i="15"/>
  <c r="V273" i="15"/>
  <c r="U273" i="15"/>
  <c r="Y272" i="15"/>
  <c r="X272" i="15"/>
  <c r="W272" i="15"/>
  <c r="V272" i="15"/>
  <c r="U272" i="15"/>
  <c r="Y271" i="15"/>
  <c r="X271" i="15"/>
  <c r="W271" i="15"/>
  <c r="V271" i="15"/>
  <c r="U271" i="15"/>
  <c r="Y270" i="15"/>
  <c r="X270" i="15"/>
  <c r="W270" i="15"/>
  <c r="V270" i="15"/>
  <c r="U270" i="15"/>
  <c r="Y269" i="15"/>
  <c r="X269" i="15"/>
  <c r="W269" i="15"/>
  <c r="V269" i="15"/>
  <c r="U269" i="15"/>
  <c r="Y268" i="15"/>
  <c r="X268" i="15"/>
  <c r="W268" i="15"/>
  <c r="V268" i="15"/>
  <c r="U268" i="15"/>
  <c r="Y267" i="15"/>
  <c r="X267" i="15"/>
  <c r="W267" i="15"/>
  <c r="V267" i="15"/>
  <c r="U267" i="15"/>
  <c r="Y266" i="15"/>
  <c r="X266" i="15"/>
  <c r="W266" i="15"/>
  <c r="V266" i="15"/>
  <c r="U266" i="15"/>
  <c r="Y265" i="15"/>
  <c r="X265" i="15"/>
  <c r="W265" i="15"/>
  <c r="V265" i="15"/>
  <c r="U265" i="15"/>
  <c r="Y264" i="15"/>
  <c r="X264" i="15"/>
  <c r="W264" i="15"/>
  <c r="V264" i="15"/>
  <c r="U264" i="15"/>
  <c r="Y263" i="15"/>
  <c r="X263" i="15"/>
  <c r="W263" i="15"/>
  <c r="V263" i="15"/>
  <c r="U263" i="15"/>
  <c r="Y262" i="15"/>
  <c r="X262" i="15"/>
  <c r="W262" i="15"/>
  <c r="V262" i="15"/>
  <c r="U262" i="15"/>
  <c r="Y261" i="15"/>
  <c r="X261" i="15"/>
  <c r="W261" i="15"/>
  <c r="V261" i="15"/>
  <c r="U261" i="15"/>
  <c r="Y260" i="15"/>
  <c r="X260" i="15"/>
  <c r="W260" i="15"/>
  <c r="V260" i="15"/>
  <c r="U260" i="15"/>
  <c r="Y259" i="15"/>
  <c r="X259" i="15"/>
  <c r="W259" i="15"/>
  <c r="V259" i="15"/>
  <c r="U259" i="15"/>
  <c r="Y258" i="15"/>
  <c r="X258" i="15"/>
  <c r="W258" i="15"/>
  <c r="V258" i="15"/>
  <c r="U258" i="15"/>
  <c r="Y257" i="15"/>
  <c r="X257" i="15"/>
  <c r="W257" i="15"/>
  <c r="V257" i="15"/>
  <c r="U257" i="15"/>
  <c r="Y256" i="15"/>
  <c r="X256" i="15"/>
  <c r="W256" i="15"/>
  <c r="V256" i="15"/>
  <c r="U256" i="15"/>
  <c r="Y255" i="15"/>
  <c r="X255" i="15"/>
  <c r="W255" i="15"/>
  <c r="V255" i="15"/>
  <c r="U255" i="15"/>
  <c r="Y254" i="15"/>
  <c r="X254" i="15"/>
  <c r="W254" i="15"/>
  <c r="V254" i="15"/>
  <c r="U254" i="15"/>
  <c r="Y252" i="15"/>
  <c r="X252" i="15"/>
  <c r="W252" i="15"/>
  <c r="V252" i="15"/>
  <c r="U252" i="15"/>
  <c r="Y251" i="15"/>
  <c r="X251" i="15"/>
  <c r="W251" i="15"/>
  <c r="V251" i="15"/>
  <c r="U251" i="15"/>
  <c r="Y250" i="15"/>
  <c r="X250" i="15"/>
  <c r="W250" i="15"/>
  <c r="V250" i="15"/>
  <c r="U250" i="15"/>
  <c r="Y249" i="15"/>
  <c r="X249" i="15"/>
  <c r="W249" i="15"/>
  <c r="V249" i="15"/>
  <c r="U249" i="15"/>
  <c r="Y248" i="15"/>
  <c r="X248" i="15"/>
  <c r="W248" i="15"/>
  <c r="V248" i="15"/>
  <c r="U248" i="15"/>
  <c r="Y247" i="15"/>
  <c r="X247" i="15"/>
  <c r="W247" i="15"/>
  <c r="V247" i="15"/>
  <c r="U247" i="15"/>
  <c r="Y246" i="15"/>
  <c r="X246" i="15"/>
  <c r="W246" i="15"/>
  <c r="V246" i="15"/>
  <c r="U246" i="15"/>
  <c r="Y245" i="15"/>
  <c r="X245" i="15"/>
  <c r="W245" i="15"/>
  <c r="V245" i="15"/>
  <c r="U245" i="15"/>
  <c r="Y244" i="15"/>
  <c r="X244" i="15"/>
  <c r="W244" i="15"/>
  <c r="V244" i="15"/>
  <c r="U244" i="15"/>
  <c r="Y243" i="15"/>
  <c r="X243" i="15"/>
  <c r="W243" i="15"/>
  <c r="V243" i="15"/>
  <c r="U243" i="15"/>
  <c r="Y242" i="15"/>
  <c r="X242" i="15"/>
  <c r="W242" i="15"/>
  <c r="V242" i="15"/>
  <c r="U242" i="15"/>
  <c r="Y241" i="15"/>
  <c r="X241" i="15"/>
  <c r="W241" i="15"/>
  <c r="V241" i="15"/>
  <c r="U241" i="15"/>
  <c r="Y240" i="15"/>
  <c r="X240" i="15"/>
  <c r="W240" i="15"/>
  <c r="V240" i="15"/>
  <c r="U240" i="15"/>
  <c r="Y239" i="15"/>
  <c r="X239" i="15"/>
  <c r="W239" i="15"/>
  <c r="V239" i="15"/>
  <c r="U239" i="15"/>
  <c r="Y238" i="15"/>
  <c r="X238" i="15"/>
  <c r="W238" i="15"/>
  <c r="V238" i="15"/>
  <c r="U238" i="15"/>
  <c r="Y237" i="15"/>
  <c r="X237" i="15"/>
  <c r="W237" i="15"/>
  <c r="V237" i="15"/>
  <c r="U237" i="15"/>
  <c r="Y236" i="15"/>
  <c r="X236" i="15"/>
  <c r="W236" i="15"/>
  <c r="V236" i="15"/>
  <c r="U236" i="15"/>
  <c r="Y235" i="15"/>
  <c r="X235" i="15"/>
  <c r="W235" i="15"/>
  <c r="V235" i="15"/>
  <c r="U235" i="15"/>
  <c r="Y234" i="15"/>
  <c r="X234" i="15"/>
  <c r="W234" i="15"/>
  <c r="V234" i="15"/>
  <c r="U234" i="15"/>
  <c r="Y233" i="15"/>
  <c r="X233" i="15"/>
  <c r="W233" i="15"/>
  <c r="V233" i="15"/>
  <c r="U233" i="15"/>
  <c r="Y232" i="15"/>
  <c r="X232" i="15"/>
  <c r="W232" i="15"/>
  <c r="V232" i="15"/>
  <c r="U232" i="15"/>
  <c r="Y231" i="15"/>
  <c r="X231" i="15"/>
  <c r="W231" i="15"/>
  <c r="V231" i="15"/>
  <c r="U231" i="15"/>
  <c r="Y230" i="15"/>
  <c r="X230" i="15"/>
  <c r="W230" i="15"/>
  <c r="V230" i="15"/>
  <c r="U230" i="15"/>
  <c r="Y229" i="15"/>
  <c r="X229" i="15"/>
  <c r="W229" i="15"/>
  <c r="V229" i="15"/>
  <c r="U229" i="15"/>
  <c r="Y228" i="15"/>
  <c r="X228" i="15"/>
  <c r="W228" i="15"/>
  <c r="V228" i="15"/>
  <c r="U228" i="15"/>
  <c r="Y227" i="15"/>
  <c r="X227" i="15"/>
  <c r="W227" i="15"/>
  <c r="V227" i="15"/>
  <c r="U227" i="15"/>
  <c r="Y226" i="15"/>
  <c r="X226" i="15"/>
  <c r="W226" i="15"/>
  <c r="V226" i="15"/>
  <c r="U226" i="15"/>
  <c r="Y225" i="15"/>
  <c r="X225" i="15"/>
  <c r="W225" i="15"/>
  <c r="V225" i="15"/>
  <c r="U225" i="15"/>
  <c r="Y224" i="15"/>
  <c r="X224" i="15"/>
  <c r="W224" i="15"/>
  <c r="V224" i="15"/>
  <c r="U224" i="15"/>
  <c r="Y223" i="15"/>
  <c r="X223" i="15"/>
  <c r="W223" i="15"/>
  <c r="V223" i="15"/>
  <c r="U223" i="15"/>
  <c r="Y28" i="15"/>
  <c r="X28" i="15"/>
  <c r="W28" i="15"/>
  <c r="V28" i="15"/>
  <c r="U28" i="15"/>
  <c r="T28" i="15"/>
  <c r="S28" i="15"/>
  <c r="Y27" i="15"/>
  <c r="X27" i="15"/>
  <c r="W27" i="15"/>
  <c r="V27" i="15"/>
  <c r="U27" i="15"/>
  <c r="T27" i="15"/>
  <c r="S27" i="15"/>
  <c r="Y26" i="15"/>
  <c r="X26" i="15"/>
  <c r="W26" i="15"/>
  <c r="V26" i="15"/>
  <c r="U26" i="15"/>
  <c r="T26" i="15"/>
  <c r="S26" i="15"/>
  <c r="Y25" i="15"/>
  <c r="X25" i="15"/>
  <c r="W25" i="15"/>
  <c r="V25" i="15"/>
  <c r="U25" i="15"/>
  <c r="T25" i="15"/>
  <c r="Y24" i="15"/>
  <c r="X24" i="15"/>
  <c r="W24" i="15"/>
  <c r="V24" i="15"/>
  <c r="U24" i="15"/>
  <c r="T24" i="15"/>
  <c r="H21" i="3"/>
  <c r="G741" i="33" s="1"/>
  <c r="H22" i="3"/>
  <c r="G742" i="33" s="1"/>
  <c r="H23" i="3"/>
  <c r="G743" i="33" s="1"/>
  <c r="H24" i="3"/>
  <c r="G744" i="33" s="1"/>
  <c r="H25" i="3"/>
  <c r="G745" i="33" s="1"/>
  <c r="H26" i="3"/>
  <c r="G746" i="33" s="1"/>
  <c r="H27" i="3"/>
  <c r="G747" i="33" s="1"/>
  <c r="H28" i="3"/>
  <c r="G748" i="33" s="1"/>
  <c r="H29" i="3"/>
  <c r="G749" i="33" s="1"/>
  <c r="H30" i="3"/>
  <c r="G750" i="33" s="1"/>
  <c r="H31" i="3"/>
  <c r="G751" i="33" s="1"/>
  <c r="H32" i="3"/>
  <c r="G752" i="33" s="1"/>
  <c r="H33" i="3"/>
  <c r="G753" i="33" s="1"/>
  <c r="H34" i="3"/>
  <c r="G754" i="33" s="1"/>
  <c r="H35" i="3"/>
  <c r="G755" i="33" s="1"/>
  <c r="H36" i="3"/>
  <c r="G756" i="33" s="1"/>
  <c r="H37" i="3"/>
  <c r="G757" i="33" s="1"/>
  <c r="H38" i="3"/>
  <c r="G758" i="33" s="1"/>
  <c r="H43" i="3"/>
  <c r="G763" i="33" s="1"/>
  <c r="H44" i="3"/>
  <c r="G764" i="33" s="1"/>
  <c r="H45" i="3"/>
  <c r="G765" i="33" s="1"/>
  <c r="H46" i="3"/>
  <c r="G766" i="33" s="1"/>
  <c r="H47" i="3"/>
  <c r="G767" i="33" s="1"/>
  <c r="H48" i="3"/>
  <c r="G768" i="33" s="1"/>
  <c r="H49" i="3"/>
  <c r="G769" i="33" s="1"/>
  <c r="H50" i="3"/>
  <c r="G770" i="33" s="1"/>
  <c r="H51" i="3"/>
  <c r="G771" i="33" s="1"/>
  <c r="H52" i="3"/>
  <c r="G772" i="33" s="1"/>
  <c r="H53" i="3"/>
  <c r="G773" i="33" s="1"/>
  <c r="H54" i="3"/>
  <c r="G774" i="33" s="1"/>
  <c r="H55" i="3"/>
  <c r="G775" i="33" s="1"/>
  <c r="H56" i="3"/>
  <c r="G776" i="33" s="1"/>
  <c r="H57" i="3"/>
  <c r="G777" i="33" s="1"/>
  <c r="H58" i="3"/>
  <c r="G778" i="33" s="1"/>
  <c r="H59" i="3"/>
  <c r="G779" i="33" s="1"/>
  <c r="H60" i="3"/>
  <c r="G780" i="33" s="1"/>
  <c r="H61" i="3"/>
  <c r="G781" i="33" s="1"/>
  <c r="H62" i="3"/>
  <c r="G782" i="33" s="1"/>
  <c r="H63" i="3"/>
  <c r="G783" i="33" s="1"/>
  <c r="H64" i="3"/>
  <c r="G784" i="33" s="1"/>
  <c r="H67" i="3"/>
  <c r="G787" i="33" s="1"/>
  <c r="H68" i="3"/>
  <c r="G788" i="33" s="1"/>
  <c r="H69" i="3"/>
  <c r="G789" i="33" s="1"/>
  <c r="H70" i="3"/>
  <c r="G790" i="33" s="1"/>
  <c r="H71" i="3"/>
  <c r="G791" i="33" s="1"/>
  <c r="H72" i="3"/>
  <c r="G792" i="33" s="1"/>
  <c r="H73" i="3"/>
  <c r="G793" i="33" s="1"/>
  <c r="H74" i="3"/>
  <c r="G794" i="33" s="1"/>
  <c r="H75" i="3"/>
  <c r="G795" i="33" s="1"/>
  <c r="H77" i="3"/>
  <c r="G797" i="33" s="1"/>
  <c r="H78" i="3"/>
  <c r="G798" i="33" s="1"/>
  <c r="H79" i="3"/>
  <c r="G799" i="33" s="1"/>
  <c r="H80" i="3"/>
  <c r="G800" i="33" s="1"/>
  <c r="H81" i="3"/>
  <c r="G801" i="33" s="1"/>
  <c r="H82" i="3"/>
  <c r="G802" i="33" s="1"/>
  <c r="H83" i="3"/>
  <c r="G803" i="33" s="1"/>
  <c r="H84" i="3"/>
  <c r="G804" i="33" s="1"/>
  <c r="H85" i="3"/>
  <c r="G805" i="33" s="1"/>
  <c r="H86" i="3"/>
  <c r="G806" i="33" s="1"/>
  <c r="G807" i="33"/>
  <c r="M157" i="4"/>
  <c r="M156" i="4"/>
  <c r="M155" i="4"/>
  <c r="M154" i="4"/>
  <c r="M153" i="4"/>
  <c r="M152" i="4"/>
  <c r="M151" i="4"/>
  <c r="M150" i="4"/>
  <c r="M143" i="4"/>
  <c r="F215" i="15" s="1"/>
  <c r="M142" i="4"/>
  <c r="F214" i="15" s="1"/>
  <c r="M141" i="4"/>
  <c r="F213" i="15" s="1"/>
  <c r="M140" i="4"/>
  <c r="F212" i="15" s="1"/>
  <c r="M139" i="4"/>
  <c r="F211" i="15" s="1"/>
  <c r="M138" i="4"/>
  <c r="F210" i="15" s="1"/>
  <c r="M137" i="4"/>
  <c r="F209" i="15" s="1"/>
  <c r="M136" i="4"/>
  <c r="F208" i="15" s="1"/>
  <c r="M135" i="4"/>
  <c r="F207" i="15" s="1"/>
  <c r="M134" i="4"/>
  <c r="F206" i="15" s="1"/>
  <c r="M133" i="4"/>
  <c r="F194" i="15" s="1"/>
  <c r="M132" i="4"/>
  <c r="F193" i="15" s="1"/>
  <c r="M131" i="4"/>
  <c r="F192" i="15" s="1"/>
  <c r="M130" i="4"/>
  <c r="F191" i="15" s="1"/>
  <c r="M129" i="4"/>
  <c r="F190" i="15" s="1"/>
  <c r="M128" i="4"/>
  <c r="F189" i="15" s="1"/>
  <c r="M127" i="4"/>
  <c r="F188" i="15" s="1"/>
  <c r="M126" i="4"/>
  <c r="F187" i="15" s="1"/>
  <c r="M125" i="4"/>
  <c r="F186" i="15" s="1"/>
  <c r="M124" i="4"/>
  <c r="F185" i="15" s="1"/>
  <c r="G185" i="15" s="1"/>
  <c r="H185" i="15" s="1"/>
  <c r="I185" i="15" s="1"/>
  <c r="J185" i="15" s="1"/>
  <c r="K185" i="15" s="1"/>
  <c r="L185" i="15" s="1"/>
  <c r="M123" i="4"/>
  <c r="F173" i="15" s="1"/>
  <c r="M122" i="4"/>
  <c r="F172" i="15" s="1"/>
  <c r="M121" i="4"/>
  <c r="F171" i="15" s="1"/>
  <c r="M120" i="4"/>
  <c r="F170" i="15" s="1"/>
  <c r="M119" i="4"/>
  <c r="F169" i="15" s="1"/>
  <c r="M118" i="4"/>
  <c r="F168" i="15" s="1"/>
  <c r="M117" i="4"/>
  <c r="F167" i="15" s="1"/>
  <c r="M116" i="4"/>
  <c r="F166" i="15" s="1"/>
  <c r="M115" i="4"/>
  <c r="F165" i="15" s="1"/>
  <c r="M114" i="4"/>
  <c r="F164" i="15" s="1"/>
  <c r="M113" i="4"/>
  <c r="F163" i="15" s="1"/>
  <c r="M112" i="4"/>
  <c r="F162" i="15" s="1"/>
  <c r="M111" i="4"/>
  <c r="F161" i="15" s="1"/>
  <c r="M110" i="4"/>
  <c r="F160" i="15" s="1"/>
  <c r="M109" i="4"/>
  <c r="F159" i="15" s="1"/>
  <c r="M108" i="4"/>
  <c r="F158" i="15" s="1"/>
  <c r="M107" i="4"/>
  <c r="F157" i="15" s="1"/>
  <c r="M106" i="4"/>
  <c r="F156" i="15" s="1"/>
  <c r="G156" i="15" s="1"/>
  <c r="H156" i="15" s="1"/>
  <c r="I156" i="15" s="1"/>
  <c r="J156" i="15" s="1"/>
  <c r="K156" i="15" s="1"/>
  <c r="L156" i="15" s="1"/>
  <c r="M105" i="4"/>
  <c r="F155" i="15" s="1"/>
  <c r="G155" i="15" s="1"/>
  <c r="H155" i="15" s="1"/>
  <c r="I155" i="15" s="1"/>
  <c r="J155" i="15" s="1"/>
  <c r="K155" i="15" s="1"/>
  <c r="L155" i="15" s="1"/>
  <c r="M104" i="4"/>
  <c r="F154" i="15" s="1"/>
  <c r="G154" i="15" s="1"/>
  <c r="H154" i="15" s="1"/>
  <c r="I154" i="15" s="1"/>
  <c r="J154" i="15" s="1"/>
  <c r="K154" i="15" s="1"/>
  <c r="L154" i="15" s="1"/>
  <c r="M103" i="4"/>
  <c r="F127" i="15" s="1"/>
  <c r="M102" i="4"/>
  <c r="F126" i="15" s="1"/>
  <c r="M101" i="4"/>
  <c r="F125" i="15" s="1"/>
  <c r="M100" i="4"/>
  <c r="F124" i="15" s="1"/>
  <c r="M99" i="4"/>
  <c r="F123" i="15" s="1"/>
  <c r="M98" i="4"/>
  <c r="F122" i="15" s="1"/>
  <c r="M97" i="4"/>
  <c r="F121" i="15" s="1"/>
  <c r="M96" i="4"/>
  <c r="F120" i="15" s="1"/>
  <c r="M95" i="4"/>
  <c r="F119" i="15" s="1"/>
  <c r="M94" i="4"/>
  <c r="F118" i="15" s="1"/>
  <c r="G118" i="15" s="1"/>
  <c r="H118" i="15" s="1"/>
  <c r="I118" i="15" s="1"/>
  <c r="J118" i="15" s="1"/>
  <c r="K118" i="15" s="1"/>
  <c r="L118" i="15" s="1"/>
  <c r="M86" i="4"/>
  <c r="F205" i="15" s="1"/>
  <c r="M85" i="4"/>
  <c r="F204" i="15" s="1"/>
  <c r="M84" i="4"/>
  <c r="F203" i="15" s="1"/>
  <c r="M83" i="4"/>
  <c r="F202" i="15" s="1"/>
  <c r="M82" i="4"/>
  <c r="F201" i="15" s="1"/>
  <c r="M81" i="4"/>
  <c r="F200" i="15" s="1"/>
  <c r="M80" i="4"/>
  <c r="F199" i="15" s="1"/>
  <c r="M79" i="4"/>
  <c r="F198" i="15" s="1"/>
  <c r="M78" i="4"/>
  <c r="F197" i="15" s="1"/>
  <c r="M77" i="4"/>
  <c r="F196" i="15" s="1"/>
  <c r="M75" i="4"/>
  <c r="F184" i="15" s="1"/>
  <c r="M74" i="4"/>
  <c r="F183" i="15" s="1"/>
  <c r="M73" i="4"/>
  <c r="F182" i="15" s="1"/>
  <c r="M72" i="4"/>
  <c r="F181" i="15" s="1"/>
  <c r="M71" i="4"/>
  <c r="F180" i="15" s="1"/>
  <c r="M70" i="4"/>
  <c r="F179" i="15" s="1"/>
  <c r="M69" i="4"/>
  <c r="F178" i="15" s="1"/>
  <c r="M68" i="4"/>
  <c r="F177" i="15" s="1"/>
  <c r="M67" i="4"/>
  <c r="F176" i="15" s="1"/>
  <c r="M66" i="4"/>
  <c r="F175" i="15" s="1"/>
  <c r="G175" i="15" s="1"/>
  <c r="M64" i="4"/>
  <c r="F153" i="15" s="1"/>
  <c r="M63" i="4"/>
  <c r="F152" i="15" s="1"/>
  <c r="M62" i="4"/>
  <c r="F151" i="15" s="1"/>
  <c r="M61" i="4"/>
  <c r="F150" i="15" s="1"/>
  <c r="M60" i="4"/>
  <c r="F149" i="15" s="1"/>
  <c r="M59" i="4"/>
  <c r="F148" i="15" s="1"/>
  <c r="M58" i="4"/>
  <c r="F147" i="15" s="1"/>
  <c r="M57" i="4"/>
  <c r="F146" i="15" s="1"/>
  <c r="M56" i="4"/>
  <c r="F145" i="15" s="1"/>
  <c r="M55" i="4"/>
  <c r="F144" i="15" s="1"/>
  <c r="M54" i="4"/>
  <c r="F143" i="15" s="1"/>
  <c r="M53" i="4"/>
  <c r="F142" i="15" s="1"/>
  <c r="M52" i="4"/>
  <c r="F141" i="15" s="1"/>
  <c r="M51" i="4"/>
  <c r="F140" i="15" s="1"/>
  <c r="M50" i="4"/>
  <c r="F139" i="15" s="1"/>
  <c r="M49" i="4"/>
  <c r="F138" i="15" s="1"/>
  <c r="M48" i="4"/>
  <c r="F137" i="15" s="1"/>
  <c r="M47" i="4"/>
  <c r="F136" i="15" s="1"/>
  <c r="M46" i="4"/>
  <c r="F135" i="15" s="1"/>
  <c r="M45" i="4"/>
  <c r="F134" i="15" s="1"/>
  <c r="M44" i="4"/>
  <c r="F133" i="15" s="1"/>
  <c r="M43" i="4"/>
  <c r="F132" i="15" s="1"/>
  <c r="M42" i="4"/>
  <c r="F131" i="15" s="1"/>
  <c r="G131" i="15" s="1"/>
  <c r="H131" i="15" s="1"/>
  <c r="I131" i="15" s="1"/>
  <c r="J131" i="15" s="1"/>
  <c r="K131" i="15" s="1"/>
  <c r="L131" i="15" s="1"/>
  <c r="M41" i="4"/>
  <c r="F130" i="15" s="1"/>
  <c r="G130" i="15" s="1"/>
  <c r="H130" i="15" s="1"/>
  <c r="I130" i="15" s="1"/>
  <c r="J130" i="15" s="1"/>
  <c r="K130" i="15" s="1"/>
  <c r="L130" i="15" s="1"/>
  <c r="M40" i="4"/>
  <c r="F129" i="15" s="1"/>
  <c r="G129" i="15" s="1"/>
  <c r="H129" i="15" s="1"/>
  <c r="I129" i="15" s="1"/>
  <c r="J129" i="15" s="1"/>
  <c r="K129" i="15" s="1"/>
  <c r="L129" i="15" s="1"/>
  <c r="M38" i="4"/>
  <c r="F117" i="15" s="1"/>
  <c r="M37" i="4"/>
  <c r="F116" i="15" s="1"/>
  <c r="M36" i="4"/>
  <c r="F115" i="15" s="1"/>
  <c r="M35" i="4"/>
  <c r="F114" i="15" s="1"/>
  <c r="M34" i="4"/>
  <c r="F113" i="15" s="1"/>
  <c r="M33" i="4"/>
  <c r="F112" i="15" s="1"/>
  <c r="M32" i="4"/>
  <c r="F111" i="15" s="1"/>
  <c r="M31" i="4"/>
  <c r="F110" i="15" s="1"/>
  <c r="M30" i="4"/>
  <c r="F109" i="15" s="1"/>
  <c r="M29" i="4"/>
  <c r="F108" i="15" s="1"/>
  <c r="M28" i="4"/>
  <c r="F107" i="15" s="1"/>
  <c r="M27" i="4"/>
  <c r="F106" i="15" s="1"/>
  <c r="M26" i="4"/>
  <c r="F105" i="15" s="1"/>
  <c r="M25" i="4"/>
  <c r="F104" i="15" s="1"/>
  <c r="M24" i="4"/>
  <c r="F103" i="15" s="1"/>
  <c r="M23" i="4"/>
  <c r="F102" i="15" s="1"/>
  <c r="M22" i="4"/>
  <c r="F101" i="15" s="1"/>
  <c r="M21" i="4"/>
  <c r="F100" i="15" s="1"/>
  <c r="M20" i="4"/>
  <c r="H20" i="4" s="1"/>
  <c r="H42" i="4"/>
  <c r="H43" i="4"/>
  <c r="H44" i="4"/>
  <c r="H45" i="4"/>
  <c r="H46" i="4"/>
  <c r="H47" i="4"/>
  <c r="H48" i="4"/>
  <c r="H49" i="4"/>
  <c r="H50" i="4"/>
  <c r="H51" i="4"/>
  <c r="H52" i="4"/>
  <c r="H53" i="4"/>
  <c r="H54" i="4"/>
  <c r="H55" i="4"/>
  <c r="H56" i="4"/>
  <c r="H57" i="4"/>
  <c r="H58" i="4"/>
  <c r="H59" i="4"/>
  <c r="H60" i="4"/>
  <c r="H61" i="4"/>
  <c r="H62" i="4"/>
  <c r="H63" i="4"/>
  <c r="H64" i="4"/>
  <c r="H22" i="4"/>
  <c r="H23" i="4"/>
  <c r="H24" i="4"/>
  <c r="H25" i="4"/>
  <c r="H26" i="4"/>
  <c r="H27" i="4"/>
  <c r="H28" i="4"/>
  <c r="H29" i="4"/>
  <c r="H30" i="4"/>
  <c r="H31" i="4"/>
  <c r="H32" i="4"/>
  <c r="H33" i="4"/>
  <c r="H34" i="4"/>
  <c r="H35" i="4"/>
  <c r="H36" i="4"/>
  <c r="H37" i="4"/>
  <c r="H38"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3" i="4"/>
  <c r="H102" i="4"/>
  <c r="H101" i="4"/>
  <c r="H99" i="4"/>
  <c r="H98" i="4"/>
  <c r="H97" i="4"/>
  <c r="H96" i="4"/>
  <c r="H86" i="4"/>
  <c r="H85" i="4"/>
  <c r="H84" i="4"/>
  <c r="H83" i="4"/>
  <c r="H82" i="4"/>
  <c r="H81" i="4"/>
  <c r="H80" i="4"/>
  <c r="H79" i="4"/>
  <c r="H78" i="4"/>
  <c r="H77" i="4"/>
  <c r="H75" i="4"/>
  <c r="H74" i="4"/>
  <c r="H73" i="4"/>
  <c r="H72" i="4"/>
  <c r="H71" i="4"/>
  <c r="H70" i="4"/>
  <c r="H69" i="4"/>
  <c r="H68" i="4"/>
  <c r="H67" i="4"/>
  <c r="M38" i="3"/>
  <c r="M37" i="3"/>
  <c r="M36" i="3"/>
  <c r="M35" i="3"/>
  <c r="M34" i="3"/>
  <c r="M33" i="3"/>
  <c r="M32" i="3"/>
  <c r="M31" i="3"/>
  <c r="M30" i="3"/>
  <c r="M29" i="3"/>
  <c r="M28" i="3"/>
  <c r="M27" i="3"/>
  <c r="M26" i="3"/>
  <c r="M25" i="3"/>
  <c r="M24" i="3"/>
  <c r="M22" i="3"/>
  <c r="M21" i="3"/>
  <c r="M20" i="3"/>
  <c r="M64" i="3"/>
  <c r="M63" i="3"/>
  <c r="M62" i="3"/>
  <c r="M61" i="3"/>
  <c r="M60" i="3"/>
  <c r="M59" i="3"/>
  <c r="M58" i="3"/>
  <c r="M57" i="3"/>
  <c r="M56" i="3"/>
  <c r="M55" i="3"/>
  <c r="M54" i="3"/>
  <c r="M53" i="3"/>
  <c r="M52" i="3"/>
  <c r="M51" i="3"/>
  <c r="M50" i="3"/>
  <c r="M49" i="3"/>
  <c r="M48" i="3"/>
  <c r="M47" i="3"/>
  <c r="M46" i="3"/>
  <c r="M45" i="3"/>
  <c r="M44" i="3"/>
  <c r="M43" i="3"/>
  <c r="M42" i="3"/>
  <c r="M41" i="3"/>
  <c r="H41" i="3" s="1"/>
  <c r="G761" i="33" s="1"/>
  <c r="M40" i="3"/>
  <c r="H40" i="3" s="1"/>
  <c r="G760" i="33" s="1"/>
  <c r="M66" i="3"/>
  <c r="M67" i="3"/>
  <c r="M68" i="3"/>
  <c r="M69" i="3"/>
  <c r="M70" i="3"/>
  <c r="M71" i="3"/>
  <c r="M72" i="3"/>
  <c r="M73" i="3"/>
  <c r="M74" i="3"/>
  <c r="M75" i="3"/>
  <c r="M77" i="3"/>
  <c r="M78" i="3"/>
  <c r="M79" i="3"/>
  <c r="M80" i="3"/>
  <c r="M81" i="3"/>
  <c r="M82" i="3"/>
  <c r="M83" i="3"/>
  <c r="M84" i="3"/>
  <c r="M85" i="3"/>
  <c r="M86" i="3"/>
  <c r="M94" i="3"/>
  <c r="E118" i="15" s="1"/>
  <c r="M95" i="3"/>
  <c r="E119" i="15" s="1"/>
  <c r="M96" i="3"/>
  <c r="E120" i="15" s="1"/>
  <c r="M97" i="3"/>
  <c r="E121" i="15" s="1"/>
  <c r="M98" i="3"/>
  <c r="E122" i="15" s="1"/>
  <c r="M99" i="3"/>
  <c r="E123" i="15" s="1"/>
  <c r="M100" i="3"/>
  <c r="E124" i="15" s="1"/>
  <c r="M101" i="3"/>
  <c r="E125" i="15" s="1"/>
  <c r="M102" i="3"/>
  <c r="E126" i="15" s="1"/>
  <c r="M103" i="3"/>
  <c r="E127" i="15" s="1"/>
  <c r="M104" i="3"/>
  <c r="E154" i="15" s="1"/>
  <c r="M105" i="3"/>
  <c r="E155" i="15" s="1"/>
  <c r="M106" i="3"/>
  <c r="E156" i="15" s="1"/>
  <c r="M107" i="3"/>
  <c r="E157" i="15" s="1"/>
  <c r="M108" i="3"/>
  <c r="E158" i="15" s="1"/>
  <c r="M109" i="3"/>
  <c r="E159" i="15" s="1"/>
  <c r="M110" i="3"/>
  <c r="E160" i="15" s="1"/>
  <c r="M111" i="3"/>
  <c r="E161" i="15" s="1"/>
  <c r="M112" i="3"/>
  <c r="E162" i="15" s="1"/>
  <c r="M113" i="3"/>
  <c r="E163" i="15" s="1"/>
  <c r="M114" i="3"/>
  <c r="E164" i="15" s="1"/>
  <c r="M115" i="3"/>
  <c r="E165" i="15" s="1"/>
  <c r="M116" i="3"/>
  <c r="E166" i="15" s="1"/>
  <c r="M117" i="3"/>
  <c r="E167" i="15" s="1"/>
  <c r="M118" i="3"/>
  <c r="E168" i="15" s="1"/>
  <c r="M119" i="3"/>
  <c r="E169" i="15" s="1"/>
  <c r="M120" i="3"/>
  <c r="E170" i="15" s="1"/>
  <c r="M121" i="3"/>
  <c r="E171" i="15" s="1"/>
  <c r="M122" i="3"/>
  <c r="E172" i="15" s="1"/>
  <c r="M123" i="3"/>
  <c r="E173" i="15" s="1"/>
  <c r="M124" i="3"/>
  <c r="E185" i="15" s="1"/>
  <c r="M125" i="3"/>
  <c r="E186" i="15" s="1"/>
  <c r="M126" i="3"/>
  <c r="E187" i="15" s="1"/>
  <c r="M127" i="3"/>
  <c r="E188" i="15" s="1"/>
  <c r="M128" i="3"/>
  <c r="E189" i="15" s="1"/>
  <c r="M129" i="3"/>
  <c r="E190" i="15" s="1"/>
  <c r="M130" i="3"/>
  <c r="E191" i="15" s="1"/>
  <c r="M131" i="3"/>
  <c r="E192" i="15" s="1"/>
  <c r="M132" i="3"/>
  <c r="E193" i="15" s="1"/>
  <c r="M133" i="3"/>
  <c r="E194" i="15" s="1"/>
  <c r="M134" i="3"/>
  <c r="E206" i="15" s="1"/>
  <c r="M135" i="3"/>
  <c r="E207" i="15" s="1"/>
  <c r="M136" i="3"/>
  <c r="E208" i="15" s="1"/>
  <c r="M137" i="3"/>
  <c r="E209" i="15" s="1"/>
  <c r="M138" i="3"/>
  <c r="E210" i="15" s="1"/>
  <c r="M139" i="3"/>
  <c r="E211" i="15" s="1"/>
  <c r="M140" i="3"/>
  <c r="E212" i="15" s="1"/>
  <c r="M141" i="3"/>
  <c r="E213" i="15" s="1"/>
  <c r="M142" i="3"/>
  <c r="E214" i="15" s="1"/>
  <c r="M143" i="3"/>
  <c r="E215" i="15" s="1"/>
  <c r="M151" i="3"/>
  <c r="M152" i="3"/>
  <c r="M153" i="3"/>
  <c r="M154" i="3"/>
  <c r="M155" i="3"/>
  <c r="M156" i="3"/>
  <c r="M157" i="3"/>
  <c r="M150" i="3"/>
  <c r="H175" i="15" l="1"/>
  <c r="J267" i="33"/>
  <c r="J223" i="33"/>
  <c r="J222" i="33"/>
  <c r="J221" i="33"/>
  <c r="J277" i="33"/>
  <c r="J248" i="33"/>
  <c r="J247" i="33"/>
  <c r="J246" i="33"/>
  <c r="J210" i="33"/>
  <c r="H66" i="4"/>
  <c r="E202" i="15"/>
  <c r="L803" i="33"/>
  <c r="E106" i="15"/>
  <c r="L747" i="33"/>
  <c r="E201" i="15"/>
  <c r="L802" i="33"/>
  <c r="E182" i="15"/>
  <c r="S182" i="15" s="1"/>
  <c r="L793" i="33"/>
  <c r="E137" i="15"/>
  <c r="L768" i="33"/>
  <c r="E145" i="15"/>
  <c r="L776" i="33"/>
  <c r="E153" i="15"/>
  <c r="L784" i="33"/>
  <c r="E107" i="15"/>
  <c r="S107" i="15" s="1"/>
  <c r="L748" i="33"/>
  <c r="E115" i="15"/>
  <c r="L756" i="33"/>
  <c r="E183" i="15"/>
  <c r="L794" i="33"/>
  <c r="E152" i="15"/>
  <c r="AV152" i="15" s="1"/>
  <c r="L783" i="33"/>
  <c r="E200" i="15"/>
  <c r="AA200" i="15" s="1"/>
  <c r="L801" i="33"/>
  <c r="E138" i="15"/>
  <c r="L769" i="33"/>
  <c r="E147" i="15"/>
  <c r="L778" i="33"/>
  <c r="E116" i="15"/>
  <c r="AQ116" i="15" s="1"/>
  <c r="L757" i="33"/>
  <c r="E139" i="15"/>
  <c r="AR139" i="15" s="1"/>
  <c r="L770" i="33"/>
  <c r="E198" i="15"/>
  <c r="L799" i="33"/>
  <c r="E179" i="15"/>
  <c r="L790" i="33"/>
  <c r="E140" i="15"/>
  <c r="L771" i="33"/>
  <c r="E148" i="15"/>
  <c r="AW148" i="15" s="1"/>
  <c r="L779" i="33"/>
  <c r="E110" i="15"/>
  <c r="L751" i="33"/>
  <c r="E144" i="15"/>
  <c r="L775" i="33"/>
  <c r="E181" i="15"/>
  <c r="AA181" i="15" s="1"/>
  <c r="L792" i="33"/>
  <c r="E108" i="15"/>
  <c r="H200" i="33" s="1"/>
  <c r="L749" i="33"/>
  <c r="E199" i="15"/>
  <c r="L800" i="33"/>
  <c r="E117" i="15"/>
  <c r="L758" i="33"/>
  <c r="E205" i="15"/>
  <c r="L806" i="33"/>
  <c r="E197" i="15"/>
  <c r="L798" i="33"/>
  <c r="E178" i="15"/>
  <c r="L789" i="33"/>
  <c r="E141" i="15"/>
  <c r="L772" i="33"/>
  <c r="E149" i="15"/>
  <c r="L780" i="33"/>
  <c r="E111" i="15"/>
  <c r="AQ111" i="15" s="1"/>
  <c r="L752" i="33"/>
  <c r="E136" i="15"/>
  <c r="L767" i="33"/>
  <c r="E180" i="15"/>
  <c r="L791" i="33"/>
  <c r="E204" i="15"/>
  <c r="L805" i="33"/>
  <c r="E177" i="15"/>
  <c r="L788" i="33"/>
  <c r="E142" i="15"/>
  <c r="L773" i="33"/>
  <c r="E150" i="15"/>
  <c r="L781" i="33"/>
  <c r="E112" i="15"/>
  <c r="L753" i="33"/>
  <c r="E114" i="15"/>
  <c r="AW114" i="15" s="1"/>
  <c r="L755" i="33"/>
  <c r="E146" i="15"/>
  <c r="L777" i="33"/>
  <c r="E109" i="15"/>
  <c r="L750" i="33"/>
  <c r="E203" i="15"/>
  <c r="L804" i="33"/>
  <c r="E184" i="15"/>
  <c r="AQ184" i="15" s="1"/>
  <c r="L795" i="33"/>
  <c r="E176" i="15"/>
  <c r="L787" i="33"/>
  <c r="E135" i="15"/>
  <c r="L766" i="33"/>
  <c r="E143" i="15"/>
  <c r="S143" i="15" s="1"/>
  <c r="L774" i="33"/>
  <c r="E151" i="15"/>
  <c r="AW151" i="15" s="1"/>
  <c r="L782" i="33"/>
  <c r="E113" i="15"/>
  <c r="L754" i="33"/>
  <c r="AS151" i="15"/>
  <c r="AT151" i="15"/>
  <c r="AR151" i="15"/>
  <c r="AB116" i="15"/>
  <c r="T116" i="15"/>
  <c r="H302" i="33"/>
  <c r="AU210" i="15"/>
  <c r="AT210" i="15"/>
  <c r="AR210" i="15"/>
  <c r="AW210" i="15"/>
  <c r="AV210" i="15"/>
  <c r="AS210" i="15"/>
  <c r="S210" i="15"/>
  <c r="H283" i="33"/>
  <c r="AR191" i="15"/>
  <c r="AW191" i="15"/>
  <c r="AU191" i="15"/>
  <c r="AV191" i="15"/>
  <c r="AT191" i="15"/>
  <c r="AS191" i="15"/>
  <c r="S191" i="15"/>
  <c r="H264" i="33"/>
  <c r="AW172" i="15"/>
  <c r="AU172" i="15"/>
  <c r="AS172" i="15"/>
  <c r="AV172" i="15"/>
  <c r="AT172" i="15"/>
  <c r="AR172" i="15"/>
  <c r="S172" i="15"/>
  <c r="H256" i="33"/>
  <c r="AW164" i="15"/>
  <c r="AU164" i="15"/>
  <c r="AR164" i="15"/>
  <c r="AS164" i="15"/>
  <c r="AV164" i="15"/>
  <c r="AT164" i="15"/>
  <c r="S164" i="15"/>
  <c r="H294" i="33"/>
  <c r="AU202" i="15"/>
  <c r="AT202" i="15"/>
  <c r="AS202" i="15"/>
  <c r="AR202" i="15"/>
  <c r="AW202" i="15"/>
  <c r="AV202" i="15"/>
  <c r="S202" i="15"/>
  <c r="H275" i="33"/>
  <c r="AR183" i="15"/>
  <c r="AW183" i="15"/>
  <c r="AT183" i="15"/>
  <c r="AS183" i="15"/>
  <c r="AU183" i="15"/>
  <c r="AV183" i="15"/>
  <c r="S183" i="15"/>
  <c r="H228" i="33"/>
  <c r="AW136" i="15"/>
  <c r="AV136" i="15"/>
  <c r="AT136" i="15"/>
  <c r="AU136" i="15"/>
  <c r="AS136" i="15"/>
  <c r="AR136" i="15"/>
  <c r="S136" i="15"/>
  <c r="H236" i="33"/>
  <c r="AW144" i="15"/>
  <c r="AV144" i="15"/>
  <c r="AT144" i="15"/>
  <c r="AR144" i="15"/>
  <c r="AS144" i="15"/>
  <c r="AU144" i="15"/>
  <c r="S144" i="15"/>
  <c r="H244" i="33"/>
  <c r="AW152" i="15"/>
  <c r="AR152" i="15"/>
  <c r="S152" i="15"/>
  <c r="H198" i="33"/>
  <c r="AR106" i="15"/>
  <c r="AW106" i="15"/>
  <c r="AV106" i="15"/>
  <c r="AS106" i="15"/>
  <c r="AU106" i="15"/>
  <c r="AT106" i="15"/>
  <c r="S106" i="15"/>
  <c r="H206" i="33"/>
  <c r="AR114" i="15"/>
  <c r="S114" i="15"/>
  <c r="AQ109" i="15"/>
  <c r="AB109" i="15"/>
  <c r="AA109" i="15"/>
  <c r="T109" i="15"/>
  <c r="AQ117" i="15"/>
  <c r="AA117" i="15"/>
  <c r="AB117" i="15"/>
  <c r="T117" i="15"/>
  <c r="AQ136" i="15"/>
  <c r="AB136" i="15"/>
  <c r="AA136" i="15"/>
  <c r="T136" i="15"/>
  <c r="AQ144" i="15"/>
  <c r="AA144" i="15"/>
  <c r="AB144" i="15"/>
  <c r="T144" i="15"/>
  <c r="AQ152" i="15"/>
  <c r="AA152" i="15"/>
  <c r="AB152" i="15"/>
  <c r="T152" i="15"/>
  <c r="AB181" i="15"/>
  <c r="T181" i="15"/>
  <c r="AB200" i="15"/>
  <c r="AQ200" i="15"/>
  <c r="AQ162" i="15"/>
  <c r="AB162" i="15"/>
  <c r="AA162" i="15"/>
  <c r="T162" i="15"/>
  <c r="AB170" i="15"/>
  <c r="AA170" i="15"/>
  <c r="AQ170" i="15"/>
  <c r="T170" i="15"/>
  <c r="AQ189" i="15"/>
  <c r="AA189" i="15"/>
  <c r="AB189" i="15"/>
  <c r="T189" i="15"/>
  <c r="AQ208" i="15"/>
  <c r="AB208" i="15"/>
  <c r="AA208" i="15"/>
  <c r="T208" i="15"/>
  <c r="H265" i="33"/>
  <c r="AV173" i="15"/>
  <c r="AS173" i="15"/>
  <c r="AR173" i="15"/>
  <c r="AT173" i="15"/>
  <c r="AW173" i="15"/>
  <c r="AU173" i="15"/>
  <c r="S173" i="15"/>
  <c r="H235" i="33"/>
  <c r="AS143" i="15"/>
  <c r="AR143" i="15"/>
  <c r="AW143" i="15"/>
  <c r="AT143" i="15"/>
  <c r="AB143" i="15"/>
  <c r="T143" i="15"/>
  <c r="AQ207" i="15"/>
  <c r="AB207" i="15"/>
  <c r="AA207" i="15"/>
  <c r="T207" i="15"/>
  <c r="H282" i="33"/>
  <c r="AV190" i="15"/>
  <c r="AU190" i="15"/>
  <c r="AT190" i="15"/>
  <c r="AW190" i="15"/>
  <c r="AR190" i="15"/>
  <c r="AS190" i="15"/>
  <c r="S190" i="15"/>
  <c r="H263" i="33"/>
  <c r="AW171" i="15"/>
  <c r="AV171" i="15"/>
  <c r="AT171" i="15"/>
  <c r="AS171" i="15"/>
  <c r="AR171" i="15"/>
  <c r="AU171" i="15"/>
  <c r="S171" i="15"/>
  <c r="H255" i="33"/>
  <c r="AW163" i="15"/>
  <c r="AV163" i="15"/>
  <c r="AT163" i="15"/>
  <c r="AR163" i="15"/>
  <c r="AU163" i="15"/>
  <c r="AS163" i="15"/>
  <c r="S163" i="15"/>
  <c r="H293" i="33"/>
  <c r="AW201" i="15"/>
  <c r="AT201" i="15"/>
  <c r="AS201" i="15"/>
  <c r="AV201" i="15"/>
  <c r="AU201" i="15"/>
  <c r="AR201" i="15"/>
  <c r="S201" i="15"/>
  <c r="AU182" i="15"/>
  <c r="AS182" i="15"/>
  <c r="AR182" i="15"/>
  <c r="H229" i="33"/>
  <c r="AW137" i="15"/>
  <c r="AU137" i="15"/>
  <c r="AV137" i="15"/>
  <c r="AR137" i="15"/>
  <c r="AT137" i="15"/>
  <c r="AS137" i="15"/>
  <c r="S137" i="15"/>
  <c r="H237" i="33"/>
  <c r="AW145" i="15"/>
  <c r="AU145" i="15"/>
  <c r="AV145" i="15"/>
  <c r="AR145" i="15"/>
  <c r="AT145" i="15"/>
  <c r="AS145" i="15"/>
  <c r="S145" i="15"/>
  <c r="H245" i="33"/>
  <c r="AW153" i="15"/>
  <c r="AU153" i="15"/>
  <c r="AS153" i="15"/>
  <c r="AR153" i="15"/>
  <c r="AT153" i="15"/>
  <c r="AV153" i="15"/>
  <c r="S153" i="15"/>
  <c r="AT107" i="15"/>
  <c r="AV107" i="15"/>
  <c r="AU107" i="15"/>
  <c r="H207" i="33"/>
  <c r="AS115" i="15"/>
  <c r="AR115" i="15"/>
  <c r="AW115" i="15"/>
  <c r="AT115" i="15"/>
  <c r="AV115" i="15"/>
  <c r="AU115" i="15"/>
  <c r="S115" i="15"/>
  <c r="AQ110" i="15"/>
  <c r="AB110" i="15"/>
  <c r="AA110" i="15"/>
  <c r="T110" i="15"/>
  <c r="AQ137" i="15"/>
  <c r="AB137" i="15"/>
  <c r="AA137" i="15"/>
  <c r="T137" i="15"/>
  <c r="AA145" i="15"/>
  <c r="AB145" i="15"/>
  <c r="AQ145" i="15"/>
  <c r="T145" i="15"/>
  <c r="AQ153" i="15"/>
  <c r="AB153" i="15"/>
  <c r="AA153" i="15"/>
  <c r="T153" i="15"/>
  <c r="AB182" i="15"/>
  <c r="T182" i="15"/>
  <c r="AQ201" i="15"/>
  <c r="AB201" i="15"/>
  <c r="AA201" i="15"/>
  <c r="T201" i="15"/>
  <c r="AB163" i="15"/>
  <c r="AQ163" i="15"/>
  <c r="AA163" i="15"/>
  <c r="T163" i="15"/>
  <c r="AB171" i="15"/>
  <c r="AQ171" i="15"/>
  <c r="AA171" i="15"/>
  <c r="T171" i="15"/>
  <c r="AQ190" i="15"/>
  <c r="AA190" i="15"/>
  <c r="AB190" i="15"/>
  <c r="T190" i="15"/>
  <c r="AQ209" i="15"/>
  <c r="AB209" i="15"/>
  <c r="AA209" i="15"/>
  <c r="T209" i="15"/>
  <c r="H295" i="33"/>
  <c r="AV203" i="15"/>
  <c r="AU203" i="15"/>
  <c r="AT203" i="15"/>
  <c r="AS203" i="15"/>
  <c r="AR203" i="15"/>
  <c r="AW203" i="15"/>
  <c r="S203" i="15"/>
  <c r="AB108" i="15"/>
  <c r="T108" i="15"/>
  <c r="AQ188" i="15"/>
  <c r="AA188" i="15"/>
  <c r="AB188" i="15"/>
  <c r="T188" i="15"/>
  <c r="H262" i="33"/>
  <c r="AV170" i="15"/>
  <c r="AU170" i="15"/>
  <c r="AS170" i="15"/>
  <c r="AT170" i="15"/>
  <c r="AW170" i="15"/>
  <c r="AR170" i="15"/>
  <c r="S170" i="15"/>
  <c r="H254" i="33"/>
  <c r="AV162" i="15"/>
  <c r="AU162" i="15"/>
  <c r="AS162" i="15"/>
  <c r="AR162" i="15"/>
  <c r="AT162" i="15"/>
  <c r="AW162" i="15"/>
  <c r="S162" i="15"/>
  <c r="AW200" i="15"/>
  <c r="AU200" i="15"/>
  <c r="AT200" i="15"/>
  <c r="H273" i="33"/>
  <c r="AW181" i="15"/>
  <c r="AU181" i="15"/>
  <c r="AT181" i="15"/>
  <c r="AS181" i="15"/>
  <c r="AV181" i="15"/>
  <c r="AR181" i="15"/>
  <c r="S181" i="15"/>
  <c r="H230" i="33"/>
  <c r="AV138" i="15"/>
  <c r="AU138" i="15"/>
  <c r="AT138" i="15"/>
  <c r="AW138" i="15"/>
  <c r="AS138" i="15"/>
  <c r="AR138" i="15"/>
  <c r="S138" i="15"/>
  <c r="H238" i="33"/>
  <c r="AV146" i="15"/>
  <c r="AR146" i="15"/>
  <c r="AW146" i="15"/>
  <c r="AS146" i="15"/>
  <c r="AU146" i="15"/>
  <c r="AT146" i="15"/>
  <c r="S146" i="15"/>
  <c r="AU108" i="15"/>
  <c r="AR108" i="15"/>
  <c r="S108" i="15"/>
  <c r="H208" i="33"/>
  <c r="AT116" i="15"/>
  <c r="AS116" i="15"/>
  <c r="AR116" i="15"/>
  <c r="AU116" i="15"/>
  <c r="AW116" i="15"/>
  <c r="AV116" i="15"/>
  <c r="S116" i="15"/>
  <c r="AB111" i="15"/>
  <c r="T111" i="15"/>
  <c r="AQ138" i="15"/>
  <c r="AA138" i="15"/>
  <c r="AB138" i="15"/>
  <c r="T138" i="15"/>
  <c r="AQ146" i="15"/>
  <c r="AA146" i="15"/>
  <c r="AB146" i="15"/>
  <c r="T146" i="15"/>
  <c r="I267" i="33"/>
  <c r="AB175" i="15"/>
  <c r="T175" i="15"/>
  <c r="AQ183" i="15"/>
  <c r="AB183" i="15"/>
  <c r="AA183" i="15"/>
  <c r="T183" i="15"/>
  <c r="AQ202" i="15"/>
  <c r="AB202" i="15"/>
  <c r="AA202" i="15"/>
  <c r="T202" i="15"/>
  <c r="AQ164" i="15"/>
  <c r="AA164" i="15"/>
  <c r="AB164" i="15"/>
  <c r="T164" i="15"/>
  <c r="AA172" i="15"/>
  <c r="AQ172" i="15"/>
  <c r="AB172" i="15"/>
  <c r="T172" i="15"/>
  <c r="AQ191" i="15"/>
  <c r="AB191" i="15"/>
  <c r="AA191" i="15"/>
  <c r="T191" i="15"/>
  <c r="AQ210" i="15"/>
  <c r="AB210" i="15"/>
  <c r="AA210" i="15"/>
  <c r="T210" i="15"/>
  <c r="H303" i="33"/>
  <c r="AV211" i="15"/>
  <c r="AU211" i="15"/>
  <c r="AS211" i="15"/>
  <c r="AR211" i="15"/>
  <c r="AW211" i="15"/>
  <c r="AT211" i="15"/>
  <c r="S211" i="15"/>
  <c r="H268" i="33"/>
  <c r="AS176" i="15"/>
  <c r="AR176" i="15"/>
  <c r="AW176" i="15"/>
  <c r="AT176" i="15"/>
  <c r="AV176" i="15"/>
  <c r="AU176" i="15"/>
  <c r="S176" i="15"/>
  <c r="AQ180" i="15"/>
  <c r="AB180" i="15"/>
  <c r="AA180" i="15"/>
  <c r="T180" i="15"/>
  <c r="AQ161" i="15"/>
  <c r="AB161" i="15"/>
  <c r="AA161" i="15"/>
  <c r="T161" i="15"/>
  <c r="H307" i="33"/>
  <c r="AR215" i="15"/>
  <c r="AW215" i="15"/>
  <c r="AV215" i="15"/>
  <c r="AT215" i="15"/>
  <c r="AS215" i="15"/>
  <c r="AU215" i="15"/>
  <c r="S215" i="15"/>
  <c r="H299" i="33"/>
  <c r="AU207" i="15"/>
  <c r="AR207" i="15"/>
  <c r="AW207" i="15"/>
  <c r="AV207" i="15"/>
  <c r="AT207" i="15"/>
  <c r="AS207" i="15"/>
  <c r="S207" i="15"/>
  <c r="H280" i="33"/>
  <c r="AW188" i="15"/>
  <c r="AV188" i="15"/>
  <c r="AT188" i="15"/>
  <c r="AU188" i="15"/>
  <c r="AS188" i="15"/>
  <c r="AR188" i="15"/>
  <c r="S188" i="15"/>
  <c r="H261" i="33"/>
  <c r="AU169" i="15"/>
  <c r="AT169" i="15"/>
  <c r="AR169" i="15"/>
  <c r="AV169" i="15"/>
  <c r="AS169" i="15"/>
  <c r="AW169" i="15"/>
  <c r="S169" i="15"/>
  <c r="H253" i="33"/>
  <c r="AU161" i="15"/>
  <c r="AT161" i="15"/>
  <c r="AR161" i="15"/>
  <c r="AS161" i="15"/>
  <c r="AW161" i="15"/>
  <c r="AV161" i="15"/>
  <c r="S161" i="15"/>
  <c r="H291" i="33"/>
  <c r="AR199" i="15"/>
  <c r="AW199" i="15"/>
  <c r="AV199" i="15"/>
  <c r="AU199" i="15"/>
  <c r="AT199" i="15"/>
  <c r="AS199" i="15"/>
  <c r="S199" i="15"/>
  <c r="H272" i="33"/>
  <c r="AW180" i="15"/>
  <c r="AV180" i="15"/>
  <c r="AT180" i="15"/>
  <c r="AU180" i="15"/>
  <c r="AS180" i="15"/>
  <c r="AR180" i="15"/>
  <c r="S180" i="15"/>
  <c r="H231" i="33"/>
  <c r="AW139" i="15"/>
  <c r="AS139" i="15"/>
  <c r="S139" i="15"/>
  <c r="H239" i="33"/>
  <c r="AR147" i="15"/>
  <c r="AW147" i="15"/>
  <c r="AV147" i="15"/>
  <c r="AU147" i="15"/>
  <c r="AT147" i="15"/>
  <c r="AS147" i="15"/>
  <c r="S147" i="15"/>
  <c r="H201" i="33"/>
  <c r="AU109" i="15"/>
  <c r="AT109" i="15"/>
  <c r="AR109" i="15"/>
  <c r="AW109" i="15"/>
  <c r="AV109" i="15"/>
  <c r="AS109" i="15"/>
  <c r="S109" i="15"/>
  <c r="H209" i="33"/>
  <c r="AU117" i="15"/>
  <c r="AT117" i="15"/>
  <c r="AR117" i="15"/>
  <c r="AW117" i="15"/>
  <c r="AV117" i="15"/>
  <c r="AS117" i="15"/>
  <c r="S117" i="15"/>
  <c r="AB104" i="15"/>
  <c r="T104" i="15"/>
  <c r="AA112" i="15"/>
  <c r="AB112" i="15"/>
  <c r="AQ112" i="15"/>
  <c r="T112" i="15"/>
  <c r="AQ139" i="15"/>
  <c r="AA139" i="15"/>
  <c r="AB139" i="15"/>
  <c r="T139" i="15"/>
  <c r="AQ147" i="15"/>
  <c r="AA147" i="15"/>
  <c r="AB147" i="15"/>
  <c r="T147" i="15"/>
  <c r="AQ176" i="15"/>
  <c r="AB176" i="15"/>
  <c r="AA176" i="15"/>
  <c r="T176" i="15"/>
  <c r="AB184" i="15"/>
  <c r="T184" i="15"/>
  <c r="AQ203" i="15"/>
  <c r="AB203" i="15"/>
  <c r="AA203" i="15"/>
  <c r="T203" i="15"/>
  <c r="AQ165" i="15"/>
  <c r="AA165" i="15"/>
  <c r="AB165" i="15"/>
  <c r="T165" i="15"/>
  <c r="AQ173" i="15"/>
  <c r="AA173" i="15"/>
  <c r="AB173" i="15"/>
  <c r="T173" i="15"/>
  <c r="AB192" i="15"/>
  <c r="AQ192" i="15"/>
  <c r="AA192" i="15"/>
  <c r="T192" i="15"/>
  <c r="AQ211" i="15"/>
  <c r="AB211" i="15"/>
  <c r="AA211" i="15"/>
  <c r="T211" i="15"/>
  <c r="H257" i="33"/>
  <c r="AV165" i="15"/>
  <c r="AW165" i="15"/>
  <c r="AU165" i="15"/>
  <c r="AR165" i="15"/>
  <c r="AT165" i="15"/>
  <c r="AS165" i="15"/>
  <c r="S165" i="15"/>
  <c r="H227" i="33"/>
  <c r="AV135" i="15"/>
  <c r="AU135" i="15"/>
  <c r="AS135" i="15"/>
  <c r="AR135" i="15"/>
  <c r="AW135" i="15"/>
  <c r="AT135" i="15"/>
  <c r="S135" i="15"/>
  <c r="AQ135" i="15"/>
  <c r="AA135" i="15"/>
  <c r="AB135" i="15"/>
  <c r="T135" i="15"/>
  <c r="H300" i="33"/>
  <c r="AV208" i="15"/>
  <c r="AS208" i="15"/>
  <c r="AR208" i="15"/>
  <c r="AT208" i="15"/>
  <c r="AW208" i="15"/>
  <c r="AU208" i="15"/>
  <c r="S208" i="15"/>
  <c r="H306" i="33"/>
  <c r="AV214" i="15"/>
  <c r="AU214" i="15"/>
  <c r="AS214" i="15"/>
  <c r="AR214" i="15"/>
  <c r="AT214" i="15"/>
  <c r="AW214" i="15"/>
  <c r="S214" i="15"/>
  <c r="H298" i="33"/>
  <c r="AT206" i="15"/>
  <c r="AW206" i="15"/>
  <c r="AV206" i="15"/>
  <c r="AS206" i="15"/>
  <c r="AU206" i="15"/>
  <c r="AR206" i="15"/>
  <c r="S206" i="15"/>
  <c r="H279" i="33"/>
  <c r="AV187" i="15"/>
  <c r="AU187" i="15"/>
  <c r="AS187" i="15"/>
  <c r="AR187" i="15"/>
  <c r="AW187" i="15"/>
  <c r="AT187" i="15"/>
  <c r="S187" i="15"/>
  <c r="H260" i="33"/>
  <c r="AT168" i="15"/>
  <c r="AS168" i="15"/>
  <c r="AV168" i="15"/>
  <c r="AW168" i="15"/>
  <c r="AU168" i="15"/>
  <c r="AR168" i="15"/>
  <c r="S168" i="15"/>
  <c r="H252" i="33"/>
  <c r="AT160" i="15"/>
  <c r="AS160" i="15"/>
  <c r="AU160" i="15"/>
  <c r="AR160" i="15"/>
  <c r="AV160" i="15"/>
  <c r="AW160" i="15"/>
  <c r="H290" i="33"/>
  <c r="AV198" i="15"/>
  <c r="AR198" i="15"/>
  <c r="AW198" i="15"/>
  <c r="AS198" i="15"/>
  <c r="AU198" i="15"/>
  <c r="AT198" i="15"/>
  <c r="S198" i="15"/>
  <c r="H271" i="33"/>
  <c r="AV179" i="15"/>
  <c r="AU179" i="15"/>
  <c r="AS179" i="15"/>
  <c r="AW179" i="15"/>
  <c r="AT179" i="15"/>
  <c r="AR179" i="15"/>
  <c r="S179" i="15"/>
  <c r="H232" i="33"/>
  <c r="AS140" i="15"/>
  <c r="AR140" i="15"/>
  <c r="AU140" i="15"/>
  <c r="AT140" i="15"/>
  <c r="AV140" i="15"/>
  <c r="AW140" i="15"/>
  <c r="S140" i="15"/>
  <c r="H240" i="33"/>
  <c r="AS148" i="15"/>
  <c r="AR148" i="15"/>
  <c r="AV148" i="15"/>
  <c r="AU148" i="15"/>
  <c r="AT148" i="15"/>
  <c r="S148" i="15"/>
  <c r="H202" i="33"/>
  <c r="AV110" i="15"/>
  <c r="AU110" i="15"/>
  <c r="AS110" i="15"/>
  <c r="AW110" i="15"/>
  <c r="AT110" i="15"/>
  <c r="AR110" i="15"/>
  <c r="S110" i="15"/>
  <c r="AB105" i="15"/>
  <c r="T105" i="15"/>
  <c r="AQ113" i="15"/>
  <c r="AA113" i="15"/>
  <c r="AB113" i="15"/>
  <c r="T113" i="15"/>
  <c r="AB140" i="15"/>
  <c r="AA140" i="15"/>
  <c r="AQ140" i="15"/>
  <c r="T140" i="15"/>
  <c r="AB148" i="15"/>
  <c r="AA148" i="15"/>
  <c r="T148" i="15"/>
  <c r="AQ177" i="15"/>
  <c r="AA177" i="15"/>
  <c r="AB177" i="15"/>
  <c r="AB196" i="15"/>
  <c r="AQ204" i="15"/>
  <c r="AB204" i="15"/>
  <c r="AA204" i="15"/>
  <c r="T204" i="15"/>
  <c r="AQ166" i="15"/>
  <c r="AB166" i="15"/>
  <c r="AA166" i="15"/>
  <c r="T166" i="15"/>
  <c r="AQ185" i="15"/>
  <c r="AB185" i="15"/>
  <c r="AA185" i="15"/>
  <c r="T185" i="15"/>
  <c r="AQ193" i="15"/>
  <c r="AB193" i="15"/>
  <c r="AA193" i="15"/>
  <c r="T193" i="15"/>
  <c r="AQ212" i="15"/>
  <c r="AA212" i="15"/>
  <c r="AB212" i="15"/>
  <c r="T212" i="15"/>
  <c r="H205" i="33"/>
  <c r="AV113" i="15"/>
  <c r="AT113" i="15"/>
  <c r="AW113" i="15"/>
  <c r="AU113" i="15"/>
  <c r="AS113" i="15"/>
  <c r="AR113" i="15"/>
  <c r="S113" i="15"/>
  <c r="AQ199" i="15"/>
  <c r="AB199" i="15"/>
  <c r="AA199" i="15"/>
  <c r="T199" i="15"/>
  <c r="AQ169" i="15"/>
  <c r="AB169" i="15"/>
  <c r="AA169" i="15"/>
  <c r="T169" i="15"/>
  <c r="H281" i="33"/>
  <c r="AW189" i="15"/>
  <c r="AU189" i="15"/>
  <c r="AV189" i="15"/>
  <c r="AR189" i="15"/>
  <c r="AT189" i="15"/>
  <c r="AS189" i="15"/>
  <c r="S189" i="15"/>
  <c r="H305" i="33"/>
  <c r="AW213" i="15"/>
  <c r="AU213" i="15"/>
  <c r="AT213" i="15"/>
  <c r="AR213" i="15"/>
  <c r="AV213" i="15"/>
  <c r="AS213" i="15"/>
  <c r="S213" i="15"/>
  <c r="H286" i="33"/>
  <c r="AU194" i="15"/>
  <c r="AT194" i="15"/>
  <c r="AR194" i="15"/>
  <c r="AS194" i="15"/>
  <c r="AV194" i="15"/>
  <c r="AW194" i="15"/>
  <c r="S194" i="15"/>
  <c r="H278" i="33"/>
  <c r="AU186" i="15"/>
  <c r="AT186" i="15"/>
  <c r="AR186" i="15"/>
  <c r="AW186" i="15"/>
  <c r="AV186" i="15"/>
  <c r="AS186" i="15"/>
  <c r="S186" i="15"/>
  <c r="H259" i="33"/>
  <c r="AS167" i="15"/>
  <c r="AR167" i="15"/>
  <c r="AV167" i="15"/>
  <c r="AU167" i="15"/>
  <c r="AW167" i="15"/>
  <c r="AT167" i="15"/>
  <c r="S167" i="15"/>
  <c r="H251" i="33"/>
  <c r="AR159" i="15"/>
  <c r="AW159" i="15"/>
  <c r="AT159" i="15"/>
  <c r="AV159" i="15"/>
  <c r="AU159" i="15"/>
  <c r="AS159" i="15"/>
  <c r="H297" i="33"/>
  <c r="AS205" i="15"/>
  <c r="AW205" i="15"/>
  <c r="AV205" i="15"/>
  <c r="AU205" i="15"/>
  <c r="AR205" i="15"/>
  <c r="AT205" i="15"/>
  <c r="S205" i="15"/>
  <c r="H289" i="33"/>
  <c r="AW197" i="15"/>
  <c r="AU197" i="15"/>
  <c r="AV197" i="15"/>
  <c r="AR197" i="15"/>
  <c r="AT197" i="15"/>
  <c r="AS197" i="15"/>
  <c r="S197" i="15"/>
  <c r="H270" i="33"/>
  <c r="AU178" i="15"/>
  <c r="AT178" i="15"/>
  <c r="AR178" i="15"/>
  <c r="AW178" i="15"/>
  <c r="AV178" i="15"/>
  <c r="AS178" i="15"/>
  <c r="H233" i="33"/>
  <c r="AT141" i="15"/>
  <c r="AS141" i="15"/>
  <c r="AU141" i="15"/>
  <c r="AW141" i="15"/>
  <c r="AV141" i="15"/>
  <c r="AR141" i="15"/>
  <c r="S141" i="15"/>
  <c r="H241" i="33"/>
  <c r="AT149" i="15"/>
  <c r="AS149" i="15"/>
  <c r="AV149" i="15"/>
  <c r="AU149" i="15"/>
  <c r="AW149" i="15"/>
  <c r="AR149" i="15"/>
  <c r="S149" i="15"/>
  <c r="H203" i="33"/>
  <c r="AW111" i="15"/>
  <c r="AV111" i="15"/>
  <c r="AT111" i="15"/>
  <c r="AU111" i="15"/>
  <c r="AS111" i="15"/>
  <c r="AR111" i="15"/>
  <c r="S111" i="15"/>
  <c r="AQ106" i="15"/>
  <c r="AB106" i="15"/>
  <c r="AA106" i="15"/>
  <c r="T106" i="15"/>
  <c r="AQ114" i="15"/>
  <c r="AB114" i="15"/>
  <c r="AA114" i="15"/>
  <c r="T114" i="15"/>
  <c r="AQ141" i="15"/>
  <c r="AB141" i="15"/>
  <c r="AA141" i="15"/>
  <c r="T141" i="15"/>
  <c r="AQ149" i="15"/>
  <c r="AB149" i="15"/>
  <c r="AA149" i="15"/>
  <c r="T149" i="15"/>
  <c r="AQ178" i="15"/>
  <c r="AA178" i="15"/>
  <c r="AB178" i="15"/>
  <c r="AA197" i="15"/>
  <c r="AB197" i="15"/>
  <c r="AQ197" i="15"/>
  <c r="T197" i="15"/>
  <c r="AQ205" i="15"/>
  <c r="AA205" i="15"/>
  <c r="AB205" i="15"/>
  <c r="T205" i="15"/>
  <c r="AB167" i="15"/>
  <c r="AA167" i="15"/>
  <c r="AQ167" i="15"/>
  <c r="T167" i="15"/>
  <c r="AQ186" i="15"/>
  <c r="AB186" i="15"/>
  <c r="AA186" i="15"/>
  <c r="T186" i="15"/>
  <c r="AQ194" i="15"/>
  <c r="AB194" i="15"/>
  <c r="AA194" i="15"/>
  <c r="T194" i="15"/>
  <c r="AQ213" i="15"/>
  <c r="AA213" i="15"/>
  <c r="AB213" i="15"/>
  <c r="T213" i="15"/>
  <c r="H284" i="33"/>
  <c r="AS192" i="15"/>
  <c r="AR192" i="15"/>
  <c r="AU192" i="15"/>
  <c r="AT192" i="15"/>
  <c r="AV192" i="15"/>
  <c r="AW192" i="15"/>
  <c r="S192" i="15"/>
  <c r="H276" i="33"/>
  <c r="AS184" i="15"/>
  <c r="AR184" i="15"/>
  <c r="AW184" i="15"/>
  <c r="AT184" i="15"/>
  <c r="AV184" i="15"/>
  <c r="AU184" i="15"/>
  <c r="S184" i="15"/>
  <c r="AB151" i="15"/>
  <c r="AA151" i="15"/>
  <c r="AQ151" i="15"/>
  <c r="T151" i="15"/>
  <c r="AQ215" i="15"/>
  <c r="AB215" i="15"/>
  <c r="AA215" i="15"/>
  <c r="T215" i="15"/>
  <c r="H301" i="33"/>
  <c r="AW209" i="15"/>
  <c r="AT209" i="15"/>
  <c r="AS209" i="15"/>
  <c r="AR209" i="15"/>
  <c r="AU209" i="15"/>
  <c r="AV209" i="15"/>
  <c r="S209" i="15"/>
  <c r="H304" i="33"/>
  <c r="AW212" i="15"/>
  <c r="AV212" i="15"/>
  <c r="AT212" i="15"/>
  <c r="AS212" i="15"/>
  <c r="AU212" i="15"/>
  <c r="AR212" i="15"/>
  <c r="S212" i="15"/>
  <c r="H285" i="33"/>
  <c r="AT193" i="15"/>
  <c r="AS193" i="15"/>
  <c r="AU193" i="15"/>
  <c r="AW193" i="15"/>
  <c r="AV193" i="15"/>
  <c r="AR193" i="15"/>
  <c r="S193" i="15"/>
  <c r="H277" i="33"/>
  <c r="AS185" i="15"/>
  <c r="AR185" i="15"/>
  <c r="S185" i="15"/>
  <c r="H258" i="33"/>
  <c r="AR166" i="15"/>
  <c r="AW166" i="15"/>
  <c r="AV166" i="15"/>
  <c r="AS166" i="15"/>
  <c r="AU166" i="15"/>
  <c r="AT166" i="15"/>
  <c r="S166" i="15"/>
  <c r="H296" i="33"/>
  <c r="AR204" i="15"/>
  <c r="AW204" i="15"/>
  <c r="AV204" i="15"/>
  <c r="AU204" i="15"/>
  <c r="AT204" i="15"/>
  <c r="AS204" i="15"/>
  <c r="S204" i="15"/>
  <c r="H269" i="33"/>
  <c r="AT177" i="15"/>
  <c r="AS177" i="15"/>
  <c r="AW177" i="15"/>
  <c r="AV177" i="15"/>
  <c r="AU177" i="15"/>
  <c r="AR177" i="15"/>
  <c r="H234" i="33"/>
  <c r="AU142" i="15"/>
  <c r="AT142" i="15"/>
  <c r="AR142" i="15"/>
  <c r="AS142" i="15"/>
  <c r="AV142" i="15"/>
  <c r="AW142" i="15"/>
  <c r="S142" i="15"/>
  <c r="H242" i="33"/>
  <c r="AU150" i="15"/>
  <c r="AT150" i="15"/>
  <c r="AR150" i="15"/>
  <c r="AV150" i="15"/>
  <c r="AW150" i="15"/>
  <c r="AS150" i="15"/>
  <c r="S150" i="15"/>
  <c r="H204" i="33"/>
  <c r="AW112" i="15"/>
  <c r="AU112" i="15"/>
  <c r="AT112" i="15"/>
  <c r="AS112" i="15"/>
  <c r="AV112" i="15"/>
  <c r="AR112" i="15"/>
  <c r="S112" i="15"/>
  <c r="AQ107" i="15"/>
  <c r="AB107" i="15"/>
  <c r="AA107" i="15"/>
  <c r="T107" i="15"/>
  <c r="AB115" i="15"/>
  <c r="AA115" i="15"/>
  <c r="AQ115" i="15"/>
  <c r="T115" i="15"/>
  <c r="AB134" i="15"/>
  <c r="T134" i="15"/>
  <c r="AQ142" i="15"/>
  <c r="AB142" i="15"/>
  <c r="AA142" i="15"/>
  <c r="T142" i="15"/>
  <c r="AB150" i="15"/>
  <c r="AA150" i="15"/>
  <c r="AQ150" i="15"/>
  <c r="T150" i="15"/>
  <c r="AB179" i="15"/>
  <c r="AA179" i="15"/>
  <c r="AQ179" i="15"/>
  <c r="T179" i="15"/>
  <c r="AQ198" i="15"/>
  <c r="AA198" i="15"/>
  <c r="AB198" i="15"/>
  <c r="T198" i="15"/>
  <c r="AQ168" i="15"/>
  <c r="AB168" i="15"/>
  <c r="AA168" i="15"/>
  <c r="T168" i="15"/>
  <c r="AQ187" i="15"/>
  <c r="AB187" i="15"/>
  <c r="AA187" i="15"/>
  <c r="T187" i="15"/>
  <c r="AQ206" i="15"/>
  <c r="AA206" i="15"/>
  <c r="AB206" i="15"/>
  <c r="T206" i="15"/>
  <c r="AQ214" i="15"/>
  <c r="AA214" i="15"/>
  <c r="AB214" i="15"/>
  <c r="T214" i="15"/>
  <c r="AA159" i="15"/>
  <c r="AQ159" i="15"/>
  <c r="AB159" i="15"/>
  <c r="T159" i="15"/>
  <c r="S159" i="15"/>
  <c r="AB160" i="15"/>
  <c r="AA160" i="15"/>
  <c r="AQ160" i="15"/>
  <c r="T160" i="15"/>
  <c r="S160" i="15"/>
  <c r="I211" i="33"/>
  <c r="AB119" i="15"/>
  <c r="T119" i="15"/>
  <c r="AB127" i="15"/>
  <c r="T127" i="15"/>
  <c r="AB120" i="15"/>
  <c r="T120" i="15"/>
  <c r="I246" i="33"/>
  <c r="AB154" i="15"/>
  <c r="T154" i="15"/>
  <c r="AB121" i="15"/>
  <c r="T121" i="15"/>
  <c r="I247" i="33"/>
  <c r="AB155" i="15"/>
  <c r="T155" i="15"/>
  <c r="AB122" i="15"/>
  <c r="T122" i="15"/>
  <c r="I248" i="33"/>
  <c r="AB156" i="15"/>
  <c r="T156" i="15"/>
  <c r="AB123" i="15"/>
  <c r="T123" i="15"/>
  <c r="I249" i="33"/>
  <c r="AB157" i="15"/>
  <c r="T157" i="15"/>
  <c r="AB124" i="15"/>
  <c r="T124" i="15"/>
  <c r="AB158" i="15"/>
  <c r="T158" i="15"/>
  <c r="AB125" i="15"/>
  <c r="T125" i="15"/>
  <c r="I210" i="33"/>
  <c r="AB118" i="15"/>
  <c r="T118" i="15"/>
  <c r="AB126" i="15"/>
  <c r="T126" i="15"/>
  <c r="I221" i="33"/>
  <c r="AB129" i="15"/>
  <c r="T129" i="15"/>
  <c r="AB130" i="15"/>
  <c r="T130" i="15"/>
  <c r="I223" i="33"/>
  <c r="AB131" i="15"/>
  <c r="T131" i="15"/>
  <c r="AB132" i="15"/>
  <c r="T132" i="15"/>
  <c r="AB133" i="15"/>
  <c r="T133" i="15"/>
  <c r="AB100" i="15"/>
  <c r="T100" i="15"/>
  <c r="AB101" i="15"/>
  <c r="T101" i="15"/>
  <c r="AB102" i="15"/>
  <c r="T102" i="15"/>
  <c r="AB103" i="15"/>
  <c r="T103" i="15"/>
  <c r="H249" i="33"/>
  <c r="AR157" i="15"/>
  <c r="AQ157" i="15"/>
  <c r="AW157" i="15"/>
  <c r="AV157" i="15"/>
  <c r="AU157" i="15"/>
  <c r="AT157" i="15"/>
  <c r="AS157" i="15"/>
  <c r="AA157" i="15"/>
  <c r="S157" i="15"/>
  <c r="H215" i="33"/>
  <c r="AW123" i="15"/>
  <c r="AA123" i="15"/>
  <c r="AV123" i="15"/>
  <c r="AU123" i="15"/>
  <c r="AT123" i="15"/>
  <c r="AS123" i="15"/>
  <c r="AR123" i="15"/>
  <c r="AQ123" i="15"/>
  <c r="S123" i="15"/>
  <c r="H248" i="33"/>
  <c r="AQ156" i="15"/>
  <c r="AS156" i="15"/>
  <c r="AA156" i="15"/>
  <c r="AR156" i="15"/>
  <c r="S156" i="15"/>
  <c r="H214" i="33"/>
  <c r="AV122" i="15"/>
  <c r="AU122" i="15"/>
  <c r="AT122" i="15"/>
  <c r="AS122" i="15"/>
  <c r="AR122" i="15"/>
  <c r="AQ122" i="15"/>
  <c r="AW122" i="15"/>
  <c r="AA122" i="15"/>
  <c r="S122" i="15"/>
  <c r="H247" i="33"/>
  <c r="AS155" i="15"/>
  <c r="AA155" i="15"/>
  <c r="AR155" i="15"/>
  <c r="AQ155" i="15"/>
  <c r="S155" i="15"/>
  <c r="H213" i="33"/>
  <c r="AU121" i="15"/>
  <c r="AT121" i="15"/>
  <c r="AS121" i="15"/>
  <c r="AR121" i="15"/>
  <c r="AQ121" i="15"/>
  <c r="AW121" i="15"/>
  <c r="AA121" i="15"/>
  <c r="AV121" i="15"/>
  <c r="S121" i="15"/>
  <c r="H246" i="33"/>
  <c r="AS154" i="15"/>
  <c r="AA154" i="15"/>
  <c r="AR154" i="15"/>
  <c r="AQ154" i="15"/>
  <c r="S154" i="15"/>
  <c r="H212" i="33"/>
  <c r="AT120" i="15"/>
  <c r="AS120" i="15"/>
  <c r="AR120" i="15"/>
  <c r="AQ120" i="15"/>
  <c r="AW120" i="15"/>
  <c r="AA120" i="15"/>
  <c r="AV120" i="15"/>
  <c r="AU120" i="15"/>
  <c r="S120" i="15"/>
  <c r="H219" i="33"/>
  <c r="AS127" i="15"/>
  <c r="AR127" i="15"/>
  <c r="AQ127" i="15"/>
  <c r="AW127" i="15"/>
  <c r="AA127" i="15"/>
  <c r="AV127" i="15"/>
  <c r="AU127" i="15"/>
  <c r="AT127" i="15"/>
  <c r="S127" i="15"/>
  <c r="H211" i="33"/>
  <c r="AS119" i="15"/>
  <c r="AR119" i="15"/>
  <c r="AQ119" i="15"/>
  <c r="AW119" i="15"/>
  <c r="AA119" i="15"/>
  <c r="AV119" i="15"/>
  <c r="AU119" i="15"/>
  <c r="AT119" i="15"/>
  <c r="S119" i="15"/>
  <c r="H218" i="33"/>
  <c r="AR126" i="15"/>
  <c r="AQ126" i="15"/>
  <c r="AW126" i="15"/>
  <c r="AA126" i="15"/>
  <c r="AV126" i="15"/>
  <c r="AU126" i="15"/>
  <c r="AT126" i="15"/>
  <c r="AS126" i="15"/>
  <c r="S126" i="15"/>
  <c r="H210" i="33"/>
  <c r="AR118" i="15"/>
  <c r="AQ118" i="15"/>
  <c r="AA118" i="15"/>
  <c r="AS118" i="15"/>
  <c r="S118" i="15"/>
  <c r="H217" i="33"/>
  <c r="AQ125" i="15"/>
  <c r="AW125" i="15"/>
  <c r="AA125" i="15"/>
  <c r="AV125" i="15"/>
  <c r="AU125" i="15"/>
  <c r="AT125" i="15"/>
  <c r="AS125" i="15"/>
  <c r="AR125" i="15"/>
  <c r="S125" i="15"/>
  <c r="H250" i="33"/>
  <c r="AS158" i="15"/>
  <c r="AA158" i="15"/>
  <c r="AR158" i="15"/>
  <c r="AQ158" i="15"/>
  <c r="AW158" i="15"/>
  <c r="AV158" i="15"/>
  <c r="AU158" i="15"/>
  <c r="AT158" i="15"/>
  <c r="S158" i="15"/>
  <c r="H216" i="33"/>
  <c r="AW124" i="15"/>
  <c r="AA124" i="15"/>
  <c r="AV124" i="15"/>
  <c r="AU124" i="15"/>
  <c r="AT124" i="15"/>
  <c r="AS124" i="15"/>
  <c r="AR124" i="15"/>
  <c r="AQ124" i="15"/>
  <c r="S124" i="15"/>
  <c r="AI124" i="15" s="1"/>
  <c r="E134" i="15"/>
  <c r="L765" i="33"/>
  <c r="T200" i="15"/>
  <c r="S200" i="15"/>
  <c r="T178" i="15"/>
  <c r="S178" i="15"/>
  <c r="I288" i="33"/>
  <c r="T196" i="15"/>
  <c r="I269" i="33"/>
  <c r="T177" i="15"/>
  <c r="S177" i="15"/>
  <c r="E710" i="33"/>
  <c r="J29" i="32"/>
  <c r="F711" i="33" s="1"/>
  <c r="F710" i="33"/>
  <c r="H100" i="4"/>
  <c r="H40" i="4"/>
  <c r="H41" i="4"/>
  <c r="E132" i="15"/>
  <c r="L763" i="33"/>
  <c r="E133" i="15"/>
  <c r="L764" i="33"/>
  <c r="E131" i="15"/>
  <c r="L762" i="33"/>
  <c r="H42" i="3"/>
  <c r="G762" i="33" s="1"/>
  <c r="E129" i="15"/>
  <c r="L760" i="33"/>
  <c r="E130" i="15"/>
  <c r="L761" i="33"/>
  <c r="E105" i="15"/>
  <c r="AA105" i="15" s="1"/>
  <c r="L746" i="33"/>
  <c r="E101" i="15"/>
  <c r="L742" i="33"/>
  <c r="E100" i="15"/>
  <c r="L741" i="33"/>
  <c r="E102" i="15"/>
  <c r="L743" i="33"/>
  <c r="E103" i="15"/>
  <c r="L744" i="33"/>
  <c r="E104" i="15"/>
  <c r="AA104" i="15" s="1"/>
  <c r="L745" i="33"/>
  <c r="E99" i="15"/>
  <c r="L740" i="33"/>
  <c r="E196" i="15"/>
  <c r="L797" i="33"/>
  <c r="E175" i="15"/>
  <c r="AQ175" i="15" s="1"/>
  <c r="L786" i="33"/>
  <c r="I279" i="33"/>
  <c r="I298" i="33"/>
  <c r="I306" i="33"/>
  <c r="I233" i="33"/>
  <c r="I297" i="33"/>
  <c r="I305" i="33"/>
  <c r="I199" i="33"/>
  <c r="I227" i="33"/>
  <c r="I261" i="33"/>
  <c r="I193" i="33"/>
  <c r="I201" i="33"/>
  <c r="I209" i="33"/>
  <c r="I228" i="33"/>
  <c r="I236" i="33"/>
  <c r="I244" i="33"/>
  <c r="I273" i="33"/>
  <c r="I292" i="33"/>
  <c r="I212" i="33"/>
  <c r="I254" i="33"/>
  <c r="I262" i="33"/>
  <c r="I281" i="33"/>
  <c r="I300" i="33"/>
  <c r="I198" i="33"/>
  <c r="I241" i="33"/>
  <c r="I217" i="33"/>
  <c r="I286" i="33"/>
  <c r="I234" i="33"/>
  <c r="I290" i="33"/>
  <c r="I260" i="33"/>
  <c r="I208" i="33"/>
  <c r="I272" i="33"/>
  <c r="I219" i="33"/>
  <c r="I307" i="33"/>
  <c r="I194" i="33"/>
  <c r="I202" i="33"/>
  <c r="I229" i="33"/>
  <c r="I237" i="33"/>
  <c r="I245" i="33"/>
  <c r="I274" i="33"/>
  <c r="I293" i="33"/>
  <c r="I213" i="33"/>
  <c r="I255" i="33"/>
  <c r="I263" i="33"/>
  <c r="I282" i="33"/>
  <c r="I301" i="33"/>
  <c r="I225" i="33"/>
  <c r="I289" i="33"/>
  <c r="I259" i="33"/>
  <c r="I207" i="33"/>
  <c r="I218" i="33"/>
  <c r="I200" i="33"/>
  <c r="I280" i="33"/>
  <c r="I195" i="33"/>
  <c r="I203" i="33"/>
  <c r="I222" i="33"/>
  <c r="I230" i="33"/>
  <c r="I238" i="33"/>
  <c r="I275" i="33"/>
  <c r="I294" i="33"/>
  <c r="I214" i="33"/>
  <c r="I256" i="33"/>
  <c r="I264" i="33"/>
  <c r="I283" i="33"/>
  <c r="I302" i="33"/>
  <c r="I226" i="33"/>
  <c r="I235" i="33"/>
  <c r="I196" i="33"/>
  <c r="I204" i="33"/>
  <c r="I231" i="33"/>
  <c r="I239" i="33"/>
  <c r="I268" i="33"/>
  <c r="I276" i="33"/>
  <c r="I295" i="33"/>
  <c r="I215" i="33"/>
  <c r="I257" i="33"/>
  <c r="I265" i="33"/>
  <c r="I284" i="33"/>
  <c r="I303" i="33"/>
  <c r="I206" i="33"/>
  <c r="I270" i="33"/>
  <c r="I251" i="33"/>
  <c r="I278" i="33"/>
  <c r="I242" i="33"/>
  <c r="I271" i="33"/>
  <c r="I252" i="33"/>
  <c r="I192" i="33"/>
  <c r="I243" i="33"/>
  <c r="I291" i="33"/>
  <c r="I253" i="33"/>
  <c r="I299" i="33"/>
  <c r="I197" i="33"/>
  <c r="I205" i="33"/>
  <c r="I224" i="33"/>
  <c r="I232" i="33"/>
  <c r="I240" i="33"/>
  <c r="I296" i="33"/>
  <c r="I216" i="33"/>
  <c r="I250" i="33"/>
  <c r="I258" i="33"/>
  <c r="I277" i="33"/>
  <c r="I285" i="33"/>
  <c r="I304" i="33"/>
  <c r="J24" i="32"/>
  <c r="F707" i="33" s="1"/>
  <c r="H94" i="4"/>
  <c r="H104" i="4"/>
  <c r="H95" i="4"/>
  <c r="I22" i="32"/>
  <c r="E705" i="33" s="1"/>
  <c r="J23" i="32"/>
  <c r="F706" i="33" s="1"/>
  <c r="F99" i="15"/>
  <c r="H20" i="3"/>
  <c r="G740" i="33" s="1"/>
  <c r="H66" i="3"/>
  <c r="G786" i="33" s="1"/>
  <c r="Q154" i="16"/>
  <c r="Q155" i="16"/>
  <c r="I175" i="15" l="1"/>
  <c r="AC175" i="15"/>
  <c r="U175" i="15"/>
  <c r="K267" i="33"/>
  <c r="AC129" i="15"/>
  <c r="U129" i="15"/>
  <c r="K221" i="33"/>
  <c r="AC130" i="15"/>
  <c r="U130" i="15"/>
  <c r="K222" i="33"/>
  <c r="AC131" i="15"/>
  <c r="U131" i="15"/>
  <c r="K223" i="33"/>
  <c r="AC185" i="15"/>
  <c r="U185" i="15"/>
  <c r="K277" i="33"/>
  <c r="AT131" i="15"/>
  <c r="AC156" i="15"/>
  <c r="U156" i="15"/>
  <c r="K248" i="33"/>
  <c r="AC155" i="15"/>
  <c r="U155" i="15"/>
  <c r="K247" i="33"/>
  <c r="AT129" i="15"/>
  <c r="AC154" i="15"/>
  <c r="U154" i="15"/>
  <c r="K246" i="33"/>
  <c r="AC118" i="15"/>
  <c r="U118" i="15"/>
  <c r="K210" i="33"/>
  <c r="AT139" i="15"/>
  <c r="AV108" i="15"/>
  <c r="AV200" i="15"/>
  <c r="AW107" i="15"/>
  <c r="AW182" i="15"/>
  <c r="AV114" i="15"/>
  <c r="AU151" i="15"/>
  <c r="AA184" i="15"/>
  <c r="AV139" i="15"/>
  <c r="AW108" i="15"/>
  <c r="AR200" i="15"/>
  <c r="AA108" i="15"/>
  <c r="AR107" i="15"/>
  <c r="AT182" i="15"/>
  <c r="AA143" i="15"/>
  <c r="AU143" i="15"/>
  <c r="AQ181" i="15"/>
  <c r="AU114" i="15"/>
  <c r="AU152" i="15"/>
  <c r="AA116" i="15"/>
  <c r="AV151" i="15"/>
  <c r="AU139" i="15"/>
  <c r="AA111" i="15"/>
  <c r="AS108" i="15"/>
  <c r="AS200" i="15"/>
  <c r="AA182" i="15"/>
  <c r="AS107" i="15"/>
  <c r="AV182" i="15"/>
  <c r="AQ143" i="15"/>
  <c r="AV143" i="15"/>
  <c r="AS114" i="15"/>
  <c r="AS152" i="15"/>
  <c r="H243" i="33"/>
  <c r="AT108" i="15"/>
  <c r="H292" i="33"/>
  <c r="AQ108" i="15"/>
  <c r="AQ182" i="15"/>
  <c r="H199" i="33"/>
  <c r="H274" i="33"/>
  <c r="AT114" i="15"/>
  <c r="AT152" i="15"/>
  <c r="S151" i="15"/>
  <c r="AQ148" i="15"/>
  <c r="AQ105" i="15"/>
  <c r="H288" i="33"/>
  <c r="AW196" i="15"/>
  <c r="AV196" i="15"/>
  <c r="AT196" i="15"/>
  <c r="AR196" i="15"/>
  <c r="AS196" i="15"/>
  <c r="AU196" i="15"/>
  <c r="AA175" i="15"/>
  <c r="AA196" i="15"/>
  <c r="H197" i="33"/>
  <c r="AV105" i="15"/>
  <c r="AS105" i="15"/>
  <c r="AR105" i="15"/>
  <c r="AT105" i="15"/>
  <c r="AW105" i="15"/>
  <c r="AU105" i="15"/>
  <c r="S105" i="15"/>
  <c r="S196" i="15"/>
  <c r="H196" i="33"/>
  <c r="AW104" i="15"/>
  <c r="AU104" i="15"/>
  <c r="AS104" i="15"/>
  <c r="AV104" i="15"/>
  <c r="AT104" i="15"/>
  <c r="AR104" i="15"/>
  <c r="S104" i="15"/>
  <c r="AQ196" i="15"/>
  <c r="AQ104" i="15"/>
  <c r="H267" i="33"/>
  <c r="AR175" i="15"/>
  <c r="AS175" i="15"/>
  <c r="AT175" i="15"/>
  <c r="S175" i="15"/>
  <c r="AB99" i="15"/>
  <c r="T99" i="15"/>
  <c r="H223" i="33"/>
  <c r="AS131" i="15"/>
  <c r="AR131" i="15"/>
  <c r="AA131" i="15"/>
  <c r="AQ131" i="15"/>
  <c r="S131" i="15"/>
  <c r="H225" i="33"/>
  <c r="AU133" i="15"/>
  <c r="AT133" i="15"/>
  <c r="AS133" i="15"/>
  <c r="AR133" i="15"/>
  <c r="AA133" i="15"/>
  <c r="AQ133" i="15"/>
  <c r="AW133" i="15"/>
  <c r="AV133" i="15"/>
  <c r="S133" i="15"/>
  <c r="H222" i="33"/>
  <c r="AR130" i="15"/>
  <c r="AA130" i="15"/>
  <c r="AQ130" i="15"/>
  <c r="AT130" i="15"/>
  <c r="AS130" i="15"/>
  <c r="S130" i="15"/>
  <c r="H224" i="33"/>
  <c r="AT132" i="15"/>
  <c r="AS132" i="15"/>
  <c r="AR132" i="15"/>
  <c r="AA132" i="15"/>
  <c r="AQ132" i="15"/>
  <c r="AW132" i="15"/>
  <c r="AV132" i="15"/>
  <c r="AU132" i="15"/>
  <c r="S132" i="15"/>
  <c r="H221" i="33"/>
  <c r="AQ129" i="15"/>
  <c r="AS129" i="15"/>
  <c r="AR129" i="15"/>
  <c r="AA129" i="15"/>
  <c r="S129" i="15"/>
  <c r="H226" i="33"/>
  <c r="AV134" i="15"/>
  <c r="AU134" i="15"/>
  <c r="AT134" i="15"/>
  <c r="AS134" i="15"/>
  <c r="AR134" i="15"/>
  <c r="AA134" i="15"/>
  <c r="AQ134" i="15"/>
  <c r="AW134" i="15"/>
  <c r="S134" i="15"/>
  <c r="H192" i="33"/>
  <c r="AW100" i="15"/>
  <c r="AV100" i="15"/>
  <c r="AU100" i="15"/>
  <c r="AT100" i="15"/>
  <c r="AS100" i="15"/>
  <c r="AR100" i="15"/>
  <c r="AA100" i="15"/>
  <c r="AQ100" i="15"/>
  <c r="S100" i="15"/>
  <c r="H191" i="33"/>
  <c r="AW99" i="15"/>
  <c r="AV99" i="15"/>
  <c r="AU99" i="15"/>
  <c r="AT99" i="15"/>
  <c r="AS99" i="15"/>
  <c r="AR99" i="15"/>
  <c r="AA99" i="15"/>
  <c r="AQ99" i="15"/>
  <c r="S99" i="15"/>
  <c r="H193" i="33"/>
  <c r="AQ101" i="15"/>
  <c r="AW101" i="15"/>
  <c r="AV101" i="15"/>
  <c r="AU101" i="15"/>
  <c r="AT101" i="15"/>
  <c r="AS101" i="15"/>
  <c r="AR101" i="15"/>
  <c r="AA101" i="15"/>
  <c r="S101" i="15"/>
  <c r="H195" i="33"/>
  <c r="AS103" i="15"/>
  <c r="AR103" i="15"/>
  <c r="AQ103" i="15"/>
  <c r="AA103" i="15"/>
  <c r="AW103" i="15"/>
  <c r="AV103" i="15"/>
  <c r="AU103" i="15"/>
  <c r="AT103" i="15"/>
  <c r="S103" i="15"/>
  <c r="AR102" i="15"/>
  <c r="AQ102" i="15"/>
  <c r="AW102" i="15"/>
  <c r="AV102" i="15"/>
  <c r="AU102" i="15"/>
  <c r="AA102" i="15"/>
  <c r="AT102" i="15"/>
  <c r="AS102" i="15"/>
  <c r="H194" i="33"/>
  <c r="S102" i="15"/>
  <c r="I191" i="33"/>
  <c r="I24" i="32"/>
  <c r="E707" i="33" s="1"/>
  <c r="I23" i="32"/>
  <c r="E706" i="33" s="1"/>
  <c r="Q158" i="16"/>
  <c r="Q166" i="16" s="1"/>
  <c r="J175" i="15" l="1"/>
  <c r="AD175" i="15"/>
  <c r="V175" i="15"/>
  <c r="L267" i="33"/>
  <c r="AD129" i="15"/>
  <c r="V129" i="15"/>
  <c r="L221" i="33"/>
  <c r="AD131" i="15"/>
  <c r="V131" i="15"/>
  <c r="L223" i="33"/>
  <c r="AD130" i="15"/>
  <c r="V130" i="15"/>
  <c r="L222" i="33"/>
  <c r="AD185" i="15"/>
  <c r="V185" i="15"/>
  <c r="L277" i="33"/>
  <c r="AT185" i="15"/>
  <c r="AD156" i="15"/>
  <c r="V156" i="15"/>
  <c r="L248" i="33"/>
  <c r="AT156" i="15"/>
  <c r="AD155" i="15"/>
  <c r="V155" i="15"/>
  <c r="L247" i="33"/>
  <c r="AT155" i="15"/>
  <c r="AD154" i="15"/>
  <c r="V154" i="15"/>
  <c r="L246" i="33"/>
  <c r="AT154" i="15"/>
  <c r="AD118" i="15"/>
  <c r="V118" i="15"/>
  <c r="L210" i="33"/>
  <c r="AT118" i="15"/>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D215" i="15"/>
  <c r="C307" i="33" s="1"/>
  <c r="D214" i="15"/>
  <c r="C306" i="33" s="1"/>
  <c r="D213" i="15"/>
  <c r="C305" i="33" s="1"/>
  <c r="D212" i="15"/>
  <c r="C304" i="33" s="1"/>
  <c r="D211" i="15"/>
  <c r="C303" i="33" s="1"/>
  <c r="D210" i="15"/>
  <c r="C302" i="33" s="1"/>
  <c r="D209" i="15"/>
  <c r="C301" i="33" s="1"/>
  <c r="D208" i="15"/>
  <c r="C300" i="33" s="1"/>
  <c r="D207" i="15"/>
  <c r="C299" i="33" s="1"/>
  <c r="D206" i="15"/>
  <c r="C298" i="33" s="1"/>
  <c r="D205" i="15"/>
  <c r="C297" i="33" s="1"/>
  <c r="D204" i="15"/>
  <c r="C296" i="33" s="1"/>
  <c r="D203" i="15"/>
  <c r="C295" i="33" s="1"/>
  <c r="D202" i="15"/>
  <c r="C294" i="33" s="1"/>
  <c r="D201" i="15"/>
  <c r="C293" i="33" s="1"/>
  <c r="D200" i="15"/>
  <c r="C292" i="33" s="1"/>
  <c r="D199" i="15"/>
  <c r="C291" i="33" s="1"/>
  <c r="D198" i="15"/>
  <c r="C290" i="33" s="1"/>
  <c r="D197" i="15"/>
  <c r="C289" i="33" s="1"/>
  <c r="D196" i="15"/>
  <c r="C288" i="33" s="1"/>
  <c r="D194" i="15"/>
  <c r="C286" i="33" s="1"/>
  <c r="D193" i="15"/>
  <c r="C285" i="33" s="1"/>
  <c r="D192" i="15"/>
  <c r="C284" i="33" s="1"/>
  <c r="D191" i="15"/>
  <c r="C283" i="33" s="1"/>
  <c r="D190" i="15"/>
  <c r="C282" i="33" s="1"/>
  <c r="D189" i="15"/>
  <c r="C281" i="33" s="1"/>
  <c r="D188" i="15"/>
  <c r="C280" i="33" s="1"/>
  <c r="D187" i="15"/>
  <c r="C279" i="33" s="1"/>
  <c r="D186" i="15"/>
  <c r="C278" i="33" s="1"/>
  <c r="D185" i="15"/>
  <c r="C277" i="33" s="1"/>
  <c r="D184" i="15"/>
  <c r="C276" i="33" s="1"/>
  <c r="D183" i="15"/>
  <c r="C275" i="33" s="1"/>
  <c r="D182" i="15"/>
  <c r="C274" i="33" s="1"/>
  <c r="D181" i="15"/>
  <c r="C273" i="33" s="1"/>
  <c r="D180" i="15"/>
  <c r="C272" i="33" s="1"/>
  <c r="D179" i="15"/>
  <c r="C271" i="33" s="1"/>
  <c r="D178" i="15"/>
  <c r="C270" i="33" s="1"/>
  <c r="D177" i="15"/>
  <c r="C269" i="33" s="1"/>
  <c r="D176" i="15"/>
  <c r="C268" i="33" s="1"/>
  <c r="D175" i="15"/>
  <c r="C267" i="33" s="1"/>
  <c r="D173" i="15"/>
  <c r="C265" i="33" s="1"/>
  <c r="D172" i="15"/>
  <c r="C264" i="33" s="1"/>
  <c r="D171" i="15"/>
  <c r="C263" i="33" s="1"/>
  <c r="D170" i="15"/>
  <c r="C262" i="33" s="1"/>
  <c r="D169" i="15"/>
  <c r="C261" i="33" s="1"/>
  <c r="D168" i="15"/>
  <c r="C260" i="33" s="1"/>
  <c r="D167" i="15"/>
  <c r="C259" i="33" s="1"/>
  <c r="D166" i="15"/>
  <c r="C258" i="33" s="1"/>
  <c r="D165" i="15"/>
  <c r="C257" i="33" s="1"/>
  <c r="D164" i="15"/>
  <c r="C256" i="33" s="1"/>
  <c r="D163" i="15"/>
  <c r="C255" i="33" s="1"/>
  <c r="D162" i="15"/>
  <c r="C254" i="33" s="1"/>
  <c r="D161" i="15"/>
  <c r="C253" i="33" s="1"/>
  <c r="D160" i="15"/>
  <c r="C252" i="33" s="1"/>
  <c r="D159" i="15"/>
  <c r="C251" i="33" s="1"/>
  <c r="D158" i="15"/>
  <c r="C250" i="33" s="1"/>
  <c r="D157" i="15"/>
  <c r="C249" i="33" s="1"/>
  <c r="D156" i="15"/>
  <c r="C248" i="33" s="1"/>
  <c r="D155" i="15"/>
  <c r="C247" i="33" s="1"/>
  <c r="D154" i="15"/>
  <c r="C246" i="33" s="1"/>
  <c r="D153" i="15"/>
  <c r="C245" i="33" s="1"/>
  <c r="D152" i="15"/>
  <c r="C244" i="33" s="1"/>
  <c r="D151" i="15"/>
  <c r="C243" i="33" s="1"/>
  <c r="D150" i="15"/>
  <c r="C242" i="33" s="1"/>
  <c r="D149" i="15"/>
  <c r="C241" i="33" s="1"/>
  <c r="D148" i="15"/>
  <c r="C240" i="33" s="1"/>
  <c r="D147" i="15"/>
  <c r="C239" i="33" s="1"/>
  <c r="D146" i="15"/>
  <c r="C238" i="33" s="1"/>
  <c r="D145" i="15"/>
  <c r="C237" i="33" s="1"/>
  <c r="D144" i="15"/>
  <c r="C236" i="33" s="1"/>
  <c r="D143" i="15"/>
  <c r="C235" i="33" s="1"/>
  <c r="D142" i="15"/>
  <c r="C234" i="33" s="1"/>
  <c r="D141" i="15"/>
  <c r="C233" i="33" s="1"/>
  <c r="D140" i="15"/>
  <c r="C232" i="33" s="1"/>
  <c r="D139" i="15"/>
  <c r="C231" i="33" s="1"/>
  <c r="D138" i="15"/>
  <c r="C230" i="33" s="1"/>
  <c r="D137" i="15"/>
  <c r="C229" i="33" s="1"/>
  <c r="D136" i="15"/>
  <c r="C228" i="33" s="1"/>
  <c r="D135" i="15"/>
  <c r="C227" i="33" s="1"/>
  <c r="D134" i="15"/>
  <c r="C226" i="33" s="1"/>
  <c r="D133" i="15"/>
  <c r="C225" i="33" s="1"/>
  <c r="D132" i="15"/>
  <c r="C224" i="33" s="1"/>
  <c r="D131" i="15"/>
  <c r="C223" i="33" s="1"/>
  <c r="D130" i="15"/>
  <c r="C222" i="33" s="1"/>
  <c r="D129" i="15"/>
  <c r="C221" i="33" s="1"/>
  <c r="D127" i="15"/>
  <c r="C219" i="33" s="1"/>
  <c r="D126" i="15"/>
  <c r="C218" i="33" s="1"/>
  <c r="D125" i="15"/>
  <c r="C217" i="33" s="1"/>
  <c r="D124" i="15"/>
  <c r="C216" i="33" s="1"/>
  <c r="D123" i="15"/>
  <c r="C215" i="33" s="1"/>
  <c r="D122" i="15"/>
  <c r="C214" i="33" s="1"/>
  <c r="D121" i="15"/>
  <c r="C213" i="33" s="1"/>
  <c r="D120" i="15"/>
  <c r="C212" i="33" s="1"/>
  <c r="D119" i="15"/>
  <c r="C211" i="33" s="1"/>
  <c r="D118" i="15"/>
  <c r="C210" i="33" s="1"/>
  <c r="D117" i="15"/>
  <c r="C209" i="33" s="1"/>
  <c r="D116" i="15"/>
  <c r="C208" i="33" s="1"/>
  <c r="D115" i="15"/>
  <c r="C207" i="33" s="1"/>
  <c r="D114" i="15"/>
  <c r="C206" i="33" s="1"/>
  <c r="D113" i="15"/>
  <c r="C205" i="33" s="1"/>
  <c r="D112" i="15"/>
  <c r="C204" i="33" s="1"/>
  <c r="D111" i="15"/>
  <c r="C203" i="33" s="1"/>
  <c r="D110" i="15"/>
  <c r="C202" i="33" s="1"/>
  <c r="D109" i="15"/>
  <c r="C201" i="33" s="1"/>
  <c r="D108" i="15"/>
  <c r="C200" i="33" s="1"/>
  <c r="D107" i="15"/>
  <c r="C199" i="33" s="1"/>
  <c r="D106" i="15"/>
  <c r="C198" i="33" s="1"/>
  <c r="D105" i="15"/>
  <c r="C197" i="33" s="1"/>
  <c r="D104" i="15"/>
  <c r="C196" i="33" s="1"/>
  <c r="D103" i="15"/>
  <c r="C195" i="33" s="1"/>
  <c r="D102" i="15"/>
  <c r="C194" i="33" s="1"/>
  <c r="D101" i="15"/>
  <c r="C193" i="33" s="1"/>
  <c r="D100" i="15"/>
  <c r="C192" i="33" s="1"/>
  <c r="D99" i="15"/>
  <c r="C191" i="33" s="1"/>
  <c r="D98" i="15"/>
  <c r="C190" i="33" s="1"/>
  <c r="K175" i="15" l="1"/>
  <c r="AE175" i="15"/>
  <c r="W175" i="15"/>
  <c r="M267" i="33"/>
  <c r="AU175" i="15"/>
  <c r="AE129" i="15"/>
  <c r="W129" i="15"/>
  <c r="M221" i="33"/>
  <c r="AU129" i="15"/>
  <c r="AE131" i="15"/>
  <c r="W131" i="15"/>
  <c r="M223" i="33"/>
  <c r="AU131" i="15"/>
  <c r="AE130" i="15"/>
  <c r="W130" i="15"/>
  <c r="M222" i="33"/>
  <c r="AU130" i="15"/>
  <c r="AE185" i="15"/>
  <c r="W185" i="15"/>
  <c r="M277" i="33"/>
  <c r="AU185" i="15"/>
  <c r="AE156" i="15"/>
  <c r="W156" i="15"/>
  <c r="M248" i="33"/>
  <c r="AU156" i="15"/>
  <c r="AE155" i="15"/>
  <c r="W155" i="15"/>
  <c r="M247" i="33"/>
  <c r="AU155" i="15"/>
  <c r="AE154" i="15"/>
  <c r="W154" i="15"/>
  <c r="M246" i="33"/>
  <c r="AU154" i="15"/>
  <c r="AE118" i="15"/>
  <c r="W118" i="15"/>
  <c r="M210" i="33"/>
  <c r="AU118" i="15"/>
  <c r="D237" i="21"/>
  <c r="D240" i="21"/>
  <c r="D243" i="21"/>
  <c r="D234" i="21"/>
  <c r="D232" i="21"/>
  <c r="D235" i="21" s="1"/>
  <c r="D238" i="21" s="1"/>
  <c r="D241" i="21" s="1"/>
  <c r="D244" i="21" s="1"/>
  <c r="B691" i="33"/>
  <c r="B690" i="33"/>
  <c r="B688" i="33"/>
  <c r="B687" i="33"/>
  <c r="B685" i="33"/>
  <c r="B684" i="33"/>
  <c r="B682" i="33"/>
  <c r="B681" i="33"/>
  <c r="B660" i="33"/>
  <c r="H627" i="33"/>
  <c r="E66" i="14"/>
  <c r="H55" i="22"/>
  <c r="L175" i="15" l="1"/>
  <c r="AF175" i="15"/>
  <c r="X175" i="15"/>
  <c r="N267" i="33"/>
  <c r="AV175" i="15"/>
  <c r="AF130" i="15"/>
  <c r="X130" i="15"/>
  <c r="N222" i="33"/>
  <c r="AV130" i="15"/>
  <c r="AF129" i="15"/>
  <c r="X129" i="15"/>
  <c r="N221" i="33"/>
  <c r="AV129" i="15"/>
  <c r="AF131" i="15"/>
  <c r="X131" i="15"/>
  <c r="N223" i="33"/>
  <c r="AV131" i="15"/>
  <c r="AF185" i="15"/>
  <c r="X185" i="15"/>
  <c r="N277" i="33"/>
  <c r="AV185" i="15"/>
  <c r="AF156" i="15"/>
  <c r="X156" i="15"/>
  <c r="N248" i="33"/>
  <c r="AV156" i="15"/>
  <c r="AF155" i="15"/>
  <c r="X155" i="15"/>
  <c r="N247" i="33"/>
  <c r="AV155" i="15"/>
  <c r="AF154" i="15"/>
  <c r="X154" i="15"/>
  <c r="N246" i="33"/>
  <c r="AV154" i="15"/>
  <c r="AF118" i="15"/>
  <c r="X118" i="15"/>
  <c r="N210" i="33"/>
  <c r="AV118" i="15"/>
  <c r="D118" i="33"/>
  <c r="H51" i="33"/>
  <c r="F39" i="14"/>
  <c r="F17" i="21"/>
  <c r="P627" i="33"/>
  <c r="N630" i="33"/>
  <c r="N627" i="33"/>
  <c r="M630" i="33"/>
  <c r="M627" i="33"/>
  <c r="L630" i="33"/>
  <c r="L627" i="33"/>
  <c r="K630" i="33"/>
  <c r="K627" i="33"/>
  <c r="R630" i="33"/>
  <c r="R627" i="33"/>
  <c r="J630" i="33"/>
  <c r="J627" i="33"/>
  <c r="O627" i="33"/>
  <c r="Q627" i="33"/>
  <c r="I627" i="33"/>
  <c r="P630" i="33"/>
  <c r="Q630" i="33"/>
  <c r="I630" i="33"/>
  <c r="H631" i="33"/>
  <c r="B37" i="14"/>
  <c r="E50" i="14"/>
  <c r="E52" i="14" s="1"/>
  <c r="E49" i="14"/>
  <c r="R654" i="33"/>
  <c r="J654" i="33"/>
  <c r="Q654" i="33"/>
  <c r="I654" i="33"/>
  <c r="N654" i="33"/>
  <c r="P654" i="33"/>
  <c r="H654" i="33"/>
  <c r="M654" i="33"/>
  <c r="K654" i="33"/>
  <c r="O654" i="33"/>
  <c r="L16" i="32"/>
  <c r="L654" i="33"/>
  <c r="K42" i="31"/>
  <c r="K43" i="31" s="1"/>
  <c r="K44" i="31" s="1"/>
  <c r="AG175" i="15" l="1"/>
  <c r="Y175" i="15"/>
  <c r="O267" i="33"/>
  <c r="AW175" i="15"/>
  <c r="AG131" i="15"/>
  <c r="Y131" i="15"/>
  <c r="O223" i="33"/>
  <c r="AW131" i="15"/>
  <c r="AG130" i="15"/>
  <c r="Y130" i="15"/>
  <c r="O222" i="33"/>
  <c r="AW130" i="15"/>
  <c r="AG129" i="15"/>
  <c r="Y129" i="15"/>
  <c r="O221" i="33"/>
  <c r="AW129" i="15"/>
  <c r="AG185" i="15"/>
  <c r="Y185" i="15"/>
  <c r="O277" i="33"/>
  <c r="AW185" i="15"/>
  <c r="AG156" i="15"/>
  <c r="Y156" i="15"/>
  <c r="O248" i="33"/>
  <c r="AW156" i="15"/>
  <c r="AG155" i="15"/>
  <c r="Y155" i="15"/>
  <c r="O247" i="33"/>
  <c r="AW155" i="15"/>
  <c r="AG154" i="15"/>
  <c r="Y154" i="15"/>
  <c r="O246" i="33"/>
  <c r="AW154" i="15"/>
  <c r="AG118" i="15"/>
  <c r="Y118" i="15"/>
  <c r="O210" i="33"/>
  <c r="AW118" i="15"/>
  <c r="L57" i="32"/>
  <c r="H1414" i="33"/>
  <c r="F176" i="21"/>
  <c r="F70" i="21"/>
  <c r="F123" i="21"/>
  <c r="H93" i="33"/>
  <c r="H119" i="33"/>
  <c r="H614" i="33"/>
  <c r="H566" i="33"/>
  <c r="H425" i="33"/>
  <c r="H699" i="33"/>
  <c r="O630" i="33"/>
  <c r="L22" i="32"/>
  <c r="H705" i="33" s="1"/>
  <c r="M22" i="32"/>
  <c r="I705" i="33" s="1"/>
  <c r="I631" i="33"/>
  <c r="U22" i="32"/>
  <c r="Q705" i="33" s="1"/>
  <c r="Q631" i="33"/>
  <c r="N22" i="32"/>
  <c r="J705" i="33" s="1"/>
  <c r="J631" i="33"/>
  <c r="O22" i="32"/>
  <c r="K705" i="33" s="1"/>
  <c r="K631" i="33"/>
  <c r="T22" i="32"/>
  <c r="P705" i="33" s="1"/>
  <c r="P631" i="33"/>
  <c r="H630" i="33"/>
  <c r="R22" i="32"/>
  <c r="N705" i="33" s="1"/>
  <c r="N631" i="33"/>
  <c r="M631" i="33"/>
  <c r="H634" i="33"/>
  <c r="P22" i="32"/>
  <c r="L705" i="33" s="1"/>
  <c r="L631" i="33"/>
  <c r="S22" i="32"/>
  <c r="O705" i="33" s="1"/>
  <c r="O631" i="33"/>
  <c r="F19" i="21"/>
  <c r="H424" i="33"/>
  <c r="I656" i="33"/>
  <c r="Q22" i="32"/>
  <c r="M705" i="33" s="1"/>
  <c r="I655" i="33"/>
  <c r="O656" i="33"/>
  <c r="O655" i="33"/>
  <c r="Q656" i="33"/>
  <c r="Q655" i="33"/>
  <c r="K656" i="33"/>
  <c r="K655" i="33"/>
  <c r="J656" i="33"/>
  <c r="J655" i="33"/>
  <c r="L656" i="33"/>
  <c r="L655" i="33"/>
  <c r="H656" i="33"/>
  <c r="H655" i="33"/>
  <c r="M656" i="33"/>
  <c r="M655" i="33"/>
  <c r="R656" i="33"/>
  <c r="R655" i="33"/>
  <c r="P656" i="33"/>
  <c r="P655" i="33"/>
  <c r="N656" i="33"/>
  <c r="N655" i="33"/>
  <c r="K47" i="31"/>
  <c r="K46" i="31"/>
  <c r="K45" i="31"/>
  <c r="G153" i="18"/>
  <c r="G68" i="18"/>
  <c r="L138" i="18"/>
  <c r="I32" i="18"/>
  <c r="G29" i="18"/>
  <c r="F39" i="21" l="1"/>
  <c r="F56" i="21"/>
  <c r="W655" i="33"/>
  <c r="F613" i="33"/>
  <c r="J634" i="33"/>
  <c r="M634" i="33"/>
  <c r="P634" i="33"/>
  <c r="O634" i="33"/>
  <c r="L634" i="33"/>
  <c r="Q634" i="33"/>
  <c r="V22" i="32"/>
  <c r="R705" i="33" s="1"/>
  <c r="R631" i="33"/>
  <c r="V630" i="33"/>
  <c r="U630" i="33"/>
  <c r="K634" i="33"/>
  <c r="I634" i="33"/>
  <c r="N634" i="33"/>
  <c r="S655" i="33"/>
  <c r="K49" i="31"/>
  <c r="K22" i="32" s="1"/>
  <c r="G705" i="33" s="1"/>
  <c r="G19" i="18"/>
  <c r="G18" i="18"/>
  <c r="AO450" i="15"/>
  <c r="AN450" i="15"/>
  <c r="AM450" i="15"/>
  <c r="AL450" i="15"/>
  <c r="AK450" i="15"/>
  <c r="AJ450" i="15"/>
  <c r="AI450" i="15"/>
  <c r="AO449" i="15"/>
  <c r="AN449" i="15"/>
  <c r="AM449" i="15"/>
  <c r="AL449" i="15"/>
  <c r="AK449" i="15"/>
  <c r="AJ449" i="15"/>
  <c r="AI449" i="15"/>
  <c r="AO448" i="15"/>
  <c r="AN448" i="15"/>
  <c r="AM448" i="15"/>
  <c r="AL448" i="15"/>
  <c r="AK448" i="15"/>
  <c r="AJ448" i="15"/>
  <c r="AI448" i="15"/>
  <c r="AO447" i="15"/>
  <c r="AN447" i="15"/>
  <c r="AM447" i="15"/>
  <c r="AL447" i="15"/>
  <c r="AK447" i="15"/>
  <c r="AJ447" i="15"/>
  <c r="AI447" i="15"/>
  <c r="AO446" i="15"/>
  <c r="AN446" i="15"/>
  <c r="AM446" i="15"/>
  <c r="AL446" i="15"/>
  <c r="AK446" i="15"/>
  <c r="AJ446" i="15"/>
  <c r="AI446" i="15"/>
  <c r="AO445" i="15"/>
  <c r="AN445" i="15"/>
  <c r="AM445" i="15"/>
  <c r="AL445" i="15"/>
  <c r="AK445" i="15"/>
  <c r="AJ445" i="15"/>
  <c r="AI445" i="15"/>
  <c r="AO444" i="15"/>
  <c r="AN444" i="15"/>
  <c r="AM444" i="15"/>
  <c r="AL444" i="15"/>
  <c r="AK444" i="15"/>
  <c r="AJ444" i="15"/>
  <c r="AI444" i="15"/>
  <c r="AO443" i="15"/>
  <c r="AN443" i="15"/>
  <c r="AM443" i="15"/>
  <c r="AL443" i="15"/>
  <c r="AK443" i="15"/>
  <c r="AJ443" i="15"/>
  <c r="AI443" i="15"/>
  <c r="AJ441" i="15"/>
  <c r="S439" i="15"/>
  <c r="AQ438" i="15"/>
  <c r="AI438" i="15"/>
  <c r="AA438" i="15"/>
  <c r="S438" i="15"/>
  <c r="E437" i="15"/>
  <c r="AO432" i="15"/>
  <c r="AN432" i="15"/>
  <c r="AM432" i="15"/>
  <c r="AL432" i="15"/>
  <c r="AK432" i="15"/>
  <c r="AJ432" i="15"/>
  <c r="AI432" i="15"/>
  <c r="AO431" i="15"/>
  <c r="AN431" i="15"/>
  <c r="AM431" i="15"/>
  <c r="AL431" i="15"/>
  <c r="AK431" i="15"/>
  <c r="AJ431" i="15"/>
  <c r="AI431" i="15"/>
  <c r="AO430" i="15"/>
  <c r="AN430" i="15"/>
  <c r="AM430" i="15"/>
  <c r="AL430" i="15"/>
  <c r="AK430" i="15"/>
  <c r="AJ430" i="15"/>
  <c r="AI430" i="15"/>
  <c r="AO429" i="15"/>
  <c r="AN429" i="15"/>
  <c r="AM429" i="15"/>
  <c r="AL429" i="15"/>
  <c r="AK429" i="15"/>
  <c r="AJ429" i="15"/>
  <c r="AI429" i="15"/>
  <c r="AO428" i="15"/>
  <c r="AN428" i="15"/>
  <c r="AM428" i="15"/>
  <c r="AL428" i="15"/>
  <c r="AK428" i="15"/>
  <c r="AJ428" i="15"/>
  <c r="AI428" i="15"/>
  <c r="AO427" i="15"/>
  <c r="AN427" i="15"/>
  <c r="AM427" i="15"/>
  <c r="AL427" i="15"/>
  <c r="AK427" i="15"/>
  <c r="AJ427" i="15"/>
  <c r="AI427" i="15"/>
  <c r="AO426" i="15"/>
  <c r="AN426" i="15"/>
  <c r="AM426" i="15"/>
  <c r="AL426" i="15"/>
  <c r="AK426" i="15"/>
  <c r="AJ426" i="15"/>
  <c r="AI426" i="15"/>
  <c r="AO425" i="15"/>
  <c r="AN425" i="15"/>
  <c r="AM425" i="15"/>
  <c r="AL425" i="15"/>
  <c r="AK425" i="15"/>
  <c r="AJ425" i="15"/>
  <c r="AI425" i="15"/>
  <c r="AO424" i="15"/>
  <c r="AN424" i="15"/>
  <c r="AM424" i="15"/>
  <c r="AL424" i="15"/>
  <c r="AK424" i="15"/>
  <c r="AJ424" i="15"/>
  <c r="AI424" i="15"/>
  <c r="AO423" i="15"/>
  <c r="AN423" i="15"/>
  <c r="AM423" i="15"/>
  <c r="AL423" i="15"/>
  <c r="AK423" i="15"/>
  <c r="AJ423" i="15"/>
  <c r="AI423" i="15"/>
  <c r="AO422" i="15"/>
  <c r="AN422" i="15"/>
  <c r="AM422" i="15"/>
  <c r="AL422" i="15"/>
  <c r="AK422" i="15"/>
  <c r="AJ422" i="15"/>
  <c r="AI422" i="15"/>
  <c r="AO421" i="15"/>
  <c r="AN421" i="15"/>
  <c r="AM421" i="15"/>
  <c r="AL421" i="15"/>
  <c r="AK421" i="15"/>
  <c r="AJ421" i="15"/>
  <c r="AI421" i="15"/>
  <c r="AO420" i="15"/>
  <c r="AN420" i="15"/>
  <c r="AM420" i="15"/>
  <c r="AL420" i="15"/>
  <c r="AK420" i="15"/>
  <c r="AJ420" i="15"/>
  <c r="AI420" i="15"/>
  <c r="AO419" i="15"/>
  <c r="AN419" i="15"/>
  <c r="AM419" i="15"/>
  <c r="AL419" i="15"/>
  <c r="AK419" i="15"/>
  <c r="AJ419" i="15"/>
  <c r="AI419" i="15"/>
  <c r="AO418" i="15"/>
  <c r="AN418" i="15"/>
  <c r="AM418" i="15"/>
  <c r="AL418" i="15"/>
  <c r="AK418" i="15"/>
  <c r="AJ418" i="15"/>
  <c r="AI418" i="15"/>
  <c r="AO417" i="15"/>
  <c r="AN417" i="15"/>
  <c r="AM417" i="15"/>
  <c r="AL417" i="15"/>
  <c r="AK417" i="15"/>
  <c r="AJ417" i="15"/>
  <c r="AI417" i="15"/>
  <c r="AO416" i="15"/>
  <c r="AN416" i="15"/>
  <c r="AM416" i="15"/>
  <c r="AL416" i="15"/>
  <c r="AK416" i="15"/>
  <c r="AJ416" i="15"/>
  <c r="AI416" i="15"/>
  <c r="AO415" i="15"/>
  <c r="AN415" i="15"/>
  <c r="AM415" i="15"/>
  <c r="AL415" i="15"/>
  <c r="AK415" i="15"/>
  <c r="AJ415" i="15"/>
  <c r="AI415" i="15"/>
  <c r="AO414" i="15"/>
  <c r="AN414" i="15"/>
  <c r="AM414" i="15"/>
  <c r="AL414" i="15"/>
  <c r="AK414" i="15"/>
  <c r="AJ414" i="15"/>
  <c r="AI414" i="15"/>
  <c r="AO413" i="15"/>
  <c r="AN413" i="15"/>
  <c r="AM413" i="15"/>
  <c r="AL413" i="15"/>
  <c r="AK413" i="15"/>
  <c r="AJ413" i="15"/>
  <c r="AI413" i="15"/>
  <c r="S411" i="15"/>
  <c r="AQ411" i="15" s="1"/>
  <c r="AQ410" i="15"/>
  <c r="AI410" i="15"/>
  <c r="AA410" i="15"/>
  <c r="S410" i="15"/>
  <c r="F409" i="15"/>
  <c r="AO404" i="15"/>
  <c r="AN404" i="15"/>
  <c r="AM404" i="15"/>
  <c r="AL404" i="15"/>
  <c r="AK404" i="15"/>
  <c r="AJ404" i="15"/>
  <c r="AI404" i="15"/>
  <c r="AO403" i="15"/>
  <c r="AN403" i="15"/>
  <c r="AM403" i="15"/>
  <c r="AL403" i="15"/>
  <c r="AK403" i="15"/>
  <c r="AJ403" i="15"/>
  <c r="AI403" i="15"/>
  <c r="AO402" i="15"/>
  <c r="AN402" i="15"/>
  <c r="AM402" i="15"/>
  <c r="AL402" i="15"/>
  <c r="AK402" i="15"/>
  <c r="AJ402" i="15"/>
  <c r="AI402" i="15"/>
  <c r="AO401" i="15"/>
  <c r="AN401" i="15"/>
  <c r="AM401" i="15"/>
  <c r="AL401" i="15"/>
  <c r="AK401" i="15"/>
  <c r="AJ401" i="15"/>
  <c r="AI401" i="15"/>
  <c r="AO400" i="15"/>
  <c r="AN400" i="15"/>
  <c r="AM400" i="15"/>
  <c r="AL400" i="15"/>
  <c r="AK400" i="15"/>
  <c r="AJ400" i="15"/>
  <c r="AI400" i="15"/>
  <c r="AO399" i="15"/>
  <c r="AN399" i="15"/>
  <c r="AM399" i="15"/>
  <c r="AL399" i="15"/>
  <c r="AK399" i="15"/>
  <c r="AJ399" i="15"/>
  <c r="AI399" i="15"/>
  <c r="AO398" i="15"/>
  <c r="AN398" i="15"/>
  <c r="AM398" i="15"/>
  <c r="AL398" i="15"/>
  <c r="AK398" i="15"/>
  <c r="AJ398" i="15"/>
  <c r="AI398" i="15"/>
  <c r="AO397" i="15"/>
  <c r="AN397" i="15"/>
  <c r="AM397" i="15"/>
  <c r="AL397" i="15"/>
  <c r="AK397" i="15"/>
  <c r="AJ397" i="15"/>
  <c r="AI397" i="15"/>
  <c r="AO396" i="15"/>
  <c r="AN396" i="15"/>
  <c r="AM396" i="15"/>
  <c r="AL396" i="15"/>
  <c r="AK396" i="15"/>
  <c r="AJ396" i="15"/>
  <c r="AI396" i="15"/>
  <c r="AO395" i="15"/>
  <c r="AN395" i="15"/>
  <c r="AM395" i="15"/>
  <c r="AL395" i="15"/>
  <c r="AK395" i="15"/>
  <c r="AJ395" i="15"/>
  <c r="AI395" i="15"/>
  <c r="AO394" i="15"/>
  <c r="AN394" i="15"/>
  <c r="AM394" i="15"/>
  <c r="AL394" i="15"/>
  <c r="AK394" i="15"/>
  <c r="AJ394" i="15"/>
  <c r="AI394" i="15"/>
  <c r="AO393" i="15"/>
  <c r="AN393" i="15"/>
  <c r="AM393" i="15"/>
  <c r="AL393" i="15"/>
  <c r="AK393" i="15"/>
  <c r="AJ393" i="15"/>
  <c r="AI393" i="15"/>
  <c r="AO392" i="15"/>
  <c r="AN392" i="15"/>
  <c r="AM392" i="15"/>
  <c r="AL392" i="15"/>
  <c r="AK392" i="15"/>
  <c r="AJ392" i="15"/>
  <c r="AI392" i="15"/>
  <c r="AO391" i="15"/>
  <c r="AN391" i="15"/>
  <c r="AM391" i="15"/>
  <c r="AL391" i="15"/>
  <c r="AK391" i="15"/>
  <c r="AJ391" i="15"/>
  <c r="AI391" i="15"/>
  <c r="AO390" i="15"/>
  <c r="AN390" i="15"/>
  <c r="AM390" i="15"/>
  <c r="AL390" i="15"/>
  <c r="AK390" i="15"/>
  <c r="AJ390" i="15"/>
  <c r="AI390" i="15"/>
  <c r="AO389" i="15"/>
  <c r="AN389" i="15"/>
  <c r="AM389" i="15"/>
  <c r="AL389" i="15"/>
  <c r="AK389" i="15"/>
  <c r="AJ389" i="15"/>
  <c r="AI389" i="15"/>
  <c r="AO388" i="15"/>
  <c r="AN388" i="15"/>
  <c r="AM388" i="15"/>
  <c r="AL388" i="15"/>
  <c r="AK388" i="15"/>
  <c r="AJ388" i="15"/>
  <c r="AI388" i="15"/>
  <c r="AO387" i="15"/>
  <c r="AN387" i="15"/>
  <c r="AM387" i="15"/>
  <c r="AL387" i="15"/>
  <c r="AK387" i="15"/>
  <c r="AJ387" i="15"/>
  <c r="AI387" i="15"/>
  <c r="AO386" i="15"/>
  <c r="AN386" i="15"/>
  <c r="AM386" i="15"/>
  <c r="AL386" i="15"/>
  <c r="AK386" i="15"/>
  <c r="AJ386" i="15"/>
  <c r="AI386" i="15"/>
  <c r="AO385" i="15"/>
  <c r="AN385" i="15"/>
  <c r="AM385" i="15"/>
  <c r="AL385" i="15"/>
  <c r="AK385" i="15"/>
  <c r="AJ385" i="15"/>
  <c r="AI385" i="15"/>
  <c r="S383" i="15"/>
  <c r="AA383" i="15" s="1"/>
  <c r="AQ382" i="15"/>
  <c r="AI382" i="15"/>
  <c r="AA382" i="15"/>
  <c r="S382" i="15"/>
  <c r="F381" i="15"/>
  <c r="AO376" i="15"/>
  <c r="AN376" i="15"/>
  <c r="AM376" i="15"/>
  <c r="AL376" i="15"/>
  <c r="AK376" i="15"/>
  <c r="AJ376" i="15"/>
  <c r="AI376" i="15"/>
  <c r="AO375" i="15"/>
  <c r="AN375" i="15"/>
  <c r="AM375" i="15"/>
  <c r="AL375" i="15"/>
  <c r="AK375" i="15"/>
  <c r="AJ375" i="15"/>
  <c r="AI375" i="15"/>
  <c r="AO374" i="15"/>
  <c r="AN374" i="15"/>
  <c r="AM374" i="15"/>
  <c r="AL374" i="15"/>
  <c r="AK374" i="15"/>
  <c r="AJ374" i="15"/>
  <c r="AI374" i="15"/>
  <c r="AO373" i="15"/>
  <c r="AN373" i="15"/>
  <c r="AM373" i="15"/>
  <c r="AL373" i="15"/>
  <c r="AK373" i="15"/>
  <c r="AJ373" i="15"/>
  <c r="AI373" i="15"/>
  <c r="AO372" i="15"/>
  <c r="AN372" i="15"/>
  <c r="AM372" i="15"/>
  <c r="AL372" i="15"/>
  <c r="AK372" i="15"/>
  <c r="AJ372" i="15"/>
  <c r="AI372" i="15"/>
  <c r="AO371" i="15"/>
  <c r="AN371" i="15"/>
  <c r="AM371" i="15"/>
  <c r="AL371" i="15"/>
  <c r="AK371" i="15"/>
  <c r="AJ371" i="15"/>
  <c r="AI371" i="15"/>
  <c r="AO370" i="15"/>
  <c r="AN370" i="15"/>
  <c r="AM370" i="15"/>
  <c r="AL370" i="15"/>
  <c r="AK370" i="15"/>
  <c r="AJ370" i="15"/>
  <c r="AI370" i="15"/>
  <c r="AO369" i="15"/>
  <c r="AN369" i="15"/>
  <c r="AM369" i="15"/>
  <c r="AL369" i="15"/>
  <c r="AK369" i="15"/>
  <c r="AJ369" i="15"/>
  <c r="AI369" i="15"/>
  <c r="AO368" i="15"/>
  <c r="AN368" i="15"/>
  <c r="AM368" i="15"/>
  <c r="AL368" i="15"/>
  <c r="AK368" i="15"/>
  <c r="AJ368" i="15"/>
  <c r="AI368" i="15"/>
  <c r="AO367" i="15"/>
  <c r="AN367" i="15"/>
  <c r="AM367" i="15"/>
  <c r="AL367" i="15"/>
  <c r="AK367" i="15"/>
  <c r="AJ367" i="15"/>
  <c r="AI367" i="15"/>
  <c r="AO366" i="15"/>
  <c r="AN366" i="15"/>
  <c r="AM366" i="15"/>
  <c r="AL366" i="15"/>
  <c r="AK366" i="15"/>
  <c r="AJ366" i="15"/>
  <c r="AI366" i="15"/>
  <c r="AO365" i="15"/>
  <c r="AN365" i="15"/>
  <c r="AM365" i="15"/>
  <c r="AL365" i="15"/>
  <c r="AK365" i="15"/>
  <c r="AJ365" i="15"/>
  <c r="AI365" i="15"/>
  <c r="AO364" i="15"/>
  <c r="AN364" i="15"/>
  <c r="AM364" i="15"/>
  <c r="AL364" i="15"/>
  <c r="AK364" i="15"/>
  <c r="AJ364" i="15"/>
  <c r="AI364" i="15"/>
  <c r="AO363" i="15"/>
  <c r="AN363" i="15"/>
  <c r="AM363" i="15"/>
  <c r="AL363" i="15"/>
  <c r="AK363" i="15"/>
  <c r="AJ363" i="15"/>
  <c r="AI363" i="15"/>
  <c r="AO362" i="15"/>
  <c r="AN362" i="15"/>
  <c r="AM362" i="15"/>
  <c r="AL362" i="15"/>
  <c r="AK362" i="15"/>
  <c r="AJ362" i="15"/>
  <c r="AI362" i="15"/>
  <c r="AO361" i="15"/>
  <c r="AN361" i="15"/>
  <c r="AM361" i="15"/>
  <c r="AL361" i="15"/>
  <c r="AK361" i="15"/>
  <c r="AJ361" i="15"/>
  <c r="AI361" i="15"/>
  <c r="AO360" i="15"/>
  <c r="AN360" i="15"/>
  <c r="AM360" i="15"/>
  <c r="AL360" i="15"/>
  <c r="AK360" i="15"/>
  <c r="AJ360" i="15"/>
  <c r="AI360" i="15"/>
  <c r="AO359" i="15"/>
  <c r="AN359" i="15"/>
  <c r="AM359" i="15"/>
  <c r="AL359" i="15"/>
  <c r="AK359" i="15"/>
  <c r="AJ359" i="15"/>
  <c r="AI359" i="15"/>
  <c r="AI357" i="15"/>
  <c r="AI355" i="15"/>
  <c r="AI354" i="15"/>
  <c r="AI353" i="15"/>
  <c r="AI352" i="15"/>
  <c r="AI351" i="15"/>
  <c r="S349" i="15"/>
  <c r="AQ349" i="15" s="1"/>
  <c r="AQ348" i="15"/>
  <c r="AI348" i="15"/>
  <c r="AA348" i="15"/>
  <c r="S348" i="15"/>
  <c r="H347" i="15"/>
  <c r="AO340" i="15"/>
  <c r="AN340" i="15"/>
  <c r="AM340" i="15"/>
  <c r="AL340" i="15"/>
  <c r="AK340" i="15"/>
  <c r="AJ340" i="15"/>
  <c r="AI340" i="15"/>
  <c r="C340" i="15"/>
  <c r="AO339" i="15"/>
  <c r="AN339" i="15"/>
  <c r="AM339" i="15"/>
  <c r="AL339" i="15"/>
  <c r="AK339" i="15"/>
  <c r="AJ339" i="15"/>
  <c r="AI339" i="15"/>
  <c r="C339" i="15"/>
  <c r="AO338" i="15"/>
  <c r="AN338" i="15"/>
  <c r="AM338" i="15"/>
  <c r="AL338" i="15"/>
  <c r="AK338" i="15"/>
  <c r="AJ338" i="15"/>
  <c r="AI338" i="15"/>
  <c r="C338" i="15"/>
  <c r="AO337" i="15"/>
  <c r="AN337" i="15"/>
  <c r="AM337" i="15"/>
  <c r="AL337" i="15"/>
  <c r="AK337" i="15"/>
  <c r="AJ337" i="15"/>
  <c r="AI337" i="15"/>
  <c r="C337" i="15"/>
  <c r="AO336" i="15"/>
  <c r="AN336" i="15"/>
  <c r="AM336" i="15"/>
  <c r="AL336" i="15"/>
  <c r="AK336" i="15"/>
  <c r="AJ336" i="15"/>
  <c r="AI336" i="15"/>
  <c r="C336" i="15"/>
  <c r="AO335" i="15"/>
  <c r="AN335" i="15"/>
  <c r="AM335" i="15"/>
  <c r="AL335" i="15"/>
  <c r="AK335" i="15"/>
  <c r="AJ335" i="15"/>
  <c r="AI335" i="15"/>
  <c r="C335" i="15"/>
  <c r="AO334" i="15"/>
  <c r="AN334" i="15"/>
  <c r="AM334" i="15"/>
  <c r="AL334" i="15"/>
  <c r="AK334" i="15"/>
  <c r="AJ334" i="15"/>
  <c r="AI334" i="15"/>
  <c r="C334" i="15"/>
  <c r="AO333" i="15"/>
  <c r="AN333" i="15"/>
  <c r="AM333" i="15"/>
  <c r="AL333" i="15"/>
  <c r="AK333" i="15"/>
  <c r="AJ333" i="15"/>
  <c r="AI333" i="15"/>
  <c r="C333" i="15"/>
  <c r="AO332" i="15"/>
  <c r="AN332" i="15"/>
  <c r="AM332" i="15"/>
  <c r="AL332" i="15"/>
  <c r="AK332" i="15"/>
  <c r="AJ332" i="15"/>
  <c r="AI332" i="15"/>
  <c r="C332" i="15"/>
  <c r="AO331" i="15"/>
  <c r="AN331" i="15"/>
  <c r="AM331" i="15"/>
  <c r="AL331" i="15"/>
  <c r="AK331" i="15"/>
  <c r="AJ331" i="15"/>
  <c r="AI331" i="15"/>
  <c r="C331" i="15"/>
  <c r="AO330" i="15"/>
  <c r="AN330" i="15"/>
  <c r="AM330" i="15"/>
  <c r="AL330" i="15"/>
  <c r="AK330" i="15"/>
  <c r="AJ330" i="15"/>
  <c r="AI330" i="15"/>
  <c r="C330" i="15"/>
  <c r="AO329" i="15"/>
  <c r="AN329" i="15"/>
  <c r="AM329" i="15"/>
  <c r="AL329" i="15"/>
  <c r="AK329" i="15"/>
  <c r="AJ329" i="15"/>
  <c r="AI329" i="15"/>
  <c r="C329" i="15"/>
  <c r="AO328" i="15"/>
  <c r="AN328" i="15"/>
  <c r="AM328" i="15"/>
  <c r="AL328" i="15"/>
  <c r="AK328" i="15"/>
  <c r="AJ328" i="15"/>
  <c r="AI328" i="15"/>
  <c r="C328" i="15"/>
  <c r="AO327" i="15"/>
  <c r="AN327" i="15"/>
  <c r="AM327" i="15"/>
  <c r="AL327" i="15"/>
  <c r="AK327" i="15"/>
  <c r="AJ327" i="15"/>
  <c r="AI327" i="15"/>
  <c r="C327" i="15"/>
  <c r="AO326" i="15"/>
  <c r="AN326" i="15"/>
  <c r="AM326" i="15"/>
  <c r="AL326" i="15"/>
  <c r="AK326" i="15"/>
  <c r="AJ326" i="15"/>
  <c r="AI326" i="15"/>
  <c r="C326" i="15"/>
  <c r="AO325" i="15"/>
  <c r="AN325" i="15"/>
  <c r="AM325" i="15"/>
  <c r="AL325" i="15"/>
  <c r="AK325" i="15"/>
  <c r="AJ325" i="15"/>
  <c r="AI325" i="15"/>
  <c r="C325" i="15"/>
  <c r="AO324" i="15"/>
  <c r="AN324" i="15"/>
  <c r="AM324" i="15"/>
  <c r="AL324" i="15"/>
  <c r="AK324" i="15"/>
  <c r="AJ324" i="15"/>
  <c r="AI324" i="15"/>
  <c r="C324" i="15"/>
  <c r="AO323" i="15"/>
  <c r="AN323" i="15"/>
  <c r="AM323" i="15"/>
  <c r="AL323" i="15"/>
  <c r="AK323" i="15"/>
  <c r="AJ323" i="15"/>
  <c r="AI323" i="15"/>
  <c r="C323" i="15"/>
  <c r="AO322" i="15"/>
  <c r="AN322" i="15"/>
  <c r="AM322" i="15"/>
  <c r="AL322" i="15"/>
  <c r="AK322" i="15"/>
  <c r="AJ322" i="15"/>
  <c r="AI322" i="15"/>
  <c r="C322" i="15"/>
  <c r="AO321" i="15"/>
  <c r="AN321" i="15"/>
  <c r="AM321" i="15"/>
  <c r="AL321" i="15"/>
  <c r="AK321" i="15"/>
  <c r="AJ321" i="15"/>
  <c r="AI321" i="15"/>
  <c r="C321" i="15"/>
  <c r="B314" i="33" s="1"/>
  <c r="AO319" i="15"/>
  <c r="AN319" i="15"/>
  <c r="AM319" i="15"/>
  <c r="AL319" i="15"/>
  <c r="AK319" i="15"/>
  <c r="AJ319" i="15"/>
  <c r="AI319" i="15"/>
  <c r="C319" i="15"/>
  <c r="AO318" i="15"/>
  <c r="AN318" i="15"/>
  <c r="AM318" i="15"/>
  <c r="AL318" i="15"/>
  <c r="AK318" i="15"/>
  <c r="AJ318" i="15"/>
  <c r="AI318" i="15"/>
  <c r="C318" i="15"/>
  <c r="AO317" i="15"/>
  <c r="AN317" i="15"/>
  <c r="AM317" i="15"/>
  <c r="AL317" i="15"/>
  <c r="AK317" i="15"/>
  <c r="AJ317" i="15"/>
  <c r="AI317" i="15"/>
  <c r="C317" i="15"/>
  <c r="AO316" i="15"/>
  <c r="AN316" i="15"/>
  <c r="AM316" i="15"/>
  <c r="AL316" i="15"/>
  <c r="AK316" i="15"/>
  <c r="AJ316" i="15"/>
  <c r="AI316" i="15"/>
  <c r="C316" i="15"/>
  <c r="AO315" i="15"/>
  <c r="AN315" i="15"/>
  <c r="AM315" i="15"/>
  <c r="AL315" i="15"/>
  <c r="AK315" i="15"/>
  <c r="AJ315" i="15"/>
  <c r="AI315" i="15"/>
  <c r="C315" i="15"/>
  <c r="AO314" i="15"/>
  <c r="AN314" i="15"/>
  <c r="AM314" i="15"/>
  <c r="AL314" i="15"/>
  <c r="AK314" i="15"/>
  <c r="AJ314" i="15"/>
  <c r="AI314" i="15"/>
  <c r="C314" i="15"/>
  <c r="AO313" i="15"/>
  <c r="AN313" i="15"/>
  <c r="AM313" i="15"/>
  <c r="AL313" i="15"/>
  <c r="AK313" i="15"/>
  <c r="AJ313" i="15"/>
  <c r="AI313" i="15"/>
  <c r="C313" i="15"/>
  <c r="AO312" i="15"/>
  <c r="AN312" i="15"/>
  <c r="AM312" i="15"/>
  <c r="AL312" i="15"/>
  <c r="AK312" i="15"/>
  <c r="AJ312" i="15"/>
  <c r="AI312" i="15"/>
  <c r="C312" i="15"/>
  <c r="AO311" i="15"/>
  <c r="AN311" i="15"/>
  <c r="AM311" i="15"/>
  <c r="AL311" i="15"/>
  <c r="AK311" i="15"/>
  <c r="AJ311" i="15"/>
  <c r="AI311" i="15"/>
  <c r="C311" i="15"/>
  <c r="AO310" i="15"/>
  <c r="AN310" i="15"/>
  <c r="AM310" i="15"/>
  <c r="AL310" i="15"/>
  <c r="AK310" i="15"/>
  <c r="AJ310" i="15"/>
  <c r="AI310" i="15"/>
  <c r="C310" i="15"/>
  <c r="AO309" i="15"/>
  <c r="AN309" i="15"/>
  <c r="AM309" i="15"/>
  <c r="AL309" i="15"/>
  <c r="AK309" i="15"/>
  <c r="AJ309" i="15"/>
  <c r="AI309" i="15"/>
  <c r="C309" i="15"/>
  <c r="AO308" i="15"/>
  <c r="AN308" i="15"/>
  <c r="AM308" i="15"/>
  <c r="AL308" i="15"/>
  <c r="AK308" i="15"/>
  <c r="AJ308" i="15"/>
  <c r="AI308" i="15"/>
  <c r="C308" i="15"/>
  <c r="AO307" i="15"/>
  <c r="AN307" i="15"/>
  <c r="AM307" i="15"/>
  <c r="AL307" i="15"/>
  <c r="AK307" i="15"/>
  <c r="AJ307" i="15"/>
  <c r="AI307" i="15"/>
  <c r="C307" i="15"/>
  <c r="AO306" i="15"/>
  <c r="AN306" i="15"/>
  <c r="AM306" i="15"/>
  <c r="AL306" i="15"/>
  <c r="AK306" i="15"/>
  <c r="AJ306" i="15"/>
  <c r="AI306" i="15"/>
  <c r="C306" i="15"/>
  <c r="AO305" i="15"/>
  <c r="AN305" i="15"/>
  <c r="AM305" i="15"/>
  <c r="AL305" i="15"/>
  <c r="AK305" i="15"/>
  <c r="AJ305" i="15"/>
  <c r="AI305" i="15"/>
  <c r="C305" i="15"/>
  <c r="AO304" i="15"/>
  <c r="AN304" i="15"/>
  <c r="AM304" i="15"/>
  <c r="AL304" i="15"/>
  <c r="AK304" i="15"/>
  <c r="AJ304" i="15"/>
  <c r="AI304" i="15"/>
  <c r="C304" i="15"/>
  <c r="AO303" i="15"/>
  <c r="AN303" i="15"/>
  <c r="AM303" i="15"/>
  <c r="AL303" i="15"/>
  <c r="AK303" i="15"/>
  <c r="AJ303" i="15"/>
  <c r="AI303" i="15"/>
  <c r="C303" i="15"/>
  <c r="AO302" i="15"/>
  <c r="AN302" i="15"/>
  <c r="AM302" i="15"/>
  <c r="AL302" i="15"/>
  <c r="AK302" i="15"/>
  <c r="AJ302" i="15"/>
  <c r="AI302" i="15"/>
  <c r="C302" i="15"/>
  <c r="AO301" i="15"/>
  <c r="AN301" i="15"/>
  <c r="AM301" i="15"/>
  <c r="AL301" i="15"/>
  <c r="AK301" i="15"/>
  <c r="AJ301" i="15"/>
  <c r="AI301" i="15"/>
  <c r="C301" i="15"/>
  <c r="C300" i="15"/>
  <c r="B313" i="33" s="1"/>
  <c r="AO298" i="15"/>
  <c r="AN298" i="15"/>
  <c r="AM298" i="15"/>
  <c r="AL298" i="15"/>
  <c r="AK298" i="15"/>
  <c r="AJ298" i="15"/>
  <c r="AI298" i="15"/>
  <c r="C298" i="15"/>
  <c r="AO297" i="15"/>
  <c r="AN297" i="15"/>
  <c r="AM297" i="15"/>
  <c r="AL297" i="15"/>
  <c r="AK297" i="15"/>
  <c r="AJ297" i="15"/>
  <c r="AI297" i="15"/>
  <c r="C297" i="15"/>
  <c r="AO296" i="15"/>
  <c r="AN296" i="15"/>
  <c r="AM296" i="15"/>
  <c r="AL296" i="15"/>
  <c r="AK296" i="15"/>
  <c r="AJ296" i="15"/>
  <c r="AI296" i="15"/>
  <c r="C296" i="15"/>
  <c r="AO295" i="15"/>
  <c r="AN295" i="15"/>
  <c r="AM295" i="15"/>
  <c r="AL295" i="15"/>
  <c r="AK295" i="15"/>
  <c r="AJ295" i="15"/>
  <c r="AI295" i="15"/>
  <c r="C295" i="15"/>
  <c r="AO294" i="15"/>
  <c r="AN294" i="15"/>
  <c r="AM294" i="15"/>
  <c r="AL294" i="15"/>
  <c r="AK294" i="15"/>
  <c r="AJ294" i="15"/>
  <c r="AI294" i="15"/>
  <c r="C294" i="15"/>
  <c r="AO293" i="15"/>
  <c r="AN293" i="15"/>
  <c r="AM293" i="15"/>
  <c r="AL293" i="15"/>
  <c r="AK293" i="15"/>
  <c r="AJ293" i="15"/>
  <c r="AI293" i="15"/>
  <c r="C293" i="15"/>
  <c r="AO292" i="15"/>
  <c r="AN292" i="15"/>
  <c r="AM292" i="15"/>
  <c r="AL292" i="15"/>
  <c r="AK292" i="15"/>
  <c r="AJ292" i="15"/>
  <c r="AI292" i="15"/>
  <c r="C292" i="15"/>
  <c r="AO291" i="15"/>
  <c r="AN291" i="15"/>
  <c r="AM291" i="15"/>
  <c r="AL291" i="15"/>
  <c r="AK291" i="15"/>
  <c r="AJ291" i="15"/>
  <c r="AI291" i="15"/>
  <c r="C291" i="15"/>
  <c r="AO290" i="15"/>
  <c r="AN290" i="15"/>
  <c r="AM290" i="15"/>
  <c r="AL290" i="15"/>
  <c r="AK290" i="15"/>
  <c r="AJ290" i="15"/>
  <c r="AI290" i="15"/>
  <c r="C290" i="15"/>
  <c r="AO289" i="15"/>
  <c r="AN289" i="15"/>
  <c r="AM289" i="15"/>
  <c r="AL289" i="15"/>
  <c r="AK289" i="15"/>
  <c r="AJ289" i="15"/>
  <c r="AI289" i="15"/>
  <c r="C289" i="15"/>
  <c r="AO288" i="15"/>
  <c r="AN288" i="15"/>
  <c r="AM288" i="15"/>
  <c r="AL288" i="15"/>
  <c r="AK288" i="15"/>
  <c r="AJ288" i="15"/>
  <c r="AI288" i="15"/>
  <c r="C288" i="15"/>
  <c r="AO287" i="15"/>
  <c r="AN287" i="15"/>
  <c r="AM287" i="15"/>
  <c r="AL287" i="15"/>
  <c r="AK287" i="15"/>
  <c r="AJ287" i="15"/>
  <c r="AI287" i="15"/>
  <c r="C287" i="15"/>
  <c r="AO286" i="15"/>
  <c r="AN286" i="15"/>
  <c r="AM286" i="15"/>
  <c r="AL286" i="15"/>
  <c r="AK286" i="15"/>
  <c r="AJ286" i="15"/>
  <c r="AI286" i="15"/>
  <c r="C286" i="15"/>
  <c r="AO285" i="15"/>
  <c r="AN285" i="15"/>
  <c r="AM285" i="15"/>
  <c r="AL285" i="15"/>
  <c r="AK285" i="15"/>
  <c r="AJ285" i="15"/>
  <c r="AI285" i="15"/>
  <c r="C285" i="15"/>
  <c r="AO284" i="15"/>
  <c r="AN284" i="15"/>
  <c r="AM284" i="15"/>
  <c r="AL284" i="15"/>
  <c r="AK284" i="15"/>
  <c r="AJ284" i="15"/>
  <c r="AI284" i="15"/>
  <c r="C284" i="15"/>
  <c r="AO283" i="15"/>
  <c r="AN283" i="15"/>
  <c r="AM283" i="15"/>
  <c r="AL283" i="15"/>
  <c r="AK283" i="15"/>
  <c r="AJ283" i="15"/>
  <c r="AI283" i="15"/>
  <c r="C283" i="15"/>
  <c r="C282" i="15"/>
  <c r="C281" i="15"/>
  <c r="C280" i="15"/>
  <c r="C279" i="15"/>
  <c r="AO278" i="15"/>
  <c r="AN278" i="15"/>
  <c r="AM278" i="15"/>
  <c r="AL278" i="15"/>
  <c r="AK278" i="15"/>
  <c r="AJ278" i="15"/>
  <c r="AI278" i="15"/>
  <c r="C278" i="15"/>
  <c r="AO277" i="15"/>
  <c r="AN277" i="15"/>
  <c r="AM277" i="15"/>
  <c r="AL277" i="15"/>
  <c r="AK277" i="15"/>
  <c r="AJ277" i="15"/>
  <c r="AI277" i="15"/>
  <c r="C277" i="15"/>
  <c r="AO276" i="15"/>
  <c r="AN276" i="15"/>
  <c r="AM276" i="15"/>
  <c r="AL276" i="15"/>
  <c r="AK276" i="15"/>
  <c r="AJ276" i="15"/>
  <c r="AI276" i="15"/>
  <c r="C276" i="15"/>
  <c r="AO275" i="15"/>
  <c r="AN275" i="15"/>
  <c r="AM275" i="15"/>
  <c r="AL275" i="15"/>
  <c r="AK275" i="15"/>
  <c r="AJ275" i="15"/>
  <c r="AI275" i="15"/>
  <c r="C275" i="15"/>
  <c r="AO274" i="15"/>
  <c r="AN274" i="15"/>
  <c r="AM274" i="15"/>
  <c r="AL274" i="15"/>
  <c r="AK274" i="15"/>
  <c r="AJ274" i="15"/>
  <c r="AI274" i="15"/>
  <c r="C274" i="15"/>
  <c r="AO273" i="15"/>
  <c r="AN273" i="15"/>
  <c r="AM273" i="15"/>
  <c r="AL273" i="15"/>
  <c r="AK273" i="15"/>
  <c r="AJ273" i="15"/>
  <c r="AI273" i="15"/>
  <c r="C273" i="15"/>
  <c r="AO272" i="15"/>
  <c r="AN272" i="15"/>
  <c r="AM272" i="15"/>
  <c r="AL272" i="15"/>
  <c r="AK272" i="15"/>
  <c r="AJ272" i="15"/>
  <c r="AI272" i="15"/>
  <c r="C272" i="15"/>
  <c r="AO271" i="15"/>
  <c r="AN271" i="15"/>
  <c r="AM271" i="15"/>
  <c r="AL271" i="15"/>
  <c r="AK271" i="15"/>
  <c r="AJ271" i="15"/>
  <c r="AI271" i="15"/>
  <c r="C271" i="15"/>
  <c r="AO270" i="15"/>
  <c r="AN270" i="15"/>
  <c r="AM270" i="15"/>
  <c r="AL270" i="15"/>
  <c r="AK270" i="15"/>
  <c r="AJ270" i="15"/>
  <c r="AI270" i="15"/>
  <c r="C270" i="15"/>
  <c r="AO269" i="15"/>
  <c r="AN269" i="15"/>
  <c r="AM269" i="15"/>
  <c r="AL269" i="15"/>
  <c r="AK269" i="15"/>
  <c r="AJ269" i="15"/>
  <c r="AI269" i="15"/>
  <c r="C269" i="15"/>
  <c r="AO268" i="15"/>
  <c r="AN268" i="15"/>
  <c r="AM268" i="15"/>
  <c r="AL268" i="15"/>
  <c r="AK268" i="15"/>
  <c r="AJ268" i="15"/>
  <c r="AI268" i="15"/>
  <c r="C268" i="15"/>
  <c r="AO267" i="15"/>
  <c r="AN267" i="15"/>
  <c r="AM267" i="15"/>
  <c r="AL267" i="15"/>
  <c r="AK267" i="15"/>
  <c r="AJ267" i="15"/>
  <c r="AI267" i="15"/>
  <c r="C267" i="15"/>
  <c r="AO266" i="15"/>
  <c r="AN266" i="15"/>
  <c r="AM266" i="15"/>
  <c r="AL266" i="15"/>
  <c r="AK266" i="15"/>
  <c r="AJ266" i="15"/>
  <c r="AI266" i="15"/>
  <c r="C266" i="15"/>
  <c r="AO265" i="15"/>
  <c r="AN265" i="15"/>
  <c r="AM265" i="15"/>
  <c r="AL265" i="15"/>
  <c r="AK265" i="15"/>
  <c r="AJ265" i="15"/>
  <c r="AI265" i="15"/>
  <c r="C265" i="15"/>
  <c r="AO264" i="15"/>
  <c r="AN264" i="15"/>
  <c r="AM264" i="15"/>
  <c r="AL264" i="15"/>
  <c r="AK264" i="15"/>
  <c r="AJ264" i="15"/>
  <c r="AI264" i="15"/>
  <c r="C264" i="15"/>
  <c r="AO263" i="15"/>
  <c r="AN263" i="15"/>
  <c r="AM263" i="15"/>
  <c r="AL263" i="15"/>
  <c r="AK263" i="15"/>
  <c r="AJ263" i="15"/>
  <c r="AI263" i="15"/>
  <c r="C263" i="15"/>
  <c r="AO262" i="15"/>
  <c r="AN262" i="15"/>
  <c r="AM262" i="15"/>
  <c r="AL262" i="15"/>
  <c r="AK262" i="15"/>
  <c r="AJ262" i="15"/>
  <c r="AI262" i="15"/>
  <c r="C262" i="15"/>
  <c r="AO261" i="15"/>
  <c r="AN261" i="15"/>
  <c r="AM261" i="15"/>
  <c r="AL261" i="15"/>
  <c r="AK261" i="15"/>
  <c r="AJ261" i="15"/>
  <c r="AI261" i="15"/>
  <c r="C261" i="15"/>
  <c r="AO260" i="15"/>
  <c r="AN260" i="15"/>
  <c r="AM260" i="15"/>
  <c r="AL260" i="15"/>
  <c r="AK260" i="15"/>
  <c r="AJ260" i="15"/>
  <c r="AI260" i="15"/>
  <c r="C260" i="15"/>
  <c r="AO259" i="15"/>
  <c r="AN259" i="15"/>
  <c r="AM259" i="15"/>
  <c r="AL259" i="15"/>
  <c r="AK259" i="15"/>
  <c r="AJ259" i="15"/>
  <c r="AI259" i="15"/>
  <c r="C259" i="15"/>
  <c r="AO258" i="15"/>
  <c r="AN258" i="15"/>
  <c r="AM258" i="15"/>
  <c r="AL258" i="15"/>
  <c r="AK258" i="15"/>
  <c r="AJ258" i="15"/>
  <c r="AI258" i="15"/>
  <c r="C258" i="15"/>
  <c r="AO257" i="15"/>
  <c r="AN257" i="15"/>
  <c r="AM257" i="15"/>
  <c r="AL257" i="15"/>
  <c r="AK257" i="15"/>
  <c r="AJ257" i="15"/>
  <c r="AI257" i="15"/>
  <c r="C257" i="15"/>
  <c r="C256" i="15"/>
  <c r="C255" i="15"/>
  <c r="C254" i="15"/>
  <c r="B312" i="33" s="1"/>
  <c r="AO252" i="15"/>
  <c r="AN252" i="15"/>
  <c r="AM252" i="15"/>
  <c r="AL252" i="15"/>
  <c r="AK252" i="15"/>
  <c r="AJ252" i="15"/>
  <c r="AI252" i="15"/>
  <c r="C252" i="15"/>
  <c r="AO251" i="15"/>
  <c r="AN251" i="15"/>
  <c r="AM251" i="15"/>
  <c r="AL251" i="15"/>
  <c r="AK251" i="15"/>
  <c r="AJ251" i="15"/>
  <c r="AI251" i="15"/>
  <c r="C251" i="15"/>
  <c r="AO250" i="15"/>
  <c r="AN250" i="15"/>
  <c r="AM250" i="15"/>
  <c r="AL250" i="15"/>
  <c r="AK250" i="15"/>
  <c r="AJ250" i="15"/>
  <c r="AI250" i="15"/>
  <c r="C250" i="15"/>
  <c r="AO249" i="15"/>
  <c r="AN249" i="15"/>
  <c r="AM249" i="15"/>
  <c r="AL249" i="15"/>
  <c r="AK249" i="15"/>
  <c r="AJ249" i="15"/>
  <c r="AI249" i="15"/>
  <c r="C249" i="15"/>
  <c r="AO248" i="15"/>
  <c r="AN248" i="15"/>
  <c r="AM248" i="15"/>
  <c r="AL248" i="15"/>
  <c r="AK248" i="15"/>
  <c r="AJ248" i="15"/>
  <c r="AI248" i="15"/>
  <c r="C248" i="15"/>
  <c r="AO247" i="15"/>
  <c r="AN247" i="15"/>
  <c r="AM247" i="15"/>
  <c r="AL247" i="15"/>
  <c r="AK247" i="15"/>
  <c r="AJ247" i="15"/>
  <c r="AI247" i="15"/>
  <c r="C247" i="15"/>
  <c r="AO246" i="15"/>
  <c r="AN246" i="15"/>
  <c r="AM246" i="15"/>
  <c r="AL246" i="15"/>
  <c r="AK246" i="15"/>
  <c r="AJ246" i="15"/>
  <c r="AI246" i="15"/>
  <c r="C246" i="15"/>
  <c r="AO245" i="15"/>
  <c r="AN245" i="15"/>
  <c r="AM245" i="15"/>
  <c r="AL245" i="15"/>
  <c r="AK245" i="15"/>
  <c r="AJ245" i="15"/>
  <c r="AI245" i="15"/>
  <c r="C245" i="15"/>
  <c r="C244" i="15"/>
  <c r="C243" i="15"/>
  <c r="AO242" i="15"/>
  <c r="AN242" i="15"/>
  <c r="AM242" i="15"/>
  <c r="AL242" i="15"/>
  <c r="AK242" i="15"/>
  <c r="AJ242" i="15"/>
  <c r="AI242" i="15"/>
  <c r="C242" i="15"/>
  <c r="AO241" i="15"/>
  <c r="AN241" i="15"/>
  <c r="AM241" i="15"/>
  <c r="AL241" i="15"/>
  <c r="AK241" i="15"/>
  <c r="AJ241" i="15"/>
  <c r="AI241" i="15"/>
  <c r="C241" i="15"/>
  <c r="AO240" i="15"/>
  <c r="AN240" i="15"/>
  <c r="AM240" i="15"/>
  <c r="AL240" i="15"/>
  <c r="AK240" i="15"/>
  <c r="AJ240" i="15"/>
  <c r="AI240" i="15"/>
  <c r="C240" i="15"/>
  <c r="AO239" i="15"/>
  <c r="AN239" i="15"/>
  <c r="AM239" i="15"/>
  <c r="AL239" i="15"/>
  <c r="AK239" i="15"/>
  <c r="AJ239" i="15"/>
  <c r="AI239" i="15"/>
  <c r="C239" i="15"/>
  <c r="AO238" i="15"/>
  <c r="AN238" i="15"/>
  <c r="AM238" i="15"/>
  <c r="AL238" i="15"/>
  <c r="AK238" i="15"/>
  <c r="AJ238" i="15"/>
  <c r="AI238" i="15"/>
  <c r="C238" i="15"/>
  <c r="AO237" i="15"/>
  <c r="AN237" i="15"/>
  <c r="AM237" i="15"/>
  <c r="AL237" i="15"/>
  <c r="AK237" i="15"/>
  <c r="AJ237" i="15"/>
  <c r="AI237" i="15"/>
  <c r="C237" i="15"/>
  <c r="AO236" i="15"/>
  <c r="AN236" i="15"/>
  <c r="AM236" i="15"/>
  <c r="AL236" i="15"/>
  <c r="AK236" i="15"/>
  <c r="AJ236" i="15"/>
  <c r="AI236" i="15"/>
  <c r="C236" i="15"/>
  <c r="AO235" i="15"/>
  <c r="AN235" i="15"/>
  <c r="AM235" i="15"/>
  <c r="AL235" i="15"/>
  <c r="AK235" i="15"/>
  <c r="AJ235" i="15"/>
  <c r="AI235" i="15"/>
  <c r="C235" i="15"/>
  <c r="AO234" i="15"/>
  <c r="AN234" i="15"/>
  <c r="AM234" i="15"/>
  <c r="AL234" i="15"/>
  <c r="AK234" i="15"/>
  <c r="AJ234" i="15"/>
  <c r="AI234" i="15"/>
  <c r="C234" i="15"/>
  <c r="AO233" i="15"/>
  <c r="AN233" i="15"/>
  <c r="AM233" i="15"/>
  <c r="AL233" i="15"/>
  <c r="AK233" i="15"/>
  <c r="AJ233" i="15"/>
  <c r="AI233" i="15"/>
  <c r="C233" i="15"/>
  <c r="AO232" i="15"/>
  <c r="AN232" i="15"/>
  <c r="AM232" i="15"/>
  <c r="AL232" i="15"/>
  <c r="AK232" i="15"/>
  <c r="AJ232" i="15"/>
  <c r="AI232" i="15"/>
  <c r="C232" i="15"/>
  <c r="AO231" i="15"/>
  <c r="AN231" i="15"/>
  <c r="AM231" i="15"/>
  <c r="AL231" i="15"/>
  <c r="AK231" i="15"/>
  <c r="AJ231" i="15"/>
  <c r="AI231" i="15"/>
  <c r="C231" i="15"/>
  <c r="AO230" i="15"/>
  <c r="AN230" i="15"/>
  <c r="AM230" i="15"/>
  <c r="AL230" i="15"/>
  <c r="AK230" i="15"/>
  <c r="AJ230" i="15"/>
  <c r="AI230" i="15"/>
  <c r="C230" i="15"/>
  <c r="AO229" i="15"/>
  <c r="AN229" i="15"/>
  <c r="AM229" i="15"/>
  <c r="AL229" i="15"/>
  <c r="AK229" i="15"/>
  <c r="AJ229" i="15"/>
  <c r="AI229" i="15"/>
  <c r="C229" i="15"/>
  <c r="AO228" i="15"/>
  <c r="AN228" i="15"/>
  <c r="AM228" i="15"/>
  <c r="AL228" i="15"/>
  <c r="AK228" i="15"/>
  <c r="AJ228" i="15"/>
  <c r="AI228" i="15"/>
  <c r="C228" i="15"/>
  <c r="AO227" i="15"/>
  <c r="AN227" i="15"/>
  <c r="AM227" i="15"/>
  <c r="AL227" i="15"/>
  <c r="AK227" i="15"/>
  <c r="AJ227" i="15"/>
  <c r="AI227" i="15"/>
  <c r="C227" i="15"/>
  <c r="AO226" i="15"/>
  <c r="AN226" i="15"/>
  <c r="AM226" i="15"/>
  <c r="AL226" i="15"/>
  <c r="AK226" i="15"/>
  <c r="AJ226" i="15"/>
  <c r="AI226" i="15"/>
  <c r="C226" i="15"/>
  <c r="AO225" i="15"/>
  <c r="AN225" i="15"/>
  <c r="AM225" i="15"/>
  <c r="AL225" i="15"/>
  <c r="AK225" i="15"/>
  <c r="AJ225" i="15"/>
  <c r="AI225" i="15"/>
  <c r="C225" i="15"/>
  <c r="C224" i="15"/>
  <c r="C223" i="15"/>
  <c r="B311" i="33" s="1"/>
  <c r="AQ221" i="15"/>
  <c r="AI221" i="15"/>
  <c r="AA221" i="15"/>
  <c r="AQ220" i="15"/>
  <c r="AI220" i="15"/>
  <c r="AA220" i="15"/>
  <c r="S220" i="15"/>
  <c r="K220" i="15"/>
  <c r="AO215" i="15"/>
  <c r="AN215" i="15"/>
  <c r="AM215" i="15"/>
  <c r="AL215" i="15"/>
  <c r="AK215" i="15"/>
  <c r="AJ215" i="15"/>
  <c r="P215" i="15"/>
  <c r="P340" i="15" s="1"/>
  <c r="O215" i="15"/>
  <c r="O340" i="15" s="1"/>
  <c r="E340" i="15"/>
  <c r="D340" i="15"/>
  <c r="AO214" i="15"/>
  <c r="AN214" i="15"/>
  <c r="AM214" i="15"/>
  <c r="AL214" i="15"/>
  <c r="AK214" i="15"/>
  <c r="AJ214" i="15"/>
  <c r="P214" i="15"/>
  <c r="P339" i="15" s="1"/>
  <c r="O214" i="15"/>
  <c r="O339" i="15" s="1"/>
  <c r="E339" i="15"/>
  <c r="D339" i="15"/>
  <c r="AO213" i="15"/>
  <c r="AN213" i="15"/>
  <c r="AM213" i="15"/>
  <c r="AL213" i="15"/>
  <c r="AK213" i="15"/>
  <c r="AJ213" i="15"/>
  <c r="P213" i="15"/>
  <c r="P338" i="15" s="1"/>
  <c r="O213" i="15"/>
  <c r="O338" i="15" s="1"/>
  <c r="D338" i="15"/>
  <c r="AO212" i="15"/>
  <c r="AN212" i="15"/>
  <c r="AM212" i="15"/>
  <c r="AL212" i="15"/>
  <c r="AK212" i="15"/>
  <c r="AJ212" i="15"/>
  <c r="P212" i="15"/>
  <c r="P337" i="15" s="1"/>
  <c r="O212" i="15"/>
  <c r="O337" i="15" s="1"/>
  <c r="E337" i="15"/>
  <c r="D337" i="15"/>
  <c r="AO211" i="15"/>
  <c r="AN211" i="15"/>
  <c r="AM211" i="15"/>
  <c r="AL211" i="15"/>
  <c r="AK211" i="15"/>
  <c r="AJ211" i="15"/>
  <c r="P211" i="15"/>
  <c r="P336" i="15" s="1"/>
  <c r="O211" i="15"/>
  <c r="O336" i="15" s="1"/>
  <c r="AI211" i="15"/>
  <c r="E336" i="15"/>
  <c r="D336" i="15"/>
  <c r="AO210" i="15"/>
  <c r="AN210" i="15"/>
  <c r="AM210" i="15"/>
  <c r="AL210" i="15"/>
  <c r="AK210" i="15"/>
  <c r="AJ210" i="15"/>
  <c r="P210" i="15"/>
  <c r="P335" i="15" s="1"/>
  <c r="O210" i="15"/>
  <c r="O335" i="15" s="1"/>
  <c r="E335" i="15"/>
  <c r="D335" i="15"/>
  <c r="AO209" i="15"/>
  <c r="AN209" i="15"/>
  <c r="AM209" i="15"/>
  <c r="AL209" i="15"/>
  <c r="AK209" i="15"/>
  <c r="AJ209" i="15"/>
  <c r="P209" i="15"/>
  <c r="P334" i="15" s="1"/>
  <c r="O209" i="15"/>
  <c r="O334" i="15" s="1"/>
  <c r="AI209" i="15"/>
  <c r="D334" i="15"/>
  <c r="AO208" i="15"/>
  <c r="AN208" i="15"/>
  <c r="AM208" i="15"/>
  <c r="AL208" i="15"/>
  <c r="AK208" i="15"/>
  <c r="AJ208" i="15"/>
  <c r="P208" i="15"/>
  <c r="P333" i="15" s="1"/>
  <c r="O208" i="15"/>
  <c r="O333" i="15" s="1"/>
  <c r="D333" i="15"/>
  <c r="AO207" i="15"/>
  <c r="AN207" i="15"/>
  <c r="AM207" i="15"/>
  <c r="AL207" i="15"/>
  <c r="AK207" i="15"/>
  <c r="AJ207" i="15"/>
  <c r="P207" i="15"/>
  <c r="P332" i="15" s="1"/>
  <c r="O207" i="15"/>
  <c r="O332" i="15" s="1"/>
  <c r="E332" i="15"/>
  <c r="D332" i="15"/>
  <c r="AO206" i="15"/>
  <c r="AN206" i="15"/>
  <c r="AM206" i="15"/>
  <c r="AL206" i="15"/>
  <c r="AK206" i="15"/>
  <c r="AJ206" i="15"/>
  <c r="P206" i="15"/>
  <c r="P331" i="15" s="1"/>
  <c r="O206" i="15"/>
  <c r="O331" i="15" s="1"/>
  <c r="E331" i="15"/>
  <c r="D331" i="15"/>
  <c r="AO205" i="15"/>
  <c r="AN205" i="15"/>
  <c r="AM205" i="15"/>
  <c r="AL205" i="15"/>
  <c r="AK205" i="15"/>
  <c r="AJ205" i="15"/>
  <c r="P205" i="15"/>
  <c r="P330" i="15" s="1"/>
  <c r="O205" i="15"/>
  <c r="O330" i="15" s="1"/>
  <c r="D330" i="15"/>
  <c r="AO204" i="15"/>
  <c r="AN204" i="15"/>
  <c r="AM204" i="15"/>
  <c r="AL204" i="15"/>
  <c r="AK204" i="15"/>
  <c r="AJ204" i="15"/>
  <c r="P204" i="15"/>
  <c r="P329" i="15" s="1"/>
  <c r="O204" i="15"/>
  <c r="O329" i="15" s="1"/>
  <c r="E329" i="15"/>
  <c r="D329" i="15"/>
  <c r="AO203" i="15"/>
  <c r="AN203" i="15"/>
  <c r="AM203" i="15"/>
  <c r="AL203" i="15"/>
  <c r="AK203" i="15"/>
  <c r="AJ203" i="15"/>
  <c r="P203" i="15"/>
  <c r="P328" i="15" s="1"/>
  <c r="O203" i="15"/>
  <c r="O328" i="15" s="1"/>
  <c r="AI203" i="15"/>
  <c r="E328" i="15"/>
  <c r="D328" i="15"/>
  <c r="AO202" i="15"/>
  <c r="AN202" i="15"/>
  <c r="AM202" i="15"/>
  <c r="AL202" i="15"/>
  <c r="AK202" i="15"/>
  <c r="AJ202" i="15"/>
  <c r="P202" i="15"/>
  <c r="P327" i="15" s="1"/>
  <c r="O202" i="15"/>
  <c r="O327" i="15" s="1"/>
  <c r="D327" i="15"/>
  <c r="AO201" i="15"/>
  <c r="AN201" i="15"/>
  <c r="AM201" i="15"/>
  <c r="AL201" i="15"/>
  <c r="AK201" i="15"/>
  <c r="AJ201" i="15"/>
  <c r="P201" i="15"/>
  <c r="P326" i="15" s="1"/>
  <c r="O201" i="15"/>
  <c r="O326" i="15" s="1"/>
  <c r="E326" i="15"/>
  <c r="D326" i="15"/>
  <c r="AO200" i="15"/>
  <c r="AN200" i="15"/>
  <c r="AM200" i="15"/>
  <c r="AL200" i="15"/>
  <c r="AK200" i="15"/>
  <c r="AJ200" i="15"/>
  <c r="P200" i="15"/>
  <c r="P325" i="15" s="1"/>
  <c r="O200" i="15"/>
  <c r="O325" i="15" s="1"/>
  <c r="D325" i="15"/>
  <c r="AO199" i="15"/>
  <c r="AN199" i="15"/>
  <c r="AM199" i="15"/>
  <c r="AL199" i="15"/>
  <c r="AK199" i="15"/>
  <c r="AJ199" i="15"/>
  <c r="P199" i="15"/>
  <c r="P324" i="15" s="1"/>
  <c r="O199" i="15"/>
  <c r="O324" i="15" s="1"/>
  <c r="E324" i="15"/>
  <c r="D324" i="15"/>
  <c r="AO198" i="15"/>
  <c r="AN198" i="15"/>
  <c r="AM198" i="15"/>
  <c r="AL198" i="15"/>
  <c r="AK198" i="15"/>
  <c r="AJ198" i="15"/>
  <c r="P198" i="15"/>
  <c r="P323" i="15" s="1"/>
  <c r="O198" i="15"/>
  <c r="O323" i="15" s="1"/>
  <c r="E323" i="15"/>
  <c r="D323" i="15"/>
  <c r="AO197" i="15"/>
  <c r="AN197" i="15"/>
  <c r="AM197" i="15"/>
  <c r="AL197" i="15"/>
  <c r="AK197" i="15"/>
  <c r="AJ197" i="15"/>
  <c r="P197" i="15"/>
  <c r="P322" i="15" s="1"/>
  <c r="O197" i="15"/>
  <c r="O322" i="15" s="1"/>
  <c r="D322" i="15"/>
  <c r="AO196" i="15"/>
  <c r="AN196" i="15"/>
  <c r="AM196" i="15"/>
  <c r="AL196" i="15"/>
  <c r="AK196" i="15"/>
  <c r="AJ196" i="15"/>
  <c r="P196" i="15"/>
  <c r="O196" i="15"/>
  <c r="O321" i="15" s="1"/>
  <c r="E321" i="15"/>
  <c r="D321" i="15"/>
  <c r="AO194" i="15"/>
  <c r="AN194" i="15"/>
  <c r="AM194" i="15"/>
  <c r="AL194" i="15"/>
  <c r="AK194" i="15"/>
  <c r="AJ194" i="15"/>
  <c r="P194" i="15"/>
  <c r="P319" i="15" s="1"/>
  <c r="O194" i="15"/>
  <c r="O319" i="15" s="1"/>
  <c r="D319" i="15"/>
  <c r="AO193" i="15"/>
  <c r="AN193" i="15"/>
  <c r="AM193" i="15"/>
  <c r="AL193" i="15"/>
  <c r="AK193" i="15"/>
  <c r="AJ193" i="15"/>
  <c r="P193" i="15"/>
  <c r="P318" i="15" s="1"/>
  <c r="O193" i="15"/>
  <c r="O318" i="15" s="1"/>
  <c r="E318" i="15"/>
  <c r="D318" i="15"/>
  <c r="AO192" i="15"/>
  <c r="AN192" i="15"/>
  <c r="AM192" i="15"/>
  <c r="AL192" i="15"/>
  <c r="AK192" i="15"/>
  <c r="AJ192" i="15"/>
  <c r="P192" i="15"/>
  <c r="P317" i="15" s="1"/>
  <c r="O192" i="15"/>
  <c r="O317" i="15" s="1"/>
  <c r="E317" i="15"/>
  <c r="D317" i="15"/>
  <c r="AO191" i="15"/>
  <c r="AN191" i="15"/>
  <c r="AM191" i="15"/>
  <c r="AL191" i="15"/>
  <c r="AK191" i="15"/>
  <c r="AJ191" i="15"/>
  <c r="P191" i="15"/>
  <c r="P316" i="15" s="1"/>
  <c r="O191" i="15"/>
  <c r="O316" i="15" s="1"/>
  <c r="AI191" i="15"/>
  <c r="E316" i="15"/>
  <c r="D316" i="15"/>
  <c r="AO190" i="15"/>
  <c r="AN190" i="15"/>
  <c r="AM190" i="15"/>
  <c r="AL190" i="15"/>
  <c r="AK190" i="15"/>
  <c r="AJ190" i="15"/>
  <c r="P190" i="15"/>
  <c r="P315" i="15" s="1"/>
  <c r="O190" i="15"/>
  <c r="O315" i="15" s="1"/>
  <c r="E315" i="15"/>
  <c r="D315" i="15"/>
  <c r="AO189" i="15"/>
  <c r="AN189" i="15"/>
  <c r="AM189" i="15"/>
  <c r="AL189" i="15"/>
  <c r="AK189" i="15"/>
  <c r="AJ189" i="15"/>
  <c r="P189" i="15"/>
  <c r="P314" i="15" s="1"/>
  <c r="O189" i="15"/>
  <c r="O314" i="15" s="1"/>
  <c r="D314" i="15"/>
  <c r="AO188" i="15"/>
  <c r="AN188" i="15"/>
  <c r="AM188" i="15"/>
  <c r="AL188" i="15"/>
  <c r="AK188" i="15"/>
  <c r="AJ188" i="15"/>
  <c r="P188" i="15"/>
  <c r="P313" i="15" s="1"/>
  <c r="O188" i="15"/>
  <c r="O313" i="15" s="1"/>
  <c r="D313" i="15"/>
  <c r="AO187" i="15"/>
  <c r="AN187" i="15"/>
  <c r="AM187" i="15"/>
  <c r="AL187" i="15"/>
  <c r="AK187" i="15"/>
  <c r="AJ187" i="15"/>
  <c r="P187" i="15"/>
  <c r="P312" i="15" s="1"/>
  <c r="O187" i="15"/>
  <c r="O312" i="15" s="1"/>
  <c r="D312" i="15"/>
  <c r="AO186" i="15"/>
  <c r="AN186" i="15"/>
  <c r="AM186" i="15"/>
  <c r="AL186" i="15"/>
  <c r="AK186" i="15"/>
  <c r="AJ186" i="15"/>
  <c r="P186" i="15"/>
  <c r="P311" i="15" s="1"/>
  <c r="O186" i="15"/>
  <c r="O311" i="15" s="1"/>
  <c r="AI186" i="15"/>
  <c r="D311" i="15"/>
  <c r="AO185" i="15"/>
  <c r="AN185" i="15"/>
  <c r="AM185" i="15"/>
  <c r="AL185" i="15"/>
  <c r="AK185" i="15"/>
  <c r="AJ185" i="15"/>
  <c r="P185" i="15"/>
  <c r="P310" i="15" s="1"/>
  <c r="O185" i="15"/>
  <c r="O310" i="15" s="1"/>
  <c r="E310" i="15"/>
  <c r="D310" i="15"/>
  <c r="AO184" i="15"/>
  <c r="AN184" i="15"/>
  <c r="AM184" i="15"/>
  <c r="AL184" i="15"/>
  <c r="AK184" i="15"/>
  <c r="AJ184" i="15"/>
  <c r="P184" i="15"/>
  <c r="P309" i="15" s="1"/>
  <c r="O184" i="15"/>
  <c r="O309" i="15" s="1"/>
  <c r="E309" i="15"/>
  <c r="D309" i="15"/>
  <c r="AO183" i="15"/>
  <c r="AN183" i="15"/>
  <c r="AM183" i="15"/>
  <c r="AL183" i="15"/>
  <c r="AK183" i="15"/>
  <c r="AJ183" i="15"/>
  <c r="P183" i="15"/>
  <c r="P308" i="15" s="1"/>
  <c r="O183" i="15"/>
  <c r="O308" i="15" s="1"/>
  <c r="D308" i="15"/>
  <c r="AO182" i="15"/>
  <c r="AN182" i="15"/>
  <c r="AM182" i="15"/>
  <c r="AL182" i="15"/>
  <c r="AK182" i="15"/>
  <c r="AJ182" i="15"/>
  <c r="P182" i="15"/>
  <c r="P307" i="15" s="1"/>
  <c r="O182" i="15"/>
  <c r="O307" i="15" s="1"/>
  <c r="D307" i="15"/>
  <c r="AO181" i="15"/>
  <c r="AN181" i="15"/>
  <c r="AM181" i="15"/>
  <c r="AL181" i="15"/>
  <c r="AK181" i="15"/>
  <c r="AJ181" i="15"/>
  <c r="P181" i="15"/>
  <c r="P306" i="15" s="1"/>
  <c r="O181" i="15"/>
  <c r="O306" i="15" s="1"/>
  <c r="D306" i="15"/>
  <c r="AO180" i="15"/>
  <c r="AN180" i="15"/>
  <c r="AM180" i="15"/>
  <c r="AL180" i="15"/>
  <c r="AK180" i="15"/>
  <c r="AJ180" i="15"/>
  <c r="P180" i="15"/>
  <c r="P305" i="15" s="1"/>
  <c r="O180" i="15"/>
  <c r="O305" i="15" s="1"/>
  <c r="E305" i="15"/>
  <c r="D305" i="15"/>
  <c r="AO179" i="15"/>
  <c r="AN179" i="15"/>
  <c r="AM179" i="15"/>
  <c r="AL179" i="15"/>
  <c r="AK179" i="15"/>
  <c r="AJ179" i="15"/>
  <c r="P179" i="15"/>
  <c r="P304" i="15" s="1"/>
  <c r="O179" i="15"/>
  <c r="O304" i="15" s="1"/>
  <c r="D304" i="15"/>
  <c r="AO178" i="15"/>
  <c r="AN178" i="15"/>
  <c r="AM178" i="15"/>
  <c r="AL178" i="15"/>
  <c r="AK178" i="15"/>
  <c r="AJ178" i="15"/>
  <c r="P178" i="15"/>
  <c r="P303" i="15" s="1"/>
  <c r="O178" i="15"/>
  <c r="O303" i="15" s="1"/>
  <c r="E303" i="15"/>
  <c r="D303" i="15"/>
  <c r="AO177" i="15"/>
  <c r="AN177" i="15"/>
  <c r="AM177" i="15"/>
  <c r="AL177" i="15"/>
  <c r="AK177" i="15"/>
  <c r="AJ177" i="15"/>
  <c r="P177" i="15"/>
  <c r="P302" i="15" s="1"/>
  <c r="O177" i="15"/>
  <c r="O302" i="15" s="1"/>
  <c r="E302" i="15"/>
  <c r="D302" i="15"/>
  <c r="AO176" i="15"/>
  <c r="AN176" i="15"/>
  <c r="AM176" i="15"/>
  <c r="AL176" i="15"/>
  <c r="AK176" i="15"/>
  <c r="AJ176" i="15"/>
  <c r="P176" i="15"/>
  <c r="P301" i="15" s="1"/>
  <c r="O176" i="15"/>
  <c r="O301" i="15" s="1"/>
  <c r="AI176" i="15"/>
  <c r="D301" i="15"/>
  <c r="P175" i="15"/>
  <c r="P300" i="15" s="1"/>
  <c r="O175" i="15"/>
  <c r="O300" i="15" s="1"/>
  <c r="D300" i="15"/>
  <c r="AO173" i="15"/>
  <c r="AN173" i="15"/>
  <c r="AM173" i="15"/>
  <c r="AL173" i="15"/>
  <c r="AK173" i="15"/>
  <c r="AJ173" i="15"/>
  <c r="P173" i="15"/>
  <c r="P298" i="15" s="1"/>
  <c r="O173" i="15"/>
  <c r="O298" i="15" s="1"/>
  <c r="AI173" i="15"/>
  <c r="D298" i="15"/>
  <c r="AO172" i="15"/>
  <c r="AN172" i="15"/>
  <c r="AM172" i="15"/>
  <c r="AL172" i="15"/>
  <c r="AK172" i="15"/>
  <c r="AJ172" i="15"/>
  <c r="P172" i="15"/>
  <c r="P297" i="15" s="1"/>
  <c r="O172" i="15"/>
  <c r="O297" i="15" s="1"/>
  <c r="AI172" i="15"/>
  <c r="D297" i="15"/>
  <c r="AO171" i="15"/>
  <c r="AN171" i="15"/>
  <c r="AM171" i="15"/>
  <c r="AL171" i="15"/>
  <c r="AK171" i="15"/>
  <c r="AJ171" i="15"/>
  <c r="P171" i="15"/>
  <c r="P296" i="15" s="1"/>
  <c r="O171" i="15"/>
  <c r="O296" i="15" s="1"/>
  <c r="D296" i="15"/>
  <c r="AO170" i="15"/>
  <c r="AN170" i="15"/>
  <c r="AM170" i="15"/>
  <c r="AL170" i="15"/>
  <c r="AK170" i="15"/>
  <c r="AJ170" i="15"/>
  <c r="P170" i="15"/>
  <c r="P295" i="15" s="1"/>
  <c r="O170" i="15"/>
  <c r="O295" i="15" s="1"/>
  <c r="D295" i="15"/>
  <c r="AO169" i="15"/>
  <c r="AN169" i="15"/>
  <c r="AM169" i="15"/>
  <c r="AL169" i="15"/>
  <c r="AK169" i="15"/>
  <c r="AJ169" i="15"/>
  <c r="P169" i="15"/>
  <c r="P294" i="15" s="1"/>
  <c r="O169" i="15"/>
  <c r="O294" i="15" s="1"/>
  <c r="D294" i="15"/>
  <c r="AO168" i="15"/>
  <c r="AN168" i="15"/>
  <c r="AM168" i="15"/>
  <c r="AL168" i="15"/>
  <c r="AK168" i="15"/>
  <c r="AJ168" i="15"/>
  <c r="P168" i="15"/>
  <c r="P293" i="15" s="1"/>
  <c r="O168" i="15"/>
  <c r="O293" i="15" s="1"/>
  <c r="D293" i="15"/>
  <c r="AO167" i="15"/>
  <c r="AN167" i="15"/>
  <c r="AM167" i="15"/>
  <c r="AL167" i="15"/>
  <c r="AK167" i="15"/>
  <c r="AJ167" i="15"/>
  <c r="P167" i="15"/>
  <c r="P292" i="15" s="1"/>
  <c r="O167" i="15"/>
  <c r="O292" i="15" s="1"/>
  <c r="E292" i="15"/>
  <c r="D292" i="15"/>
  <c r="AO166" i="15"/>
  <c r="AN166" i="15"/>
  <c r="AM166" i="15"/>
  <c r="AL166" i="15"/>
  <c r="AK166" i="15"/>
  <c r="AJ166" i="15"/>
  <c r="P166" i="15"/>
  <c r="P291" i="15" s="1"/>
  <c r="O166" i="15"/>
  <c r="O291" i="15" s="1"/>
  <c r="D291" i="15"/>
  <c r="AO165" i="15"/>
  <c r="AN165" i="15"/>
  <c r="AM165" i="15"/>
  <c r="AL165" i="15"/>
  <c r="AK165" i="15"/>
  <c r="AJ165" i="15"/>
  <c r="P165" i="15"/>
  <c r="P290" i="15" s="1"/>
  <c r="O165" i="15"/>
  <c r="O290" i="15" s="1"/>
  <c r="D290" i="15"/>
  <c r="AO164" i="15"/>
  <c r="AN164" i="15"/>
  <c r="AM164" i="15"/>
  <c r="AL164" i="15"/>
  <c r="AK164" i="15"/>
  <c r="AJ164" i="15"/>
  <c r="P164" i="15"/>
  <c r="P289" i="15" s="1"/>
  <c r="O164" i="15"/>
  <c r="O289" i="15" s="1"/>
  <c r="AI164" i="15"/>
  <c r="D289" i="15"/>
  <c r="AO163" i="15"/>
  <c r="AN163" i="15"/>
  <c r="AM163" i="15"/>
  <c r="AL163" i="15"/>
  <c r="AK163" i="15"/>
  <c r="AJ163" i="15"/>
  <c r="P163" i="15"/>
  <c r="P288" i="15" s="1"/>
  <c r="O163" i="15"/>
  <c r="O288" i="15" s="1"/>
  <c r="D288" i="15"/>
  <c r="AO162" i="15"/>
  <c r="AN162" i="15"/>
  <c r="AM162" i="15"/>
  <c r="AL162" i="15"/>
  <c r="AK162" i="15"/>
  <c r="AJ162" i="15"/>
  <c r="P162" i="15"/>
  <c r="P287" i="15" s="1"/>
  <c r="O162" i="15"/>
  <c r="O287" i="15" s="1"/>
  <c r="E287" i="15"/>
  <c r="D287" i="15"/>
  <c r="AO161" i="15"/>
  <c r="AN161" i="15"/>
  <c r="AM161" i="15"/>
  <c r="AL161" i="15"/>
  <c r="AK161" i="15"/>
  <c r="AJ161" i="15"/>
  <c r="P161" i="15"/>
  <c r="P286" i="15" s="1"/>
  <c r="O161" i="15"/>
  <c r="O286" i="15" s="1"/>
  <c r="D286" i="15"/>
  <c r="AO160" i="15"/>
  <c r="AN160" i="15"/>
  <c r="AM160" i="15"/>
  <c r="AL160" i="15"/>
  <c r="AK160" i="15"/>
  <c r="AJ160" i="15"/>
  <c r="P160" i="15"/>
  <c r="P285" i="15" s="1"/>
  <c r="O160" i="15"/>
  <c r="O285" i="15" s="1"/>
  <c r="D285" i="15"/>
  <c r="AO159" i="15"/>
  <c r="AN159" i="15"/>
  <c r="AM159" i="15"/>
  <c r="AL159" i="15"/>
  <c r="AK159" i="15"/>
  <c r="AJ159" i="15"/>
  <c r="P159" i="15"/>
  <c r="P284" i="15" s="1"/>
  <c r="O159" i="15"/>
  <c r="O284" i="15" s="1"/>
  <c r="D284" i="15"/>
  <c r="AO158" i="15"/>
  <c r="AN158" i="15"/>
  <c r="AM158" i="15"/>
  <c r="AL158" i="15"/>
  <c r="AK158" i="15"/>
  <c r="AJ158" i="15"/>
  <c r="P158" i="15"/>
  <c r="P283" i="15" s="1"/>
  <c r="O158" i="15"/>
  <c r="O283" i="15" s="1"/>
  <c r="D283" i="15"/>
  <c r="AO157" i="15"/>
  <c r="AN157" i="15"/>
  <c r="AM157" i="15"/>
  <c r="AL157" i="15"/>
  <c r="AK157" i="15"/>
  <c r="AJ157" i="15"/>
  <c r="P157" i="15"/>
  <c r="P282" i="15" s="1"/>
  <c r="O157" i="15"/>
  <c r="O282" i="15" s="1"/>
  <c r="D282" i="15"/>
  <c r="AO156" i="15"/>
  <c r="AN156" i="15"/>
  <c r="AM156" i="15"/>
  <c r="AL156" i="15"/>
  <c r="AK156" i="15"/>
  <c r="AJ156" i="15"/>
  <c r="P156" i="15"/>
  <c r="P281" i="15" s="1"/>
  <c r="O156" i="15"/>
  <c r="O281" i="15" s="1"/>
  <c r="E281" i="15"/>
  <c r="D281" i="15"/>
  <c r="AO155" i="15"/>
  <c r="AN155" i="15"/>
  <c r="AM155" i="15"/>
  <c r="AL155" i="15"/>
  <c r="AK155" i="15"/>
  <c r="AJ155" i="15"/>
  <c r="P155" i="15"/>
  <c r="P280" i="15" s="1"/>
  <c r="O155" i="15"/>
  <c r="O280" i="15" s="1"/>
  <c r="D280" i="15"/>
  <c r="AO154" i="15"/>
  <c r="AN154" i="15"/>
  <c r="AM154" i="15"/>
  <c r="AL154" i="15"/>
  <c r="AK154" i="15"/>
  <c r="AJ154" i="15"/>
  <c r="P154" i="15"/>
  <c r="P279" i="15" s="1"/>
  <c r="O154" i="15"/>
  <c r="O279" i="15" s="1"/>
  <c r="E279" i="15"/>
  <c r="D279" i="15"/>
  <c r="AO153" i="15"/>
  <c r="AN153" i="15"/>
  <c r="AM153" i="15"/>
  <c r="AL153" i="15"/>
  <c r="AK153" i="15"/>
  <c r="AJ153" i="15"/>
  <c r="P153" i="15"/>
  <c r="P278" i="15" s="1"/>
  <c r="O153" i="15"/>
  <c r="O278" i="15" s="1"/>
  <c r="AI153" i="15"/>
  <c r="D278" i="15"/>
  <c r="AO152" i="15"/>
  <c r="AN152" i="15"/>
  <c r="AM152" i="15"/>
  <c r="AL152" i="15"/>
  <c r="AK152" i="15"/>
  <c r="AJ152" i="15"/>
  <c r="P152" i="15"/>
  <c r="P277" i="15" s="1"/>
  <c r="O152" i="15"/>
  <c r="O277" i="15" s="1"/>
  <c r="D277" i="15"/>
  <c r="AO151" i="15"/>
  <c r="AN151" i="15"/>
  <c r="AM151" i="15"/>
  <c r="AL151" i="15"/>
  <c r="AK151" i="15"/>
  <c r="AJ151" i="15"/>
  <c r="P151" i="15"/>
  <c r="P276" i="15" s="1"/>
  <c r="O151" i="15"/>
  <c r="O276" i="15" s="1"/>
  <c r="D276" i="15"/>
  <c r="AO150" i="15"/>
  <c r="AN150" i="15"/>
  <c r="AM150" i="15"/>
  <c r="AL150" i="15"/>
  <c r="AK150" i="15"/>
  <c r="AJ150" i="15"/>
  <c r="P150" i="15"/>
  <c r="P275" i="15" s="1"/>
  <c r="O150" i="15"/>
  <c r="O275" i="15" s="1"/>
  <c r="E275" i="15"/>
  <c r="D275" i="15"/>
  <c r="AO149" i="15"/>
  <c r="AN149" i="15"/>
  <c r="AM149" i="15"/>
  <c r="AL149" i="15"/>
  <c r="AK149" i="15"/>
  <c r="AJ149" i="15"/>
  <c r="P149" i="15"/>
  <c r="P274" i="15" s="1"/>
  <c r="O149" i="15"/>
  <c r="O274" i="15" s="1"/>
  <c r="AI149" i="15"/>
  <c r="E274" i="15"/>
  <c r="D274" i="15"/>
  <c r="AO148" i="15"/>
  <c r="AN148" i="15"/>
  <c r="AM148" i="15"/>
  <c r="AL148" i="15"/>
  <c r="AK148" i="15"/>
  <c r="AJ148" i="15"/>
  <c r="P148" i="15"/>
  <c r="P273" i="15" s="1"/>
  <c r="O148" i="15"/>
  <c r="O273" i="15" s="1"/>
  <c r="E273" i="15"/>
  <c r="D273" i="15"/>
  <c r="AO147" i="15"/>
  <c r="AN147" i="15"/>
  <c r="AM147" i="15"/>
  <c r="AL147" i="15"/>
  <c r="AK147" i="15"/>
  <c r="AJ147" i="15"/>
  <c r="P147" i="15"/>
  <c r="P272" i="15" s="1"/>
  <c r="O147" i="15"/>
  <c r="O272" i="15" s="1"/>
  <c r="AI147" i="15"/>
  <c r="D272" i="15"/>
  <c r="AO146" i="15"/>
  <c r="AN146" i="15"/>
  <c r="AM146" i="15"/>
  <c r="AL146" i="15"/>
  <c r="AK146" i="15"/>
  <c r="AJ146" i="15"/>
  <c r="P146" i="15"/>
  <c r="P271" i="15" s="1"/>
  <c r="O146" i="15"/>
  <c r="O271" i="15" s="1"/>
  <c r="E271" i="15"/>
  <c r="D271" i="15"/>
  <c r="AO145" i="15"/>
  <c r="AN145" i="15"/>
  <c r="AM145" i="15"/>
  <c r="AL145" i="15"/>
  <c r="AK145" i="15"/>
  <c r="AJ145" i="15"/>
  <c r="P145" i="15"/>
  <c r="P270" i="15" s="1"/>
  <c r="O145" i="15"/>
  <c r="O270" i="15" s="1"/>
  <c r="D270" i="15"/>
  <c r="AO144" i="15"/>
  <c r="AN144" i="15"/>
  <c r="AM144" i="15"/>
  <c r="AL144" i="15"/>
  <c r="AK144" i="15"/>
  <c r="AJ144" i="15"/>
  <c r="P144" i="15"/>
  <c r="P269" i="15" s="1"/>
  <c r="O144" i="15"/>
  <c r="O269" i="15" s="1"/>
  <c r="D269" i="15"/>
  <c r="AO143" i="15"/>
  <c r="AN143" i="15"/>
  <c r="AM143" i="15"/>
  <c r="AL143" i="15"/>
  <c r="AK143" i="15"/>
  <c r="AJ143" i="15"/>
  <c r="P143" i="15"/>
  <c r="P268" i="15" s="1"/>
  <c r="O143" i="15"/>
  <c r="O268" i="15" s="1"/>
  <c r="E268" i="15"/>
  <c r="D268" i="15"/>
  <c r="AO142" i="15"/>
  <c r="AN142" i="15"/>
  <c r="AM142" i="15"/>
  <c r="AL142" i="15"/>
  <c r="AK142" i="15"/>
  <c r="AJ142" i="15"/>
  <c r="P142" i="15"/>
  <c r="P267" i="15" s="1"/>
  <c r="O142" i="15"/>
  <c r="O267" i="15" s="1"/>
  <c r="D267" i="15"/>
  <c r="AO141" i="15"/>
  <c r="AN141" i="15"/>
  <c r="AM141" i="15"/>
  <c r="AL141" i="15"/>
  <c r="AK141" i="15"/>
  <c r="AJ141" i="15"/>
  <c r="P141" i="15"/>
  <c r="P266" i="15" s="1"/>
  <c r="O141" i="15"/>
  <c r="O266" i="15" s="1"/>
  <c r="D266" i="15"/>
  <c r="AO140" i="15"/>
  <c r="AN140" i="15"/>
  <c r="AM140" i="15"/>
  <c r="AL140" i="15"/>
  <c r="AK140" i="15"/>
  <c r="AJ140" i="15"/>
  <c r="P140" i="15"/>
  <c r="P265" i="15" s="1"/>
  <c r="O140" i="15"/>
  <c r="O265" i="15" s="1"/>
  <c r="D265" i="15"/>
  <c r="AO139" i="15"/>
  <c r="AN139" i="15"/>
  <c r="AM139" i="15"/>
  <c r="AL139" i="15"/>
  <c r="AK139" i="15"/>
  <c r="AJ139" i="15"/>
  <c r="P139" i="15"/>
  <c r="P264" i="15" s="1"/>
  <c r="O139" i="15"/>
  <c r="O264" i="15" s="1"/>
  <c r="AI139" i="15"/>
  <c r="E264" i="15"/>
  <c r="D264" i="15"/>
  <c r="AO138" i="15"/>
  <c r="AN138" i="15"/>
  <c r="AM138" i="15"/>
  <c r="AL138" i="15"/>
  <c r="AK138" i="15"/>
  <c r="AJ138" i="15"/>
  <c r="P138" i="15"/>
  <c r="P263" i="15" s="1"/>
  <c r="O138" i="15"/>
  <c r="O263" i="15" s="1"/>
  <c r="E263" i="15"/>
  <c r="D263" i="15"/>
  <c r="AO137" i="15"/>
  <c r="AN137" i="15"/>
  <c r="AM137" i="15"/>
  <c r="AL137" i="15"/>
  <c r="AK137" i="15"/>
  <c r="AJ137" i="15"/>
  <c r="P137" i="15"/>
  <c r="P262" i="15" s="1"/>
  <c r="O137" i="15"/>
  <c r="O262" i="15" s="1"/>
  <c r="AI137" i="15"/>
  <c r="D262" i="15"/>
  <c r="AO136" i="15"/>
  <c r="AN136" i="15"/>
  <c r="AM136" i="15"/>
  <c r="AL136" i="15"/>
  <c r="AK136" i="15"/>
  <c r="AJ136" i="15"/>
  <c r="P136" i="15"/>
  <c r="P261" i="15" s="1"/>
  <c r="O136" i="15"/>
  <c r="O261" i="15" s="1"/>
  <c r="E261" i="15"/>
  <c r="D261" i="15"/>
  <c r="AO135" i="15"/>
  <c r="AN135" i="15"/>
  <c r="AM135" i="15"/>
  <c r="AL135" i="15"/>
  <c r="AK135" i="15"/>
  <c r="AJ135" i="15"/>
  <c r="P135" i="15"/>
  <c r="P260" i="15" s="1"/>
  <c r="O135" i="15"/>
  <c r="O260" i="15" s="1"/>
  <c r="E260" i="15"/>
  <c r="D260" i="15"/>
  <c r="AO134" i="15"/>
  <c r="AN134" i="15"/>
  <c r="AM134" i="15"/>
  <c r="AL134" i="15"/>
  <c r="AK134" i="15"/>
  <c r="AJ134" i="15"/>
  <c r="P134" i="15"/>
  <c r="P259" i="15" s="1"/>
  <c r="O134" i="15"/>
  <c r="O259" i="15" s="1"/>
  <c r="E259" i="15"/>
  <c r="D259" i="15"/>
  <c r="AO133" i="15"/>
  <c r="AN133" i="15"/>
  <c r="AM133" i="15"/>
  <c r="AL133" i="15"/>
  <c r="AK133" i="15"/>
  <c r="AJ133" i="15"/>
  <c r="P133" i="15"/>
  <c r="P258" i="15" s="1"/>
  <c r="O133" i="15"/>
  <c r="O258" i="15" s="1"/>
  <c r="E258" i="15"/>
  <c r="D258" i="15"/>
  <c r="AO132" i="15"/>
  <c r="AN132" i="15"/>
  <c r="AM132" i="15"/>
  <c r="AL132" i="15"/>
  <c r="AK132" i="15"/>
  <c r="AJ132" i="15"/>
  <c r="P132" i="15"/>
  <c r="P257" i="15" s="1"/>
  <c r="O132" i="15"/>
  <c r="O257" i="15" s="1"/>
  <c r="E257" i="15"/>
  <c r="D257" i="15"/>
  <c r="P131" i="15"/>
  <c r="P256" i="15" s="1"/>
  <c r="O131" i="15"/>
  <c r="O256" i="15" s="1"/>
  <c r="E256" i="15"/>
  <c r="D256" i="15"/>
  <c r="P130" i="15"/>
  <c r="P255" i="15" s="1"/>
  <c r="O130" i="15"/>
  <c r="O255" i="15" s="1"/>
  <c r="E255" i="15"/>
  <c r="D255" i="15"/>
  <c r="P129" i="15"/>
  <c r="O129" i="15"/>
  <c r="O254" i="15" s="1"/>
  <c r="D254" i="15"/>
  <c r="AO127" i="15"/>
  <c r="AN127" i="15"/>
  <c r="AM127" i="15"/>
  <c r="AL127" i="15"/>
  <c r="AK127" i="15"/>
  <c r="AJ127" i="15"/>
  <c r="P127" i="15"/>
  <c r="P252" i="15" s="1"/>
  <c r="O127" i="15"/>
  <c r="O252" i="15" s="1"/>
  <c r="E252" i="15"/>
  <c r="D252" i="15"/>
  <c r="AO126" i="15"/>
  <c r="AN126" i="15"/>
  <c r="AM126" i="15"/>
  <c r="AL126" i="15"/>
  <c r="AK126" i="15"/>
  <c r="AJ126" i="15"/>
  <c r="P126" i="15"/>
  <c r="P251" i="15" s="1"/>
  <c r="O126" i="15"/>
  <c r="O251" i="15" s="1"/>
  <c r="AI126" i="15"/>
  <c r="D251" i="15"/>
  <c r="AO125" i="15"/>
  <c r="AN125" i="15"/>
  <c r="AM125" i="15"/>
  <c r="AL125" i="15"/>
  <c r="AK125" i="15"/>
  <c r="AJ125" i="15"/>
  <c r="P125" i="15"/>
  <c r="P250" i="15" s="1"/>
  <c r="O125" i="15"/>
  <c r="O250" i="15" s="1"/>
  <c r="E250" i="15"/>
  <c r="D250" i="15"/>
  <c r="AO124" i="15"/>
  <c r="AN124" i="15"/>
  <c r="AM124" i="15"/>
  <c r="AL124" i="15"/>
  <c r="AK124" i="15"/>
  <c r="AJ124" i="15"/>
  <c r="P124" i="15"/>
  <c r="P249" i="15" s="1"/>
  <c r="O124" i="15"/>
  <c r="O249" i="15" s="1"/>
  <c r="E249" i="15"/>
  <c r="D249" i="15"/>
  <c r="AO123" i="15"/>
  <c r="AN123" i="15"/>
  <c r="AM123" i="15"/>
  <c r="AL123" i="15"/>
  <c r="AK123" i="15"/>
  <c r="AJ123" i="15"/>
  <c r="P123" i="15"/>
  <c r="P248" i="15" s="1"/>
  <c r="O123" i="15"/>
  <c r="O248" i="15" s="1"/>
  <c r="E248" i="15"/>
  <c r="D248" i="15"/>
  <c r="AO122" i="15"/>
  <c r="AN122" i="15"/>
  <c r="AM122" i="15"/>
  <c r="AL122" i="15"/>
  <c r="AK122" i="15"/>
  <c r="AJ122" i="15"/>
  <c r="P122" i="15"/>
  <c r="P247" i="15" s="1"/>
  <c r="O122" i="15"/>
  <c r="O247" i="15" s="1"/>
  <c r="E247" i="15"/>
  <c r="D247" i="15"/>
  <c r="AO121" i="15"/>
  <c r="AN121" i="15"/>
  <c r="AM121" i="15"/>
  <c r="AL121" i="15"/>
  <c r="AK121" i="15"/>
  <c r="AJ121" i="15"/>
  <c r="P121" i="15"/>
  <c r="P246" i="15" s="1"/>
  <c r="O121" i="15"/>
  <c r="O246" i="15" s="1"/>
  <c r="E246" i="15"/>
  <c r="D246" i="15"/>
  <c r="AO120" i="15"/>
  <c r="AN120" i="15"/>
  <c r="AM120" i="15"/>
  <c r="AL120" i="15"/>
  <c r="AK120" i="15"/>
  <c r="AJ120" i="15"/>
  <c r="P120" i="15"/>
  <c r="P245" i="15" s="1"/>
  <c r="O120" i="15"/>
  <c r="O245" i="15" s="1"/>
  <c r="AI120" i="15"/>
  <c r="E245" i="15"/>
  <c r="D245" i="15"/>
  <c r="AO119" i="15"/>
  <c r="AN119" i="15"/>
  <c r="AM119" i="15"/>
  <c r="AL119" i="15"/>
  <c r="AK119" i="15"/>
  <c r="AJ119" i="15"/>
  <c r="P119" i="15"/>
  <c r="P244" i="15" s="1"/>
  <c r="O119" i="15"/>
  <c r="O244" i="15" s="1"/>
  <c r="E244" i="15"/>
  <c r="D244" i="15"/>
  <c r="AO118" i="15"/>
  <c r="AN118" i="15"/>
  <c r="AM118" i="15"/>
  <c r="AL118" i="15"/>
  <c r="AK118" i="15"/>
  <c r="AJ118" i="15"/>
  <c r="P118" i="15"/>
  <c r="P243" i="15" s="1"/>
  <c r="O118" i="15"/>
  <c r="O243" i="15" s="1"/>
  <c r="D243" i="15"/>
  <c r="AO117" i="15"/>
  <c r="AN117" i="15"/>
  <c r="AM117" i="15"/>
  <c r="AL117" i="15"/>
  <c r="AK117" i="15"/>
  <c r="AJ117" i="15"/>
  <c r="P117" i="15"/>
  <c r="P242" i="15" s="1"/>
  <c r="O117" i="15"/>
  <c r="O242" i="15" s="1"/>
  <c r="E242" i="15"/>
  <c r="D242" i="15"/>
  <c r="AO116" i="15"/>
  <c r="AN116" i="15"/>
  <c r="AM116" i="15"/>
  <c r="AL116" i="15"/>
  <c r="AK116" i="15"/>
  <c r="AJ116" i="15"/>
  <c r="P116" i="15"/>
  <c r="P241" i="15" s="1"/>
  <c r="O116" i="15"/>
  <c r="O241" i="15" s="1"/>
  <c r="AI116" i="15"/>
  <c r="E241" i="15"/>
  <c r="D241" i="15"/>
  <c r="AO115" i="15"/>
  <c r="AN115" i="15"/>
  <c r="AM115" i="15"/>
  <c r="AL115" i="15"/>
  <c r="AK115" i="15"/>
  <c r="AJ115" i="15"/>
  <c r="P115" i="15"/>
  <c r="P240" i="15" s="1"/>
  <c r="O115" i="15"/>
  <c r="O240" i="15" s="1"/>
  <c r="E240" i="15"/>
  <c r="D240" i="15"/>
  <c r="AO114" i="15"/>
  <c r="AN114" i="15"/>
  <c r="AM114" i="15"/>
  <c r="AL114" i="15"/>
  <c r="AK114" i="15"/>
  <c r="AJ114" i="15"/>
  <c r="P114" i="15"/>
  <c r="P239" i="15" s="1"/>
  <c r="O114" i="15"/>
  <c r="O239" i="15" s="1"/>
  <c r="AI114" i="15"/>
  <c r="E239" i="15"/>
  <c r="D239" i="15"/>
  <c r="AO113" i="15"/>
  <c r="AN113" i="15"/>
  <c r="AM113" i="15"/>
  <c r="AL113" i="15"/>
  <c r="AK113" i="15"/>
  <c r="AJ113" i="15"/>
  <c r="P113" i="15"/>
  <c r="P238" i="15" s="1"/>
  <c r="O113" i="15"/>
  <c r="O238" i="15" s="1"/>
  <c r="E238" i="15"/>
  <c r="D238" i="15"/>
  <c r="AO112" i="15"/>
  <c r="AN112" i="15"/>
  <c r="AM112" i="15"/>
  <c r="AL112" i="15"/>
  <c r="AK112" i="15"/>
  <c r="AJ112" i="15"/>
  <c r="P112" i="15"/>
  <c r="P237" i="15" s="1"/>
  <c r="O112" i="15"/>
  <c r="O237" i="15" s="1"/>
  <c r="AI112" i="15"/>
  <c r="E237" i="15"/>
  <c r="D237" i="15"/>
  <c r="AO111" i="15"/>
  <c r="AN111" i="15"/>
  <c r="AM111" i="15"/>
  <c r="AL111" i="15"/>
  <c r="AK111" i="15"/>
  <c r="AJ111" i="15"/>
  <c r="P111" i="15"/>
  <c r="P236" i="15" s="1"/>
  <c r="O111" i="15"/>
  <c r="O236" i="15" s="1"/>
  <c r="E236" i="15"/>
  <c r="D236" i="15"/>
  <c r="AO110" i="15"/>
  <c r="AN110" i="15"/>
  <c r="AM110" i="15"/>
  <c r="AL110" i="15"/>
  <c r="AK110" i="15"/>
  <c r="AJ110" i="15"/>
  <c r="P110" i="15"/>
  <c r="P235" i="15" s="1"/>
  <c r="O110" i="15"/>
  <c r="O235" i="15" s="1"/>
  <c r="D235" i="15"/>
  <c r="AO109" i="15"/>
  <c r="AN109" i="15"/>
  <c r="AM109" i="15"/>
  <c r="AL109" i="15"/>
  <c r="AK109" i="15"/>
  <c r="AJ109" i="15"/>
  <c r="P109" i="15"/>
  <c r="P234" i="15" s="1"/>
  <c r="O109" i="15"/>
  <c r="O234" i="15" s="1"/>
  <c r="E234" i="15"/>
  <c r="D234" i="15"/>
  <c r="AO108" i="15"/>
  <c r="AN108" i="15"/>
  <c r="AM108" i="15"/>
  <c r="AL108" i="15"/>
  <c r="AK108" i="15"/>
  <c r="AJ108" i="15"/>
  <c r="P108" i="15"/>
  <c r="P233" i="15" s="1"/>
  <c r="O108" i="15"/>
  <c r="O233" i="15" s="1"/>
  <c r="AI108" i="15"/>
  <c r="E233" i="15"/>
  <c r="D233" i="15"/>
  <c r="AO107" i="15"/>
  <c r="AN107" i="15"/>
  <c r="AM107" i="15"/>
  <c r="AL107" i="15"/>
  <c r="AK107" i="15"/>
  <c r="AJ107" i="15"/>
  <c r="P107" i="15"/>
  <c r="P232" i="15" s="1"/>
  <c r="O107" i="15"/>
  <c r="O232" i="15" s="1"/>
  <c r="E232" i="15"/>
  <c r="D232" i="15"/>
  <c r="AO106" i="15"/>
  <c r="AN106" i="15"/>
  <c r="AM106" i="15"/>
  <c r="AL106" i="15"/>
  <c r="AK106" i="15"/>
  <c r="AJ106" i="15"/>
  <c r="P106" i="15"/>
  <c r="P231" i="15" s="1"/>
  <c r="O106" i="15"/>
  <c r="O231" i="15" s="1"/>
  <c r="AI106" i="15"/>
  <c r="E231" i="15"/>
  <c r="D231" i="15"/>
  <c r="AO105" i="15"/>
  <c r="AN105" i="15"/>
  <c r="AM105" i="15"/>
  <c r="AL105" i="15"/>
  <c r="AK105" i="15"/>
  <c r="AJ105" i="15"/>
  <c r="P105" i="15"/>
  <c r="P230" i="15" s="1"/>
  <c r="O105" i="15"/>
  <c r="O230" i="15" s="1"/>
  <c r="E230" i="15"/>
  <c r="D230" i="15"/>
  <c r="AO104" i="15"/>
  <c r="AN104" i="15"/>
  <c r="AM104" i="15"/>
  <c r="AL104" i="15"/>
  <c r="AK104" i="15"/>
  <c r="AJ104" i="15"/>
  <c r="P104" i="15"/>
  <c r="P229" i="15" s="1"/>
  <c r="O104" i="15"/>
  <c r="O229" i="15" s="1"/>
  <c r="AI104" i="15"/>
  <c r="E229" i="15"/>
  <c r="D229" i="15"/>
  <c r="AO103" i="15"/>
  <c r="AN103" i="15"/>
  <c r="AM103" i="15"/>
  <c r="AL103" i="15"/>
  <c r="AK103" i="15"/>
  <c r="AJ103" i="15"/>
  <c r="P103" i="15"/>
  <c r="P228" i="15" s="1"/>
  <c r="O103" i="15"/>
  <c r="O228" i="15" s="1"/>
  <c r="E228" i="15"/>
  <c r="D228" i="15"/>
  <c r="AO102" i="15"/>
  <c r="AN102" i="15"/>
  <c r="AM102" i="15"/>
  <c r="AL102" i="15"/>
  <c r="AK102" i="15"/>
  <c r="AJ102" i="15"/>
  <c r="P102" i="15"/>
  <c r="P227" i="15" s="1"/>
  <c r="O102" i="15"/>
  <c r="O227" i="15" s="1"/>
  <c r="D227" i="15"/>
  <c r="AO101" i="15"/>
  <c r="AN101" i="15"/>
  <c r="AM101" i="15"/>
  <c r="AL101" i="15"/>
  <c r="AK101" i="15"/>
  <c r="AJ101" i="15"/>
  <c r="P101" i="15"/>
  <c r="P226" i="15" s="1"/>
  <c r="O101" i="15"/>
  <c r="O226" i="15" s="1"/>
  <c r="E226" i="15"/>
  <c r="D226" i="15"/>
  <c r="AO100" i="15"/>
  <c r="AN100" i="15"/>
  <c r="AM100" i="15"/>
  <c r="AL100" i="15"/>
  <c r="AK100" i="15"/>
  <c r="AJ100" i="15"/>
  <c r="P100" i="15"/>
  <c r="P225" i="15" s="1"/>
  <c r="O100" i="15"/>
  <c r="O225" i="15" s="1"/>
  <c r="AI100" i="15"/>
  <c r="E225" i="15"/>
  <c r="D225" i="15"/>
  <c r="P99" i="15"/>
  <c r="P224" i="15" s="1"/>
  <c r="O99" i="15"/>
  <c r="O224" i="15" s="1"/>
  <c r="E224" i="15"/>
  <c r="D224" i="15"/>
  <c r="D223" i="15"/>
  <c r="AQ96" i="15"/>
  <c r="AI96" i="15"/>
  <c r="AA96" i="15"/>
  <c r="O96" i="15"/>
  <c r="O220" i="15" s="1"/>
  <c r="AQ95" i="15"/>
  <c r="AI95" i="15"/>
  <c r="AA95" i="15"/>
  <c r="S95" i="15"/>
  <c r="H95" i="15"/>
  <c r="AO28" i="15"/>
  <c r="AN28" i="15"/>
  <c r="AM28" i="15"/>
  <c r="AL28" i="15"/>
  <c r="AK28" i="15"/>
  <c r="AJ28" i="15"/>
  <c r="AI28" i="15"/>
  <c r="AO27" i="15"/>
  <c r="AN27" i="15"/>
  <c r="AM27" i="15"/>
  <c r="AL27" i="15"/>
  <c r="AK27" i="15"/>
  <c r="AJ27" i="15"/>
  <c r="AI27" i="15"/>
  <c r="AO26" i="15"/>
  <c r="AN26" i="15"/>
  <c r="AM26" i="15"/>
  <c r="AL26" i="15"/>
  <c r="AK26" i="15"/>
  <c r="AJ26" i="15"/>
  <c r="AI26" i="15"/>
  <c r="AO25" i="15"/>
  <c r="AN25" i="15"/>
  <c r="AM25" i="15"/>
  <c r="AL25" i="15"/>
  <c r="AK25" i="15"/>
  <c r="AJ25" i="15"/>
  <c r="AI25" i="15"/>
  <c r="S24" i="15"/>
  <c r="AI24" i="15" s="1"/>
  <c r="S22" i="15"/>
  <c r="AI22" i="15" s="1"/>
  <c r="AW241" i="15" l="1"/>
  <c r="AU241" i="15"/>
  <c r="AT241" i="15"/>
  <c r="AS241" i="15"/>
  <c r="AR241" i="15"/>
  <c r="AQ241" i="15"/>
  <c r="AV241" i="15"/>
  <c r="AA241" i="15"/>
  <c r="AU263" i="15"/>
  <c r="AT263" i="15"/>
  <c r="AR263" i="15"/>
  <c r="AQ263" i="15"/>
  <c r="AW263" i="15"/>
  <c r="AV263" i="15"/>
  <c r="AS263" i="15"/>
  <c r="AA263" i="15"/>
  <c r="AR268" i="15"/>
  <c r="AQ268" i="15"/>
  <c r="AW268" i="15"/>
  <c r="AV268" i="15"/>
  <c r="AU268" i="15"/>
  <c r="AT268" i="15"/>
  <c r="AS268" i="15"/>
  <c r="AA268" i="15"/>
  <c r="AW273" i="15"/>
  <c r="AV273" i="15"/>
  <c r="AT273" i="15"/>
  <c r="AS273" i="15"/>
  <c r="AR273" i="15"/>
  <c r="AQ273" i="15"/>
  <c r="AU273" i="15"/>
  <c r="AA273" i="15"/>
  <c r="AQ305" i="15"/>
  <c r="AV305" i="15"/>
  <c r="AU305" i="15"/>
  <c r="AT305" i="15"/>
  <c r="AS305" i="15"/>
  <c r="AR305" i="15"/>
  <c r="AW305" i="15"/>
  <c r="AA305" i="15"/>
  <c r="AT316" i="15"/>
  <c r="AS316" i="15"/>
  <c r="AQ316" i="15"/>
  <c r="AW316" i="15"/>
  <c r="AV316" i="15"/>
  <c r="AU316" i="15"/>
  <c r="AR316" i="15"/>
  <c r="AA316" i="15"/>
  <c r="AQ321" i="15"/>
  <c r="AV321" i="15"/>
  <c r="AU321" i="15"/>
  <c r="AT321" i="15"/>
  <c r="AS321" i="15"/>
  <c r="AR321" i="15"/>
  <c r="AW321" i="15"/>
  <c r="AA321" i="15"/>
  <c r="AV326" i="15"/>
  <c r="AU326" i="15"/>
  <c r="AS326" i="15"/>
  <c r="AR326" i="15"/>
  <c r="AQ326" i="15"/>
  <c r="AW326" i="15"/>
  <c r="AT326" i="15"/>
  <c r="AA326" i="15"/>
  <c r="AW335" i="15"/>
  <c r="AV335" i="15"/>
  <c r="AT335" i="15"/>
  <c r="AS335" i="15"/>
  <c r="AR335" i="15"/>
  <c r="AQ335" i="15"/>
  <c r="AU335" i="15"/>
  <c r="AA335" i="15"/>
  <c r="AS339" i="15"/>
  <c r="AR339" i="15"/>
  <c r="AW339" i="15"/>
  <c r="AV339" i="15"/>
  <c r="AU339" i="15"/>
  <c r="AT339" i="15"/>
  <c r="AQ339" i="15"/>
  <c r="AA339" i="15"/>
  <c r="AV231" i="15"/>
  <c r="AU231" i="15"/>
  <c r="AS231" i="15"/>
  <c r="AR231" i="15"/>
  <c r="AW231" i="15"/>
  <c r="AQ231" i="15"/>
  <c r="AA231" i="15"/>
  <c r="AT231" i="15"/>
  <c r="AQ234" i="15"/>
  <c r="AV234" i="15"/>
  <c r="AU234" i="15"/>
  <c r="AS234" i="15"/>
  <c r="AR234" i="15"/>
  <c r="AW234" i="15"/>
  <c r="AT234" i="15"/>
  <c r="AA234" i="15"/>
  <c r="AU238" i="15"/>
  <c r="AT238" i="15"/>
  <c r="AR238" i="15"/>
  <c r="AQ238" i="15"/>
  <c r="AW238" i="15"/>
  <c r="AV238" i="15"/>
  <c r="AS238" i="15"/>
  <c r="AA238" i="15"/>
  <c r="AS331" i="15"/>
  <c r="AR331" i="15"/>
  <c r="AW331" i="15"/>
  <c r="AV331" i="15"/>
  <c r="AU331" i="15"/>
  <c r="AT331" i="15"/>
  <c r="AA331" i="15"/>
  <c r="AQ331" i="15"/>
  <c r="AR260" i="15"/>
  <c r="AQ260" i="15"/>
  <c r="AW260" i="15"/>
  <c r="AV260" i="15"/>
  <c r="AU260" i="15"/>
  <c r="AT260" i="15"/>
  <c r="AS260" i="15"/>
  <c r="AA260" i="15"/>
  <c r="AV264" i="15"/>
  <c r="AU264" i="15"/>
  <c r="AS264" i="15"/>
  <c r="AR264" i="15"/>
  <c r="AQ264" i="15"/>
  <c r="AW264" i="15"/>
  <c r="AT264" i="15"/>
  <c r="AA264" i="15"/>
  <c r="AW274" i="15"/>
  <c r="AU274" i="15"/>
  <c r="AT274" i="15"/>
  <c r="AS274" i="15"/>
  <c r="AR274" i="15"/>
  <c r="AQ274" i="15"/>
  <c r="AV274" i="15"/>
  <c r="AA274" i="15"/>
  <c r="AW336" i="15"/>
  <c r="AU336" i="15"/>
  <c r="AT336" i="15"/>
  <c r="AS336" i="15"/>
  <c r="AR336" i="15"/>
  <c r="AQ336" i="15"/>
  <c r="AV336" i="15"/>
  <c r="AA336" i="15"/>
  <c r="AT340" i="15"/>
  <c r="AS340" i="15"/>
  <c r="AQ340" i="15"/>
  <c r="AW340" i="15"/>
  <c r="AV340" i="15"/>
  <c r="AU340" i="15"/>
  <c r="AA340" i="15"/>
  <c r="AR340" i="15"/>
  <c r="AV239" i="15"/>
  <c r="AU239" i="15"/>
  <c r="AS239" i="15"/>
  <c r="AR239" i="15"/>
  <c r="AQ239" i="15"/>
  <c r="AW239" i="15"/>
  <c r="AT239" i="15"/>
  <c r="AA239" i="15"/>
  <c r="AQ242" i="15"/>
  <c r="AV242" i="15"/>
  <c r="AU242" i="15"/>
  <c r="AT242" i="15"/>
  <c r="AS242" i="15"/>
  <c r="AR242" i="15"/>
  <c r="AW242" i="15"/>
  <c r="AA242" i="15"/>
  <c r="AV302" i="15"/>
  <c r="AU302" i="15"/>
  <c r="AS302" i="15"/>
  <c r="AR302" i="15"/>
  <c r="AQ302" i="15"/>
  <c r="AW302" i="15"/>
  <c r="AT302" i="15"/>
  <c r="AA302" i="15"/>
  <c r="AU317" i="15"/>
  <c r="AT317" i="15"/>
  <c r="AR317" i="15"/>
  <c r="AQ317" i="15"/>
  <c r="AW317" i="15"/>
  <c r="AV317" i="15"/>
  <c r="AS317" i="15"/>
  <c r="AA317" i="15"/>
  <c r="AS323" i="15"/>
  <c r="AR323" i="15"/>
  <c r="AW323" i="15"/>
  <c r="AV323" i="15"/>
  <c r="AU323" i="15"/>
  <c r="AT323" i="15"/>
  <c r="AQ323" i="15"/>
  <c r="AA323" i="15"/>
  <c r="AW328" i="15"/>
  <c r="AU328" i="15"/>
  <c r="AT328" i="15"/>
  <c r="AS328" i="15"/>
  <c r="AR328" i="15"/>
  <c r="AQ328" i="15"/>
  <c r="AA328" i="15"/>
  <c r="AV328" i="15"/>
  <c r="AT332" i="15"/>
  <c r="AS332" i="15"/>
  <c r="AQ332" i="15"/>
  <c r="AW332" i="15"/>
  <c r="AV332" i="15"/>
  <c r="AU332" i="15"/>
  <c r="AR332" i="15"/>
  <c r="AA332" i="15"/>
  <c r="AU230" i="15"/>
  <c r="AT230" i="15"/>
  <c r="AR230" i="15"/>
  <c r="AQ230" i="15"/>
  <c r="AW230" i="15"/>
  <c r="AV230" i="15"/>
  <c r="AA230" i="15"/>
  <c r="AS230" i="15"/>
  <c r="AT229" i="15"/>
  <c r="AS229" i="15"/>
  <c r="AQ229" i="15"/>
  <c r="AV229" i="15"/>
  <c r="AU229" i="15"/>
  <c r="AR229" i="15"/>
  <c r="AA229" i="15"/>
  <c r="AW229" i="15"/>
  <c r="AW232" i="15"/>
  <c r="AV232" i="15"/>
  <c r="AT232" i="15"/>
  <c r="AS232" i="15"/>
  <c r="AQ232" i="15"/>
  <c r="AU232" i="15"/>
  <c r="AR232" i="15"/>
  <c r="AA232" i="15"/>
  <c r="AS236" i="15"/>
  <c r="AR236" i="15"/>
  <c r="AW236" i="15"/>
  <c r="AU236" i="15"/>
  <c r="AT236" i="15"/>
  <c r="AV236" i="15"/>
  <c r="AQ236" i="15"/>
  <c r="AA236" i="15"/>
  <c r="AS261" i="15"/>
  <c r="AR261" i="15"/>
  <c r="AW261" i="15"/>
  <c r="AV261" i="15"/>
  <c r="AU261" i="15"/>
  <c r="AT261" i="15"/>
  <c r="AQ261" i="15"/>
  <c r="AA261" i="15"/>
  <c r="AU271" i="15"/>
  <c r="AT271" i="15"/>
  <c r="AR271" i="15"/>
  <c r="AQ271" i="15"/>
  <c r="AW271" i="15"/>
  <c r="AV271" i="15"/>
  <c r="AS271" i="15"/>
  <c r="AA271" i="15"/>
  <c r="AU292" i="15"/>
  <c r="AT292" i="15"/>
  <c r="AR292" i="15"/>
  <c r="AQ292" i="15"/>
  <c r="AW292" i="15"/>
  <c r="AV292" i="15"/>
  <c r="AS292" i="15"/>
  <c r="AA292" i="15"/>
  <c r="AQ275" i="15"/>
  <c r="AV275" i="15"/>
  <c r="AU275" i="15"/>
  <c r="AT275" i="15"/>
  <c r="AS275" i="15"/>
  <c r="AR275" i="15"/>
  <c r="AW275" i="15"/>
  <c r="AA275" i="15"/>
  <c r="AW287" i="15"/>
  <c r="AU287" i="15"/>
  <c r="AT287" i="15"/>
  <c r="AS287" i="15"/>
  <c r="AR287" i="15"/>
  <c r="AQ287" i="15"/>
  <c r="AV287" i="15"/>
  <c r="AA287" i="15"/>
  <c r="AW303" i="15"/>
  <c r="AV303" i="15"/>
  <c r="AT303" i="15"/>
  <c r="AS303" i="15"/>
  <c r="AR303" i="15"/>
  <c r="AQ303" i="15"/>
  <c r="AU303" i="15"/>
  <c r="AA303" i="15"/>
  <c r="AU309" i="15"/>
  <c r="AT309" i="15"/>
  <c r="AR309" i="15"/>
  <c r="AQ309" i="15"/>
  <c r="AW309" i="15"/>
  <c r="AV309" i="15"/>
  <c r="AS309" i="15"/>
  <c r="AA309" i="15"/>
  <c r="AV318" i="15"/>
  <c r="AU318" i="15"/>
  <c r="AS318" i="15"/>
  <c r="AR318" i="15"/>
  <c r="AQ318" i="15"/>
  <c r="AW318" i="15"/>
  <c r="AT318" i="15"/>
  <c r="AA318" i="15"/>
  <c r="AT324" i="15"/>
  <c r="AS324" i="15"/>
  <c r="AQ324" i="15"/>
  <c r="AW324" i="15"/>
  <c r="AV324" i="15"/>
  <c r="AU324" i="15"/>
  <c r="AR324" i="15"/>
  <c r="AA324" i="15"/>
  <c r="AQ337" i="15"/>
  <c r="AV337" i="15"/>
  <c r="AU337" i="15"/>
  <c r="AT337" i="15"/>
  <c r="AS337" i="15"/>
  <c r="AR337" i="15"/>
  <c r="AW337" i="15"/>
  <c r="AA337" i="15"/>
  <c r="AV310" i="15"/>
  <c r="AU310" i="15"/>
  <c r="AS310" i="15"/>
  <c r="AR310" i="15"/>
  <c r="AQ310" i="15"/>
  <c r="AW310" i="15"/>
  <c r="AT310" i="15"/>
  <c r="AA310" i="15"/>
  <c r="AW233" i="15"/>
  <c r="AU233" i="15"/>
  <c r="AT233" i="15"/>
  <c r="AR233" i="15"/>
  <c r="AQ233" i="15"/>
  <c r="AV233" i="15"/>
  <c r="AS233" i="15"/>
  <c r="AA233" i="15"/>
  <c r="AT237" i="15"/>
  <c r="AS237" i="15"/>
  <c r="AQ237" i="15"/>
  <c r="AW237" i="15"/>
  <c r="AV237" i="15"/>
  <c r="AU237" i="15"/>
  <c r="AR237" i="15"/>
  <c r="AA237" i="15"/>
  <c r="AW240" i="15"/>
  <c r="AV240" i="15"/>
  <c r="AT240" i="15"/>
  <c r="AS240" i="15"/>
  <c r="AR240" i="15"/>
  <c r="AQ240" i="15"/>
  <c r="AU240" i="15"/>
  <c r="AA240" i="15"/>
  <c r="AS315" i="15"/>
  <c r="AR315" i="15"/>
  <c r="AW315" i="15"/>
  <c r="AV315" i="15"/>
  <c r="AU315" i="15"/>
  <c r="AT315" i="15"/>
  <c r="AQ315" i="15"/>
  <c r="AA315" i="15"/>
  <c r="AQ329" i="15"/>
  <c r="AV329" i="15"/>
  <c r="AU329" i="15"/>
  <c r="AT329" i="15"/>
  <c r="AS329" i="15"/>
  <c r="AR329" i="15"/>
  <c r="AW329" i="15"/>
  <c r="AA329" i="15"/>
  <c r="AW248" i="15"/>
  <c r="AA248" i="15"/>
  <c r="AV248" i="15"/>
  <c r="AU248" i="15"/>
  <c r="AT248" i="15"/>
  <c r="AS248" i="15"/>
  <c r="AR248" i="15"/>
  <c r="AQ248" i="15"/>
  <c r="AT252" i="15"/>
  <c r="AS252" i="15"/>
  <c r="AR252" i="15"/>
  <c r="AQ252" i="15"/>
  <c r="AW252" i="15"/>
  <c r="AA252" i="15"/>
  <c r="AV252" i="15"/>
  <c r="AU252" i="15"/>
  <c r="AU245" i="15"/>
  <c r="AT245" i="15"/>
  <c r="AS245" i="15"/>
  <c r="AR245" i="15"/>
  <c r="AQ245" i="15"/>
  <c r="AW245" i="15"/>
  <c r="AA245" i="15"/>
  <c r="AV245" i="15"/>
  <c r="AQ249" i="15"/>
  <c r="AW249" i="15"/>
  <c r="AA249" i="15"/>
  <c r="AV249" i="15"/>
  <c r="AU249" i="15"/>
  <c r="AT249" i="15"/>
  <c r="AS249" i="15"/>
  <c r="AR249" i="15"/>
  <c r="AV246" i="15"/>
  <c r="AU246" i="15"/>
  <c r="AT246" i="15"/>
  <c r="AS246" i="15"/>
  <c r="AR246" i="15"/>
  <c r="AQ246" i="15"/>
  <c r="AW246" i="15"/>
  <c r="AA246" i="15"/>
  <c r="AR250" i="15"/>
  <c r="AQ250" i="15"/>
  <c r="AW250" i="15"/>
  <c r="AA250" i="15"/>
  <c r="AV250" i="15"/>
  <c r="AU250" i="15"/>
  <c r="AT250" i="15"/>
  <c r="AS250" i="15"/>
  <c r="AW279" i="15"/>
  <c r="AV279" i="15"/>
  <c r="AU279" i="15"/>
  <c r="AT279" i="15"/>
  <c r="AS279" i="15"/>
  <c r="AA279" i="15"/>
  <c r="AR279" i="15"/>
  <c r="AQ279" i="15"/>
  <c r="AW247" i="15"/>
  <c r="AA247" i="15"/>
  <c r="AV247" i="15"/>
  <c r="AU247" i="15"/>
  <c r="AT247" i="15"/>
  <c r="AS247" i="15"/>
  <c r="AR247" i="15"/>
  <c r="AQ247" i="15"/>
  <c r="AO244" i="15"/>
  <c r="AT244" i="15"/>
  <c r="AS244" i="15"/>
  <c r="AR244" i="15"/>
  <c r="AQ244" i="15"/>
  <c r="AW244" i="15"/>
  <c r="AA244" i="15"/>
  <c r="AV244" i="15"/>
  <c r="AU244" i="15"/>
  <c r="AO281" i="15"/>
  <c r="AR281" i="15"/>
  <c r="AQ281" i="15"/>
  <c r="AW281" i="15"/>
  <c r="AV281" i="15"/>
  <c r="AU281" i="15"/>
  <c r="AT281" i="15"/>
  <c r="AS281" i="15"/>
  <c r="AA281" i="15"/>
  <c r="AQ256" i="15"/>
  <c r="AW256" i="15"/>
  <c r="AV256" i="15"/>
  <c r="AA256" i="15"/>
  <c r="AU256" i="15"/>
  <c r="AT256" i="15"/>
  <c r="AS256" i="15"/>
  <c r="AR256" i="15"/>
  <c r="AT259" i="15"/>
  <c r="AS259" i="15"/>
  <c r="AR259" i="15"/>
  <c r="AQ259" i="15"/>
  <c r="AW259" i="15"/>
  <c r="AV259" i="15"/>
  <c r="AA259" i="15"/>
  <c r="AU259" i="15"/>
  <c r="AW255" i="15"/>
  <c r="AV255" i="15"/>
  <c r="AA255" i="15"/>
  <c r="AU255" i="15"/>
  <c r="AT255" i="15"/>
  <c r="AS255" i="15"/>
  <c r="AR255" i="15"/>
  <c r="AQ255" i="15"/>
  <c r="AR257" i="15"/>
  <c r="AQ257" i="15"/>
  <c r="AW257" i="15"/>
  <c r="AV257" i="15"/>
  <c r="AA257" i="15"/>
  <c r="AU257" i="15"/>
  <c r="AT257" i="15"/>
  <c r="AS257" i="15"/>
  <c r="AS258" i="15"/>
  <c r="AR258" i="15"/>
  <c r="AQ258" i="15"/>
  <c r="AW258" i="15"/>
  <c r="AV258" i="15"/>
  <c r="AA258" i="15"/>
  <c r="AU258" i="15"/>
  <c r="AT258" i="15"/>
  <c r="AT226" i="15"/>
  <c r="AS226" i="15"/>
  <c r="AR226" i="15"/>
  <c r="AQ226" i="15"/>
  <c r="AA226" i="15"/>
  <c r="AW226" i="15"/>
  <c r="AV226" i="15"/>
  <c r="AU226" i="15"/>
  <c r="AR224" i="15"/>
  <c r="AQ224" i="15"/>
  <c r="AA224" i="15"/>
  <c r="AW224" i="15"/>
  <c r="AV224" i="15"/>
  <c r="AU224" i="15"/>
  <c r="AT224" i="15"/>
  <c r="AS224" i="15"/>
  <c r="AV228" i="15"/>
  <c r="AU228" i="15"/>
  <c r="AT228" i="15"/>
  <c r="AS228" i="15"/>
  <c r="AR228" i="15"/>
  <c r="AQ228" i="15"/>
  <c r="AA228" i="15"/>
  <c r="AW228" i="15"/>
  <c r="AS225" i="15"/>
  <c r="AR225" i="15"/>
  <c r="AQ225" i="15"/>
  <c r="AA225" i="15"/>
  <c r="AW225" i="15"/>
  <c r="AV225" i="15"/>
  <c r="AU225" i="15"/>
  <c r="AT225" i="15"/>
  <c r="U656" i="33"/>
  <c r="W656" i="33" s="1"/>
  <c r="R634" i="33"/>
  <c r="AI244" i="15"/>
  <c r="AJ244" i="15"/>
  <c r="AI281" i="15"/>
  <c r="AK244" i="15"/>
  <c r="AJ281" i="15"/>
  <c r="AL244" i="15"/>
  <c r="AK281" i="15"/>
  <c r="AM244" i="15"/>
  <c r="AL281" i="15"/>
  <c r="AN244" i="15"/>
  <c r="AM281" i="15"/>
  <c r="AN281" i="15"/>
  <c r="K24" i="32"/>
  <c r="G707" i="33" s="1"/>
  <c r="K23" i="32"/>
  <c r="G706" i="33" s="1"/>
  <c r="G21" i="18"/>
  <c r="G11" i="18"/>
  <c r="AJ357" i="15"/>
  <c r="AK353" i="15"/>
  <c r="AL442" i="15"/>
  <c r="AI201" i="15"/>
  <c r="AK357" i="15"/>
  <c r="AI383" i="15"/>
  <c r="AI156" i="15"/>
  <c r="AI202" i="15"/>
  <c r="AQ383" i="15"/>
  <c r="AI411" i="15"/>
  <c r="AJ352" i="15"/>
  <c r="AI151" i="15"/>
  <c r="AK351" i="15"/>
  <c r="AI169" i="15"/>
  <c r="AI133" i="15"/>
  <c r="AI135" i="15"/>
  <c r="AI159" i="15"/>
  <c r="AI171" i="15"/>
  <c r="AI161" i="15"/>
  <c r="AJ24" i="15"/>
  <c r="AI157" i="15"/>
  <c r="AI163" i="15"/>
  <c r="AI165" i="15"/>
  <c r="AI180" i="15"/>
  <c r="AK352" i="15"/>
  <c r="AJ358" i="15"/>
  <c r="AI141" i="15"/>
  <c r="AI122" i="15"/>
  <c r="AL355" i="15"/>
  <c r="AI182" i="15"/>
  <c r="AA411" i="15"/>
  <c r="AI138" i="15"/>
  <c r="AI143" i="15"/>
  <c r="AI145" i="15"/>
  <c r="AI210" i="15"/>
  <c r="AJ353" i="15"/>
  <c r="AI184" i="15"/>
  <c r="E265" i="15"/>
  <c r="E296" i="15"/>
  <c r="E269" i="15"/>
  <c r="AI154" i="15"/>
  <c r="E283" i="15"/>
  <c r="AI190" i="15"/>
  <c r="AI131" i="15"/>
  <c r="E267" i="15"/>
  <c r="AI146" i="15"/>
  <c r="E289" i="15"/>
  <c r="E300" i="15"/>
  <c r="S300" i="15" s="1"/>
  <c r="E291" i="15"/>
  <c r="E297" i="15"/>
  <c r="E295" i="15"/>
  <c r="E327" i="15"/>
  <c r="E272" i="15"/>
  <c r="E334" i="15"/>
  <c r="AL24" i="15"/>
  <c r="E284" i="15"/>
  <c r="AM24" i="15"/>
  <c r="E266" i="15"/>
  <c r="AI155" i="15"/>
  <c r="AI183" i="15"/>
  <c r="AI192" i="15"/>
  <c r="AK355" i="15"/>
  <c r="O195" i="15"/>
  <c r="AI185" i="15"/>
  <c r="AO355" i="15"/>
  <c r="AO357" i="15"/>
  <c r="AM352" i="15"/>
  <c r="AM441" i="15"/>
  <c r="AN351" i="15"/>
  <c r="AN358" i="15"/>
  <c r="AJ442" i="15"/>
  <c r="AL441" i="15"/>
  <c r="AM354" i="15"/>
  <c r="AL357" i="15"/>
  <c r="AQ22" i="15"/>
  <c r="E235" i="15"/>
  <c r="E251" i="15"/>
  <c r="AI109" i="15"/>
  <c r="E254" i="15"/>
  <c r="AK129" i="15"/>
  <c r="AI144" i="15"/>
  <c r="E294" i="15"/>
  <c r="AI175" i="15"/>
  <c r="AI207" i="15"/>
  <c r="E338" i="15"/>
  <c r="AN24" i="15"/>
  <c r="E270" i="15"/>
  <c r="AI117" i="15"/>
  <c r="AI136" i="15"/>
  <c r="E262" i="15"/>
  <c r="E243" i="15"/>
  <c r="AI178" i="15"/>
  <c r="AA22" i="15"/>
  <c r="AO24" i="15"/>
  <c r="E227" i="15"/>
  <c r="AI167" i="15"/>
  <c r="AK24" i="15"/>
  <c r="AI101" i="15"/>
  <c r="AI125" i="15"/>
  <c r="AI107" i="15"/>
  <c r="AI115" i="15"/>
  <c r="AI123" i="15"/>
  <c r="AL255" i="15"/>
  <c r="AI134" i="15"/>
  <c r="AI142" i="15"/>
  <c r="AI150" i="15"/>
  <c r="E293" i="15"/>
  <c r="E312" i="15"/>
  <c r="AN256" i="15"/>
  <c r="E280" i="15"/>
  <c r="AI168" i="15"/>
  <c r="AI194" i="15"/>
  <c r="P254" i="15"/>
  <c r="P174" i="15"/>
  <c r="F174" i="15" s="1"/>
  <c r="AI130" i="15"/>
  <c r="AI102" i="15"/>
  <c r="AI110" i="15"/>
  <c r="AI118" i="15"/>
  <c r="E277" i="15"/>
  <c r="AI158" i="15"/>
  <c r="E286" i="15"/>
  <c r="E290" i="15"/>
  <c r="E298" i="15"/>
  <c r="O174" i="15"/>
  <c r="E308" i="15"/>
  <c r="E314" i="15"/>
  <c r="AN224" i="15"/>
  <c r="AI103" i="15"/>
  <c r="AI111" i="15"/>
  <c r="AI119" i="15"/>
  <c r="AI127" i="15"/>
  <c r="AI152" i="15"/>
  <c r="E285" i="15"/>
  <c r="E301" i="15"/>
  <c r="E304" i="15"/>
  <c r="E276" i="15"/>
  <c r="E282" i="15"/>
  <c r="AI160" i="15"/>
  <c r="AI162" i="15"/>
  <c r="AJ175" i="15"/>
  <c r="E313" i="15"/>
  <c r="AI196" i="15"/>
  <c r="AI105" i="15"/>
  <c r="AI113" i="15"/>
  <c r="AI121" i="15"/>
  <c r="AI132" i="15"/>
  <c r="AI140" i="15"/>
  <c r="AI148" i="15"/>
  <c r="E278" i="15"/>
  <c r="E288" i="15"/>
  <c r="AI170" i="15"/>
  <c r="AI188" i="15"/>
  <c r="E325" i="15"/>
  <c r="AI212" i="15"/>
  <c r="AI189" i="15"/>
  <c r="P195" i="15"/>
  <c r="F195" i="15" s="1"/>
  <c r="AI166" i="15"/>
  <c r="AI177" i="15"/>
  <c r="E306" i="15"/>
  <c r="AI193" i="15"/>
  <c r="P321" i="15"/>
  <c r="P216" i="15"/>
  <c r="F216" i="15" s="1"/>
  <c r="AI199" i="15"/>
  <c r="AI204" i="15"/>
  <c r="AI181" i="15"/>
  <c r="E311" i="15"/>
  <c r="E330" i="15"/>
  <c r="AJ300" i="15"/>
  <c r="AI179" i="15"/>
  <c r="E307" i="15"/>
  <c r="AI187" i="15"/>
  <c r="E319" i="15"/>
  <c r="E322" i="15"/>
  <c r="E333" i="15"/>
  <c r="AO256" i="15"/>
  <c r="AM442" i="15"/>
  <c r="AO442" i="15"/>
  <c r="O216" i="15"/>
  <c r="AI197" i="15"/>
  <c r="AI205" i="15"/>
  <c r="AI213" i="15"/>
  <c r="AI198" i="15"/>
  <c r="AI206" i="15"/>
  <c r="AI214" i="15"/>
  <c r="AI215" i="15"/>
  <c r="AI200" i="15"/>
  <c r="AI208" i="15"/>
  <c r="AL353" i="15"/>
  <c r="AO353" i="15"/>
  <c r="AI356" i="15"/>
  <c r="AO356" i="15"/>
  <c r="AK356" i="15"/>
  <c r="AJ356" i="15"/>
  <c r="AN356" i="15"/>
  <c r="AI358" i="15"/>
  <c r="AK358" i="15"/>
  <c r="AO358" i="15"/>
  <c r="AM355" i="15"/>
  <c r="AL356" i="15"/>
  <c r="AN442" i="15"/>
  <c r="AA349" i="15"/>
  <c r="AO351" i="15"/>
  <c r="AN352" i="15"/>
  <c r="AJ354" i="15"/>
  <c r="AM356" i="15"/>
  <c r="AN441" i="15"/>
  <c r="AI349" i="15"/>
  <c r="AO352" i="15"/>
  <c r="AN353" i="15"/>
  <c r="AK354" i="15"/>
  <c r="AJ355" i="15"/>
  <c r="AM357" i="15"/>
  <c r="AL358" i="15"/>
  <c r="AQ439" i="15"/>
  <c r="AI439" i="15"/>
  <c r="AK441" i="15"/>
  <c r="AL351" i="15"/>
  <c r="AN354" i="15"/>
  <c r="AM358" i="15"/>
  <c r="AA439" i="15"/>
  <c r="AM351" i="15"/>
  <c r="AL352" i="15"/>
  <c r="AO354" i="15"/>
  <c r="AN355" i="15"/>
  <c r="AI441" i="15"/>
  <c r="AO441" i="15"/>
  <c r="AJ351" i="15"/>
  <c r="AM353" i="15"/>
  <c r="AL354" i="15"/>
  <c r="AN357" i="15"/>
  <c r="AI442" i="15"/>
  <c r="AK442" i="15"/>
  <c r="AW312" i="15" l="1"/>
  <c r="AU312" i="15"/>
  <c r="AT312" i="15"/>
  <c r="AS312" i="15"/>
  <c r="AR312" i="15"/>
  <c r="AQ312" i="15"/>
  <c r="AV312" i="15"/>
  <c r="AA312" i="15"/>
  <c r="AS298" i="15"/>
  <c r="AR298" i="15"/>
  <c r="AW298" i="15"/>
  <c r="AV298" i="15"/>
  <c r="AU298" i="15"/>
  <c r="AT298" i="15"/>
  <c r="AQ298" i="15"/>
  <c r="AA298" i="15"/>
  <c r="AV293" i="15"/>
  <c r="AU293" i="15"/>
  <c r="AS293" i="15"/>
  <c r="AR293" i="15"/>
  <c r="AQ293" i="15"/>
  <c r="AW293" i="15"/>
  <c r="AT293" i="15"/>
  <c r="AA293" i="15"/>
  <c r="AW295" i="15"/>
  <c r="AU295" i="15"/>
  <c r="AT295" i="15"/>
  <c r="AS295" i="15"/>
  <c r="AR295" i="15"/>
  <c r="AQ295" i="15"/>
  <c r="AV295" i="15"/>
  <c r="AA295" i="15"/>
  <c r="AW319" i="15"/>
  <c r="AV319" i="15"/>
  <c r="AT319" i="15"/>
  <c r="AS319" i="15"/>
  <c r="AR319" i="15"/>
  <c r="AQ319" i="15"/>
  <c r="AA319" i="15"/>
  <c r="AU319" i="15"/>
  <c r="AW327" i="15"/>
  <c r="AV327" i="15"/>
  <c r="AT327" i="15"/>
  <c r="AS327" i="15"/>
  <c r="AR327" i="15"/>
  <c r="AQ327" i="15"/>
  <c r="AU327" i="15"/>
  <c r="AA327" i="15"/>
  <c r="AT262" i="15"/>
  <c r="AS262" i="15"/>
  <c r="AQ262" i="15"/>
  <c r="AW262" i="15"/>
  <c r="AV262" i="15"/>
  <c r="AU262" i="15"/>
  <c r="AR262" i="15"/>
  <c r="AA262" i="15"/>
  <c r="AW294" i="15"/>
  <c r="AV294" i="15"/>
  <c r="AT294" i="15"/>
  <c r="AS294" i="15"/>
  <c r="AR294" i="15"/>
  <c r="AQ294" i="15"/>
  <c r="AU294" i="15"/>
  <c r="AA294" i="15"/>
  <c r="AW266" i="15"/>
  <c r="AU266" i="15"/>
  <c r="AT266" i="15"/>
  <c r="AS266" i="15"/>
  <c r="AR266" i="15"/>
  <c r="AQ266" i="15"/>
  <c r="AV266" i="15"/>
  <c r="AA266" i="15"/>
  <c r="AR297" i="15"/>
  <c r="AQ297" i="15"/>
  <c r="AW297" i="15"/>
  <c r="AV297" i="15"/>
  <c r="AU297" i="15"/>
  <c r="AT297" i="15"/>
  <c r="AS297" i="15"/>
  <c r="AA297" i="15"/>
  <c r="O341" i="15"/>
  <c r="E216" i="15"/>
  <c r="H308" i="33" s="1"/>
  <c r="AS307" i="15"/>
  <c r="AR307" i="15"/>
  <c r="AW307" i="15"/>
  <c r="AV307" i="15"/>
  <c r="AU307" i="15"/>
  <c r="AT307" i="15"/>
  <c r="AQ307" i="15"/>
  <c r="AA307" i="15"/>
  <c r="AS290" i="15"/>
  <c r="AR290" i="15"/>
  <c r="AW290" i="15"/>
  <c r="AV290" i="15"/>
  <c r="AU290" i="15"/>
  <c r="AT290" i="15"/>
  <c r="AA290" i="15"/>
  <c r="AQ290" i="15"/>
  <c r="AU325" i="15"/>
  <c r="AT325" i="15"/>
  <c r="AR325" i="15"/>
  <c r="AQ325" i="15"/>
  <c r="AW325" i="15"/>
  <c r="AV325" i="15"/>
  <c r="AS325" i="15"/>
  <c r="AA325" i="15"/>
  <c r="AW286" i="15"/>
  <c r="AV286" i="15"/>
  <c r="AT286" i="15"/>
  <c r="AS286" i="15"/>
  <c r="AR286" i="15"/>
  <c r="AQ286" i="15"/>
  <c r="AU286" i="15"/>
  <c r="AA286" i="15"/>
  <c r="AT291" i="15"/>
  <c r="AS291" i="15"/>
  <c r="AQ291" i="15"/>
  <c r="AW291" i="15"/>
  <c r="AV291" i="15"/>
  <c r="AU291" i="15"/>
  <c r="AA291" i="15"/>
  <c r="AR291" i="15"/>
  <c r="AU284" i="15"/>
  <c r="AT284" i="15"/>
  <c r="AR284" i="15"/>
  <c r="AQ284" i="15"/>
  <c r="AW284" i="15"/>
  <c r="AV284" i="15"/>
  <c r="AS284" i="15"/>
  <c r="AA284" i="15"/>
  <c r="AT300" i="15"/>
  <c r="AS300" i="15"/>
  <c r="AQ300" i="15"/>
  <c r="AW300" i="15"/>
  <c r="AV300" i="15"/>
  <c r="AU300" i="15"/>
  <c r="AA300" i="15"/>
  <c r="AR300" i="15"/>
  <c r="AS269" i="15"/>
  <c r="AR269" i="15"/>
  <c r="AW269" i="15"/>
  <c r="AV269" i="15"/>
  <c r="AU269" i="15"/>
  <c r="AT269" i="15"/>
  <c r="AQ269" i="15"/>
  <c r="AA269" i="15"/>
  <c r="AR235" i="15"/>
  <c r="AQ235" i="15"/>
  <c r="AW235" i="15"/>
  <c r="AV235" i="15"/>
  <c r="AT235" i="15"/>
  <c r="AS235" i="15"/>
  <c r="AU235" i="15"/>
  <c r="AA235" i="15"/>
  <c r="AR330" i="15"/>
  <c r="AQ330" i="15"/>
  <c r="AW330" i="15"/>
  <c r="AV330" i="15"/>
  <c r="AU330" i="15"/>
  <c r="AT330" i="15"/>
  <c r="AS330" i="15"/>
  <c r="AA330" i="15"/>
  <c r="AR306" i="15"/>
  <c r="AQ306" i="15"/>
  <c r="AW306" i="15"/>
  <c r="AV306" i="15"/>
  <c r="AU306" i="15"/>
  <c r="AT306" i="15"/>
  <c r="AS306" i="15"/>
  <c r="AA306" i="15"/>
  <c r="AW304" i="15"/>
  <c r="AU304" i="15"/>
  <c r="AT304" i="15"/>
  <c r="AS304" i="15"/>
  <c r="AR304" i="15"/>
  <c r="AQ304" i="15"/>
  <c r="AV304" i="15"/>
  <c r="AA304" i="15"/>
  <c r="AS277" i="15"/>
  <c r="AR277" i="15"/>
  <c r="AW277" i="15"/>
  <c r="AV277" i="15"/>
  <c r="AU277" i="15"/>
  <c r="AT277" i="15"/>
  <c r="AQ277" i="15"/>
  <c r="AA277" i="15"/>
  <c r="AT270" i="15"/>
  <c r="AS270" i="15"/>
  <c r="AQ270" i="15"/>
  <c r="AW270" i="15"/>
  <c r="AV270" i="15"/>
  <c r="AU270" i="15"/>
  <c r="AR270" i="15"/>
  <c r="AA270" i="15"/>
  <c r="O320" i="15"/>
  <c r="E195" i="15"/>
  <c r="AQ195" i="15" s="1"/>
  <c r="AR289" i="15"/>
  <c r="AQ289" i="15"/>
  <c r="AW289" i="15"/>
  <c r="AV289" i="15"/>
  <c r="AU289" i="15"/>
  <c r="AT289" i="15"/>
  <c r="AS289" i="15"/>
  <c r="AA289" i="15"/>
  <c r="AQ296" i="15"/>
  <c r="AV296" i="15"/>
  <c r="AU296" i="15"/>
  <c r="AT296" i="15"/>
  <c r="AS296" i="15"/>
  <c r="AR296" i="15"/>
  <c r="AW296" i="15"/>
  <c r="AA296" i="15"/>
  <c r="AU333" i="15"/>
  <c r="AT333" i="15"/>
  <c r="AR333" i="15"/>
  <c r="AQ333" i="15"/>
  <c r="AW333" i="15"/>
  <c r="AV333" i="15"/>
  <c r="AS333" i="15"/>
  <c r="AA333" i="15"/>
  <c r="AW311" i="15"/>
  <c r="AV311" i="15"/>
  <c r="AT311" i="15"/>
  <c r="AS311" i="15"/>
  <c r="AR311" i="15"/>
  <c r="AQ311" i="15"/>
  <c r="AU311" i="15"/>
  <c r="AA311" i="15"/>
  <c r="AQ288" i="15"/>
  <c r="AV288" i="15"/>
  <c r="AU288" i="15"/>
  <c r="AT288" i="15"/>
  <c r="AS288" i="15"/>
  <c r="AR288" i="15"/>
  <c r="AW288" i="15"/>
  <c r="AA288" i="15"/>
  <c r="AU301" i="15"/>
  <c r="AT301" i="15"/>
  <c r="AR301" i="15"/>
  <c r="AQ301" i="15"/>
  <c r="AW301" i="15"/>
  <c r="AV301" i="15"/>
  <c r="AS301" i="15"/>
  <c r="AA301" i="15"/>
  <c r="AV334" i="15"/>
  <c r="AU334" i="15"/>
  <c r="AS334" i="15"/>
  <c r="AR334" i="15"/>
  <c r="AQ334" i="15"/>
  <c r="AW334" i="15"/>
  <c r="AT334" i="15"/>
  <c r="AA334" i="15"/>
  <c r="AW265" i="15"/>
  <c r="AV265" i="15"/>
  <c r="AT265" i="15"/>
  <c r="AS265" i="15"/>
  <c r="AR265" i="15"/>
  <c r="AQ265" i="15"/>
  <c r="AU265" i="15"/>
  <c r="AA265" i="15"/>
  <c r="AR276" i="15"/>
  <c r="AQ276" i="15"/>
  <c r="AW276" i="15"/>
  <c r="AV276" i="15"/>
  <c r="AU276" i="15"/>
  <c r="AT276" i="15"/>
  <c r="AS276" i="15"/>
  <c r="AA276" i="15"/>
  <c r="AR314" i="15"/>
  <c r="AQ314" i="15"/>
  <c r="AW314" i="15"/>
  <c r="AV314" i="15"/>
  <c r="AU314" i="15"/>
  <c r="AT314" i="15"/>
  <c r="AS314" i="15"/>
  <c r="AA314" i="15"/>
  <c r="AR322" i="15"/>
  <c r="AQ322" i="15"/>
  <c r="AW322" i="15"/>
  <c r="AV322" i="15"/>
  <c r="AU322" i="15"/>
  <c r="AT322" i="15"/>
  <c r="AS322" i="15"/>
  <c r="AA322" i="15"/>
  <c r="AT278" i="15"/>
  <c r="AS278" i="15"/>
  <c r="AQ278" i="15"/>
  <c r="AW278" i="15"/>
  <c r="AV278" i="15"/>
  <c r="AU278" i="15"/>
  <c r="AR278" i="15"/>
  <c r="AA278" i="15"/>
  <c r="AQ313" i="15"/>
  <c r="AV313" i="15"/>
  <c r="AU313" i="15"/>
  <c r="AT313" i="15"/>
  <c r="AS313" i="15"/>
  <c r="AR313" i="15"/>
  <c r="AW313" i="15"/>
  <c r="AA313" i="15"/>
  <c r="AV285" i="15"/>
  <c r="AU285" i="15"/>
  <c r="AS285" i="15"/>
  <c r="AR285" i="15"/>
  <c r="AQ285" i="15"/>
  <c r="AW285" i="15"/>
  <c r="AT285" i="15"/>
  <c r="AA285" i="15"/>
  <c r="AT308" i="15"/>
  <c r="AS308" i="15"/>
  <c r="AQ308" i="15"/>
  <c r="AW308" i="15"/>
  <c r="AV308" i="15"/>
  <c r="AU308" i="15"/>
  <c r="AR308" i="15"/>
  <c r="AA308" i="15"/>
  <c r="AR338" i="15"/>
  <c r="AQ338" i="15"/>
  <c r="AW338" i="15"/>
  <c r="AV338" i="15"/>
  <c r="AU338" i="15"/>
  <c r="AT338" i="15"/>
  <c r="AS338" i="15"/>
  <c r="AA338" i="15"/>
  <c r="AV272" i="15"/>
  <c r="AU272" i="15"/>
  <c r="AS272" i="15"/>
  <c r="AR272" i="15"/>
  <c r="AQ272" i="15"/>
  <c r="AW272" i="15"/>
  <c r="AT272" i="15"/>
  <c r="AA272" i="15"/>
  <c r="AQ267" i="15"/>
  <c r="AV267" i="15"/>
  <c r="AU267" i="15"/>
  <c r="AT267" i="15"/>
  <c r="AS267" i="15"/>
  <c r="AR267" i="15"/>
  <c r="AW267" i="15"/>
  <c r="AA267" i="15"/>
  <c r="AS243" i="15"/>
  <c r="AR243" i="15"/>
  <c r="AQ243" i="15"/>
  <c r="AW243" i="15"/>
  <c r="AA243" i="15"/>
  <c r="AV243" i="15"/>
  <c r="AU243" i="15"/>
  <c r="AT243" i="15"/>
  <c r="AT283" i="15"/>
  <c r="AS283" i="15"/>
  <c r="AA283" i="15"/>
  <c r="AR283" i="15"/>
  <c r="AQ283" i="15"/>
  <c r="AW283" i="15"/>
  <c r="AV283" i="15"/>
  <c r="AU283" i="15"/>
  <c r="AS282" i="15"/>
  <c r="AA282" i="15"/>
  <c r="AR282" i="15"/>
  <c r="AQ282" i="15"/>
  <c r="AW282" i="15"/>
  <c r="AV282" i="15"/>
  <c r="AU282" i="15"/>
  <c r="AT282" i="15"/>
  <c r="AQ280" i="15"/>
  <c r="AW280" i="15"/>
  <c r="AV280" i="15"/>
  <c r="AU280" i="15"/>
  <c r="AT280" i="15"/>
  <c r="AS280" i="15"/>
  <c r="AA280" i="15"/>
  <c r="AR280" i="15"/>
  <c r="AS251" i="15"/>
  <c r="AR251" i="15"/>
  <c r="AQ251" i="15"/>
  <c r="AW251" i="15"/>
  <c r="AA251" i="15"/>
  <c r="AV251" i="15"/>
  <c r="AU251" i="15"/>
  <c r="AT251" i="15"/>
  <c r="O299" i="15"/>
  <c r="E174" i="15"/>
  <c r="AW254" i="15"/>
  <c r="AV254" i="15"/>
  <c r="AA254" i="15"/>
  <c r="AU254" i="15"/>
  <c r="AT254" i="15"/>
  <c r="AS254" i="15"/>
  <c r="AR254" i="15"/>
  <c r="AQ254" i="15"/>
  <c r="AU227" i="15"/>
  <c r="AT227" i="15"/>
  <c r="AS227" i="15"/>
  <c r="AR227" i="15"/>
  <c r="AQ227" i="15"/>
  <c r="AA227" i="15"/>
  <c r="AW227" i="15"/>
  <c r="AV227" i="15"/>
  <c r="S216" i="15"/>
  <c r="AI216" i="15" s="1"/>
  <c r="I308" i="33"/>
  <c r="AI254" i="15"/>
  <c r="AK254" i="15"/>
  <c r="AJ254" i="15"/>
  <c r="AO254" i="15"/>
  <c r="AL254" i="15"/>
  <c r="AN254" i="15"/>
  <c r="AM254" i="15"/>
  <c r="AK279" i="15"/>
  <c r="AL279" i="15"/>
  <c r="AJ279" i="15"/>
  <c r="AI279" i="15"/>
  <c r="AO279" i="15"/>
  <c r="AN279" i="15"/>
  <c r="AM279" i="15"/>
  <c r="AM280" i="15"/>
  <c r="AL280" i="15"/>
  <c r="AK280" i="15"/>
  <c r="AN280" i="15"/>
  <c r="AJ280" i="15"/>
  <c r="AI280" i="15"/>
  <c r="AO280" i="15"/>
  <c r="AN243" i="15"/>
  <c r="AM243" i="15"/>
  <c r="AL243" i="15"/>
  <c r="AK243" i="15"/>
  <c r="AJ243" i="15"/>
  <c r="AO243" i="15"/>
  <c r="AI243" i="15"/>
  <c r="AI282" i="15"/>
  <c r="AJ282" i="15"/>
  <c r="AO282" i="15"/>
  <c r="AN282" i="15"/>
  <c r="AM282" i="15"/>
  <c r="AL282" i="15"/>
  <c r="AK282" i="15"/>
  <c r="G33" i="18"/>
  <c r="P98" i="15"/>
  <c r="H174" i="15"/>
  <c r="I174" i="15"/>
  <c r="G174" i="15"/>
  <c r="L174" i="15"/>
  <c r="K174" i="15"/>
  <c r="J174" i="15"/>
  <c r="L216" i="15"/>
  <c r="K216" i="15"/>
  <c r="J216" i="15"/>
  <c r="I216" i="15"/>
  <c r="H216" i="15"/>
  <c r="G216" i="15"/>
  <c r="L195" i="15"/>
  <c r="K195" i="15"/>
  <c r="J195" i="15"/>
  <c r="I195" i="15"/>
  <c r="H195" i="15"/>
  <c r="G195" i="15"/>
  <c r="AO255" i="15"/>
  <c r="AM130" i="15"/>
  <c r="AN130" i="15"/>
  <c r="AO130" i="15"/>
  <c r="AO300" i="15"/>
  <c r="AN300" i="15"/>
  <c r="AM224" i="15"/>
  <c r="AJ99" i="15"/>
  <c r="AK300" i="15"/>
  <c r="AK256" i="15"/>
  <c r="AJ129" i="15"/>
  <c r="AK130" i="15"/>
  <c r="AO131" i="15"/>
  <c r="AM131" i="15"/>
  <c r="AJ131" i="15"/>
  <c r="AN131" i="15"/>
  <c r="AJ130" i="15"/>
  <c r="AK131" i="15"/>
  <c r="AL130" i="15"/>
  <c r="AL131" i="15"/>
  <c r="AI300" i="15"/>
  <c r="AM300" i="15"/>
  <c r="AL300" i="15"/>
  <c r="AN175" i="15"/>
  <c r="AK175" i="15"/>
  <c r="AL175" i="15"/>
  <c r="AM175" i="15"/>
  <c r="AI99" i="15"/>
  <c r="AO99" i="15"/>
  <c r="AL99" i="15"/>
  <c r="AK99" i="15"/>
  <c r="AM99" i="15"/>
  <c r="AL224" i="15"/>
  <c r="AK224" i="15"/>
  <c r="AJ224" i="15"/>
  <c r="AI224" i="15"/>
  <c r="AO224" i="15"/>
  <c r="AL129" i="15"/>
  <c r="AI129" i="15"/>
  <c r="AO129" i="15"/>
  <c r="AM129" i="15"/>
  <c r="E341" i="15"/>
  <c r="H314" i="33" s="1"/>
  <c r="P341" i="15"/>
  <c r="P320" i="15"/>
  <c r="P299" i="15"/>
  <c r="AN255" i="15"/>
  <c r="AM255" i="15"/>
  <c r="AI255" i="15"/>
  <c r="AK255" i="15"/>
  <c r="AJ255" i="15"/>
  <c r="AN99" i="15"/>
  <c r="AO175" i="15"/>
  <c r="AM256" i="15"/>
  <c r="AL256" i="15"/>
  <c r="AJ256" i="15"/>
  <c r="AI256" i="15"/>
  <c r="AN129" i="15"/>
  <c r="AG195" i="15" l="1"/>
  <c r="AW195" i="15"/>
  <c r="J308" i="33"/>
  <c r="AR216" i="15"/>
  <c r="AB216" i="15"/>
  <c r="AS216" i="15"/>
  <c r="AC216" i="15"/>
  <c r="S195" i="15"/>
  <c r="AV195" i="15"/>
  <c r="AF195" i="15"/>
  <c r="J287" i="33"/>
  <c r="AR195" i="15"/>
  <c r="AB195" i="15"/>
  <c r="AT216" i="15"/>
  <c r="AD216" i="15"/>
  <c r="AA195" i="15"/>
  <c r="AS195" i="15"/>
  <c r="AC195" i="15"/>
  <c r="AU216" i="15"/>
  <c r="AE216" i="15"/>
  <c r="AT195" i="15"/>
  <c r="AD195" i="15"/>
  <c r="AV216" i="15"/>
  <c r="AF216" i="15"/>
  <c r="AA216" i="15"/>
  <c r="AU195" i="15"/>
  <c r="AE195" i="15"/>
  <c r="AW216" i="15"/>
  <c r="AG216" i="15"/>
  <c r="AQ216" i="15"/>
  <c r="AA174" i="15"/>
  <c r="AQ174" i="15"/>
  <c r="S174" i="15"/>
  <c r="M266" i="33"/>
  <c r="AU174" i="15"/>
  <c r="AE174" i="15"/>
  <c r="W174" i="15"/>
  <c r="N266" i="33"/>
  <c r="AV174" i="15"/>
  <c r="AF174" i="15"/>
  <c r="X174" i="15"/>
  <c r="O266" i="33"/>
  <c r="AW174" i="15"/>
  <c r="AG174" i="15"/>
  <c r="Y174" i="15"/>
  <c r="J266" i="33"/>
  <c r="AB174" i="15"/>
  <c r="AR174" i="15"/>
  <c r="T174" i="15"/>
  <c r="L266" i="33"/>
  <c r="AT174" i="15"/>
  <c r="AD174" i="15"/>
  <c r="V174" i="15"/>
  <c r="K266" i="33"/>
  <c r="AC174" i="15"/>
  <c r="AS174" i="15"/>
  <c r="U174" i="15"/>
  <c r="M308" i="33"/>
  <c r="W216" i="15"/>
  <c r="N308" i="33"/>
  <c r="X216" i="15"/>
  <c r="O308" i="33"/>
  <c r="Y216" i="15"/>
  <c r="K308" i="33"/>
  <c r="U216" i="15"/>
  <c r="L308" i="33"/>
  <c r="V216" i="15"/>
  <c r="T216" i="15"/>
  <c r="AK216" i="15" s="1"/>
  <c r="K287" i="33"/>
  <c r="U195" i="15"/>
  <c r="L287" i="33"/>
  <c r="V195" i="15"/>
  <c r="M287" i="33"/>
  <c r="W195" i="15"/>
  <c r="N287" i="33"/>
  <c r="X195" i="15"/>
  <c r="O287" i="33"/>
  <c r="Y195" i="15"/>
  <c r="T195" i="15"/>
  <c r="AJ216" i="15"/>
  <c r="P128" i="15"/>
  <c r="P223" i="15"/>
  <c r="H299" i="15"/>
  <c r="F299" i="15"/>
  <c r="I299" i="15"/>
  <c r="G299" i="15"/>
  <c r="L299" i="15"/>
  <c r="K299" i="15"/>
  <c r="J299" i="15"/>
  <c r="J320" i="15"/>
  <c r="I320" i="15"/>
  <c r="K320" i="15"/>
  <c r="F320" i="15"/>
  <c r="H320" i="15"/>
  <c r="G320" i="15"/>
  <c r="L320" i="15"/>
  <c r="K341" i="15"/>
  <c r="J341" i="15"/>
  <c r="L341" i="15"/>
  <c r="G341" i="15"/>
  <c r="H341" i="15"/>
  <c r="I341" i="15"/>
  <c r="F341" i="15"/>
  <c r="G139" i="18"/>
  <c r="G69" i="18"/>
  <c r="AQ341" i="15" l="1"/>
  <c r="AA341" i="15"/>
  <c r="L314" i="33"/>
  <c r="AT341" i="15"/>
  <c r="AD341" i="15"/>
  <c r="K313" i="33"/>
  <c r="AC320" i="15"/>
  <c r="K314" i="33"/>
  <c r="AS341" i="15"/>
  <c r="AC341" i="15"/>
  <c r="O313" i="33"/>
  <c r="AG320" i="15"/>
  <c r="AB320" i="15"/>
  <c r="O314" i="33"/>
  <c r="AW341" i="15"/>
  <c r="AG341" i="15"/>
  <c r="AR341" i="15"/>
  <c r="AB341" i="15"/>
  <c r="L313" i="33"/>
  <c r="AD320" i="15"/>
  <c r="M314" i="33"/>
  <c r="AU341" i="15"/>
  <c r="AE341" i="15"/>
  <c r="M313" i="33"/>
  <c r="AE320" i="15"/>
  <c r="N313" i="33"/>
  <c r="AF320" i="15"/>
  <c r="N314" i="33"/>
  <c r="AV341" i="15"/>
  <c r="AF341" i="15"/>
  <c r="M312" i="33"/>
  <c r="AE299" i="15"/>
  <c r="N312" i="33"/>
  <c r="AF299" i="15"/>
  <c r="J312" i="33"/>
  <c r="AB299" i="15"/>
  <c r="T299" i="15"/>
  <c r="L312" i="33"/>
  <c r="AD299" i="15"/>
  <c r="I312" i="33"/>
  <c r="O312" i="33"/>
  <c r="AG299" i="15"/>
  <c r="K312" i="33"/>
  <c r="AC299" i="15"/>
  <c r="AN216" i="15"/>
  <c r="AL216" i="15"/>
  <c r="AM216" i="15"/>
  <c r="J314" i="33"/>
  <c r="T341" i="15"/>
  <c r="AO216" i="15"/>
  <c r="I314" i="33"/>
  <c r="S341" i="15"/>
  <c r="AJ341" i="15" s="1"/>
  <c r="J313" i="33"/>
  <c r="T320" i="15"/>
  <c r="I313" i="33"/>
  <c r="V341" i="15"/>
  <c r="U341" i="15"/>
  <c r="Y341" i="15"/>
  <c r="W341" i="15"/>
  <c r="X341" i="15"/>
  <c r="V320" i="15"/>
  <c r="W320" i="15"/>
  <c r="W299" i="15"/>
  <c r="P253" i="15"/>
  <c r="F253" i="15" s="1"/>
  <c r="V299" i="15"/>
  <c r="Y320" i="15"/>
  <c r="U320" i="15"/>
  <c r="X299" i="15"/>
  <c r="Y299" i="15"/>
  <c r="X320" i="15"/>
  <c r="U299" i="15"/>
  <c r="I311" i="33" l="1"/>
  <c r="AM341" i="15"/>
  <c r="AO341" i="15"/>
  <c r="AL341" i="15"/>
  <c r="AN341" i="15"/>
  <c r="AK341" i="15"/>
  <c r="AI341" i="15"/>
  <c r="K253" i="15"/>
  <c r="J253" i="15"/>
  <c r="I253" i="15"/>
  <c r="L253" i="15"/>
  <c r="H253" i="15"/>
  <c r="G253" i="15"/>
  <c r="K311" i="33" l="1"/>
  <c r="AC253" i="15"/>
  <c r="L311" i="33"/>
  <c r="AD253" i="15"/>
  <c r="J311" i="33"/>
  <c r="AB253" i="15"/>
  <c r="T253" i="15"/>
  <c r="M311" i="33"/>
  <c r="AE253" i="15"/>
  <c r="N311" i="33"/>
  <c r="AF253" i="15"/>
  <c r="O311" i="33"/>
  <c r="AG253" i="15"/>
  <c r="X253" i="15"/>
  <c r="U253" i="15"/>
  <c r="W253" i="15"/>
  <c r="Y253" i="15"/>
  <c r="V253" i="15"/>
  <c r="J20" i="22" l="1"/>
  <c r="J19" i="22"/>
  <c r="J18" i="22"/>
  <c r="J17" i="22"/>
  <c r="J16" i="22"/>
  <c r="J15" i="22"/>
  <c r="J11" i="22"/>
  <c r="J14" i="22"/>
  <c r="J13" i="22"/>
  <c r="J12" i="22"/>
  <c r="B16" i="22"/>
  <c r="B15" i="22"/>
  <c r="B14" i="22"/>
  <c r="B13" i="22"/>
  <c r="B12" i="22"/>
  <c r="B11" i="22"/>
  <c r="B7" i="22"/>
  <c r="B6" i="22"/>
  <c r="B242" i="22"/>
  <c r="B19" i="22" s="1"/>
  <c r="H253" i="22"/>
  <c r="B251" i="22" l="1"/>
  <c r="B20" i="22" s="1"/>
  <c r="B227" i="22"/>
  <c r="B17" i="22" s="1"/>
  <c r="B231" i="22"/>
  <c r="B18" i="22" s="1"/>
  <c r="P60" i="22"/>
  <c r="Q60" i="22"/>
  <c r="R60" i="22"/>
  <c r="C87" i="14"/>
  <c r="B97" i="33" s="1"/>
  <c r="C88" i="14"/>
  <c r="B98" i="33" s="1"/>
  <c r="N40" i="14"/>
  <c r="S52" i="33" s="1"/>
  <c r="C102" i="14"/>
  <c r="B112" i="33" s="1"/>
  <c r="C101" i="14"/>
  <c r="B111" i="33" s="1"/>
  <c r="E88" i="14"/>
  <c r="D98" i="33" s="1"/>
  <c r="E106" i="14"/>
  <c r="E107" i="14" s="1"/>
  <c r="E97" i="14"/>
  <c r="D107" i="33" s="1"/>
  <c r="E92" i="14"/>
  <c r="D102" i="33" s="1"/>
  <c r="E72" i="14"/>
  <c r="E73" i="14" s="1"/>
  <c r="E65" i="14"/>
  <c r="E67" i="14" s="1"/>
  <c r="E68" i="14" s="1"/>
  <c r="E62" i="14"/>
  <c r="E63" i="14" s="1"/>
  <c r="E64" i="14" s="1"/>
  <c r="E56" i="14"/>
  <c r="E57" i="14" s="1"/>
  <c r="E58" i="14" s="1"/>
  <c r="E51" i="14"/>
  <c r="E46" i="14"/>
  <c r="E47" i="14" s="1"/>
  <c r="C76" i="14"/>
  <c r="B86" i="33" s="1"/>
  <c r="D67" i="14"/>
  <c r="C77" i="33" s="1"/>
  <c r="D65" i="14"/>
  <c r="C75" i="33" s="1"/>
  <c r="C65" i="14"/>
  <c r="B75" i="33" s="1"/>
  <c r="C64" i="14"/>
  <c r="B74" i="33" s="1"/>
  <c r="D63" i="14"/>
  <c r="C73" i="33" s="1"/>
  <c r="C63" i="14"/>
  <c r="B73" i="33" s="1"/>
  <c r="C62" i="14"/>
  <c r="B72" i="33" s="1"/>
  <c r="C57" i="14"/>
  <c r="B67" i="33" s="1"/>
  <c r="C51" i="14"/>
  <c r="B61" i="33" s="1"/>
  <c r="C40" i="14"/>
  <c r="C84" i="14" s="1"/>
  <c r="F55" i="13"/>
  <c r="C71" i="13"/>
  <c r="B40" i="33" s="1"/>
  <c r="E53" i="14" l="1"/>
  <c r="E54" i="14" s="1"/>
  <c r="H24" i="33"/>
  <c r="F58" i="13"/>
  <c r="F42" i="14" s="1"/>
  <c r="E75" i="14"/>
  <c r="E76" i="14" s="1"/>
  <c r="E74" i="14"/>
  <c r="F57" i="13"/>
  <c r="C53" i="14"/>
  <c r="B63" i="33" s="1"/>
  <c r="D75" i="14"/>
  <c r="C85" i="33" s="1"/>
  <c r="E93" i="14"/>
  <c r="D103" i="33" s="1"/>
  <c r="C92" i="14"/>
  <c r="B102" i="33" s="1"/>
  <c r="E98" i="14"/>
  <c r="D108" i="33" s="1"/>
  <c r="C97" i="14"/>
  <c r="B107" i="33" s="1"/>
  <c r="C72" i="14"/>
  <c r="B82" i="33" s="1"/>
  <c r="C67" i="14"/>
  <c r="B77" i="33" s="1"/>
  <c r="E89" i="14"/>
  <c r="D99" i="33" s="1"/>
  <c r="C89" i="14"/>
  <c r="B99" i="33" s="1"/>
  <c r="D73" i="14"/>
  <c r="C83" i="33" s="1"/>
  <c r="C73" i="14"/>
  <c r="B83" i="33" s="1"/>
  <c r="N84" i="14"/>
  <c r="S94" i="33" s="1"/>
  <c r="C93" i="14"/>
  <c r="B103" i="33" s="1"/>
  <c r="C106" i="14"/>
  <c r="C107" i="14" l="1"/>
  <c r="C94" i="14"/>
  <c r="C98" i="14"/>
  <c r="B108" i="33" s="1"/>
  <c r="E94" i="14"/>
  <c r="D104" i="33" s="1"/>
  <c r="E101" i="14"/>
  <c r="D111" i="33" s="1"/>
  <c r="C75" i="14"/>
  <c r="B85" i="33" s="1"/>
  <c r="C66" i="13"/>
  <c r="B35" i="33" s="1"/>
  <c r="C103" i="14" l="1"/>
  <c r="B104" i="33"/>
  <c r="E102" i="14"/>
  <c r="D112" i="33" s="1"/>
  <c r="I33" i="33"/>
  <c r="I39" i="33" l="1"/>
  <c r="E103" i="14"/>
  <c r="E39" i="4"/>
  <c r="D815" i="33" s="1"/>
  <c r="J39" i="4"/>
  <c r="I815" i="33" s="1"/>
  <c r="L39" i="4"/>
  <c r="E65" i="4"/>
  <c r="D816" i="33" s="1"/>
  <c r="J65" i="4"/>
  <c r="I816" i="33" s="1"/>
  <c r="K65" i="4"/>
  <c r="J816" i="33" s="1"/>
  <c r="L65" i="4"/>
  <c r="K816" i="33" s="1"/>
  <c r="K819" i="33" s="1"/>
  <c r="E76" i="4"/>
  <c r="D817" i="33" s="1"/>
  <c r="J76" i="4"/>
  <c r="I817" i="33" s="1"/>
  <c r="K76" i="4"/>
  <c r="J817" i="33" s="1"/>
  <c r="L76" i="4"/>
  <c r="E65" i="3"/>
  <c r="D785" i="33" s="1"/>
  <c r="J65" i="3"/>
  <c r="I785" i="33" s="1"/>
  <c r="K65" i="3"/>
  <c r="J785" i="33" s="1"/>
  <c r="L65" i="3"/>
  <c r="K785" i="33" s="1"/>
  <c r="E76" i="3"/>
  <c r="D796" i="33" s="1"/>
  <c r="J76" i="3"/>
  <c r="I796" i="33" s="1"/>
  <c r="K76" i="3"/>
  <c r="J796" i="33" s="1"/>
  <c r="L76" i="3"/>
  <c r="K796" i="33" s="1"/>
  <c r="E87" i="3"/>
  <c r="D807" i="33" s="1"/>
  <c r="J87" i="3"/>
  <c r="I807" i="33" s="1"/>
  <c r="K87" i="3"/>
  <c r="J807" i="33" s="1"/>
  <c r="L87" i="3"/>
  <c r="K807" i="33" s="1"/>
  <c r="K39" i="3"/>
  <c r="J759" i="33" s="1"/>
  <c r="J39" i="3"/>
  <c r="I759" i="33" s="1"/>
  <c r="H26" i="14"/>
  <c r="K39" i="4" l="1"/>
  <c r="J815" i="33" s="1"/>
  <c r="J819" i="33" s="1"/>
  <c r="M19" i="4"/>
  <c r="E39" i="3"/>
  <c r="D759" i="33" s="1"/>
  <c r="M19" i="3"/>
  <c r="H19" i="3" s="1"/>
  <c r="G739" i="33" s="1"/>
  <c r="O98" i="15"/>
  <c r="J45" i="13"/>
  <c r="J46" i="13" s="1"/>
  <c r="C56" i="13"/>
  <c r="B25" i="33" s="1"/>
  <c r="M39" i="3" l="1"/>
  <c r="L759" i="33" s="1"/>
  <c r="L739" i="33"/>
  <c r="H19" i="4"/>
  <c r="F98" i="15"/>
  <c r="F83" i="14"/>
  <c r="O223" i="15"/>
  <c r="O128" i="15"/>
  <c r="E98" i="15"/>
  <c r="K60" i="22"/>
  <c r="L60" i="22"/>
  <c r="M60" i="22"/>
  <c r="N60" i="22"/>
  <c r="J60" i="22"/>
  <c r="I60" i="22"/>
  <c r="D45" i="22"/>
  <c r="E24" i="16" s="1"/>
  <c r="F128" i="15" l="1"/>
  <c r="G98" i="15"/>
  <c r="I190" i="33"/>
  <c r="AB98" i="15"/>
  <c r="T98" i="15"/>
  <c r="AR98" i="15"/>
  <c r="AA98" i="15"/>
  <c r="AQ98" i="15"/>
  <c r="S98" i="15"/>
  <c r="O253" i="15"/>
  <c r="E128" i="15"/>
  <c r="H190" i="33"/>
  <c r="E7" i="14"/>
  <c r="H14" i="16"/>
  <c r="E223" i="15"/>
  <c r="I57" i="22"/>
  <c r="I54" i="22"/>
  <c r="I55" i="22" s="1"/>
  <c r="H57" i="22"/>
  <c r="B69" i="22"/>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H98" i="15" l="1"/>
  <c r="J190" i="33"/>
  <c r="G128" i="15"/>
  <c r="AR128" i="15" s="1"/>
  <c r="I51" i="33"/>
  <c r="G39" i="14"/>
  <c r="AQ223" i="15"/>
  <c r="AA223" i="15"/>
  <c r="AW223" i="15"/>
  <c r="AV223" i="15"/>
  <c r="AU223" i="15"/>
  <c r="AT223" i="15"/>
  <c r="AS223" i="15"/>
  <c r="AR223" i="15"/>
  <c r="S128" i="15"/>
  <c r="AQ128" i="15"/>
  <c r="AA128" i="15"/>
  <c r="S23" i="15"/>
  <c r="M16" i="32"/>
  <c r="G17" i="21"/>
  <c r="G24" i="18"/>
  <c r="C145" i="16"/>
  <c r="G57" i="22"/>
  <c r="E12" i="3"/>
  <c r="AI98" i="15"/>
  <c r="AJ98" i="15"/>
  <c r="H58" i="22"/>
  <c r="G55" i="13"/>
  <c r="J54" i="22"/>
  <c r="J55" i="22" s="1"/>
  <c r="J57" i="22"/>
  <c r="I58" i="22"/>
  <c r="J220" i="33" l="1"/>
  <c r="AB128" i="15"/>
  <c r="I98" i="15"/>
  <c r="AC98" i="15"/>
  <c r="U98" i="15"/>
  <c r="AK98" i="15" s="1"/>
  <c r="K190" i="33"/>
  <c r="H128" i="15"/>
  <c r="AS98" i="15"/>
  <c r="T128" i="15"/>
  <c r="K135" i="31"/>
  <c r="J1518" i="33" s="1"/>
  <c r="K146" i="31"/>
  <c r="J1531" i="33" s="1"/>
  <c r="K124" i="31"/>
  <c r="J1506" i="33" s="1"/>
  <c r="J135" i="31"/>
  <c r="I1518" i="33" s="1"/>
  <c r="J124" i="31"/>
  <c r="I1506" i="33" s="1"/>
  <c r="J146" i="31"/>
  <c r="I1531" i="33" s="1"/>
  <c r="M57" i="32"/>
  <c r="I1414" i="33"/>
  <c r="G123" i="21"/>
  <c r="G70" i="21"/>
  <c r="G176" i="21"/>
  <c r="J51" i="33"/>
  <c r="H39" i="14"/>
  <c r="I93" i="33"/>
  <c r="I614" i="33"/>
  <c r="I425" i="33"/>
  <c r="I699" i="33"/>
  <c r="I566" i="33"/>
  <c r="I119" i="33"/>
  <c r="I52" i="33"/>
  <c r="K103" i="31"/>
  <c r="G40" i="14"/>
  <c r="H52" i="33"/>
  <c r="J103" i="31"/>
  <c r="F40" i="14"/>
  <c r="I24" i="33"/>
  <c r="G58" i="13"/>
  <c r="T23" i="15"/>
  <c r="N16" i="32"/>
  <c r="H17" i="21"/>
  <c r="H24" i="18"/>
  <c r="G227" i="21"/>
  <c r="S350" i="15"/>
  <c r="S222" i="15"/>
  <c r="S97" i="15"/>
  <c r="S384" i="15"/>
  <c r="S412" i="15"/>
  <c r="S440" i="15"/>
  <c r="AI23" i="15"/>
  <c r="G57" i="13"/>
  <c r="I26" i="33" s="1"/>
  <c r="M17" i="32"/>
  <c r="G18" i="21"/>
  <c r="H7" i="4"/>
  <c r="B813" i="33" s="1"/>
  <c r="F56" i="13"/>
  <c r="H25" i="33" s="1"/>
  <c r="L17" i="32"/>
  <c r="F84" i="14"/>
  <c r="F18" i="21"/>
  <c r="H7" i="3"/>
  <c r="B737" i="33" s="1"/>
  <c r="F57" i="22"/>
  <c r="G58" i="22"/>
  <c r="AO223" i="15"/>
  <c r="AJ223" i="15"/>
  <c r="AM223" i="15"/>
  <c r="AI223" i="15"/>
  <c r="AN223" i="15"/>
  <c r="AL223" i="15"/>
  <c r="AK223" i="15"/>
  <c r="E52" i="16"/>
  <c r="C121" i="16"/>
  <c r="G25" i="18"/>
  <c r="C147" i="16"/>
  <c r="C129" i="16"/>
  <c r="E54" i="16"/>
  <c r="H55" i="13"/>
  <c r="H58" i="13" s="1"/>
  <c r="G56" i="13"/>
  <c r="I25" i="33" s="1"/>
  <c r="K57" i="22"/>
  <c r="J58" i="22"/>
  <c r="K54" i="22"/>
  <c r="K55" i="22" s="1"/>
  <c r="K220" i="33" l="1"/>
  <c r="AC128" i="15"/>
  <c r="U128" i="15"/>
  <c r="AS128" i="15"/>
  <c r="J98" i="15"/>
  <c r="AD98" i="15"/>
  <c r="V98" i="15"/>
  <c r="AL98" i="15" s="1"/>
  <c r="L190" i="33"/>
  <c r="I128" i="15"/>
  <c r="AT98" i="15"/>
  <c r="L146" i="31"/>
  <c r="K1531" i="33" s="1"/>
  <c r="L135" i="31"/>
  <c r="K1518" i="33" s="1"/>
  <c r="L124" i="31"/>
  <c r="K1506" i="33" s="1"/>
  <c r="I124" i="31"/>
  <c r="H1506" i="33" s="1"/>
  <c r="I146" i="31"/>
  <c r="H1531" i="33" s="1"/>
  <c r="I135" i="31"/>
  <c r="H1518" i="33" s="1"/>
  <c r="L58" i="32"/>
  <c r="H1415" i="33"/>
  <c r="N57" i="32"/>
  <c r="J1414" i="33"/>
  <c r="M58" i="32"/>
  <c r="I1415" i="33"/>
  <c r="H123" i="21"/>
  <c r="H176" i="21"/>
  <c r="H70" i="21"/>
  <c r="K51" i="33"/>
  <c r="I39" i="14"/>
  <c r="J566" i="33"/>
  <c r="J614" i="33"/>
  <c r="J425" i="33"/>
  <c r="J699" i="33"/>
  <c r="J119" i="33"/>
  <c r="J93" i="33"/>
  <c r="F124" i="21"/>
  <c r="F71" i="21"/>
  <c r="F177" i="21"/>
  <c r="G124" i="21"/>
  <c r="G71" i="21"/>
  <c r="G177" i="21"/>
  <c r="J52" i="33"/>
  <c r="L103" i="31"/>
  <c r="H40" i="14"/>
  <c r="H94" i="33"/>
  <c r="H700" i="33"/>
  <c r="H426" i="33"/>
  <c r="H120" i="33"/>
  <c r="H615" i="33"/>
  <c r="H567" i="33"/>
  <c r="G52" i="33"/>
  <c r="I103" i="31"/>
  <c r="I426" i="33"/>
  <c r="I94" i="33"/>
  <c r="I700" i="33"/>
  <c r="I120" i="33"/>
  <c r="I567" i="33"/>
  <c r="I615" i="33"/>
  <c r="J27" i="33"/>
  <c r="H62" i="13"/>
  <c r="H42" i="14"/>
  <c r="G42" i="14"/>
  <c r="G62" i="13"/>
  <c r="I27" i="33"/>
  <c r="H57" i="13"/>
  <c r="J24" i="33"/>
  <c r="G41" i="14"/>
  <c r="G83" i="14"/>
  <c r="H227" i="21"/>
  <c r="U23" i="15"/>
  <c r="O16" i="32"/>
  <c r="I17" i="21"/>
  <c r="I24" i="18"/>
  <c r="E23" i="15"/>
  <c r="E97" i="15" s="1"/>
  <c r="E222" i="15" s="1"/>
  <c r="E350" i="15" s="1"/>
  <c r="E384" i="15" s="1"/>
  <c r="E412" i="15" s="1"/>
  <c r="E440" i="15" s="1"/>
  <c r="C24" i="13"/>
  <c r="B247" i="22" s="1"/>
  <c r="AI222" i="15"/>
  <c r="AI97" i="15"/>
  <c r="AA23" i="15"/>
  <c r="AI412" i="15"/>
  <c r="AI384" i="15"/>
  <c r="AI350" i="15"/>
  <c r="AI440" i="15"/>
  <c r="AJ23" i="15"/>
  <c r="T222" i="15"/>
  <c r="T97" i="15"/>
  <c r="T440" i="15"/>
  <c r="T350" i="15"/>
  <c r="T384" i="15"/>
  <c r="T412" i="15"/>
  <c r="G84" i="14"/>
  <c r="H25" i="18"/>
  <c r="N17" i="32"/>
  <c r="H18" i="21"/>
  <c r="K17" i="32"/>
  <c r="K15" i="31"/>
  <c r="E57" i="22"/>
  <c r="F58" i="22"/>
  <c r="G228" i="21"/>
  <c r="F23" i="15"/>
  <c r="F97" i="15" s="1"/>
  <c r="I55" i="13"/>
  <c r="H56" i="13"/>
  <c r="J25" i="33" s="1"/>
  <c r="L54" i="22"/>
  <c r="L55" i="22" s="1"/>
  <c r="L57" i="22"/>
  <c r="K58" i="22"/>
  <c r="K98" i="15" l="1"/>
  <c r="AE98" i="15"/>
  <c r="W98" i="15"/>
  <c r="AM98" i="15" s="1"/>
  <c r="M190" i="33"/>
  <c r="J128" i="15"/>
  <c r="AU98" i="15"/>
  <c r="V128" i="15"/>
  <c r="L220" i="33"/>
  <c r="AD128" i="15"/>
  <c r="AT128" i="15"/>
  <c r="M124" i="31"/>
  <c r="L1506" i="33" s="1"/>
  <c r="M135" i="31"/>
  <c r="L1518" i="33" s="1"/>
  <c r="M146" i="31"/>
  <c r="L1531" i="33" s="1"/>
  <c r="E58" i="22"/>
  <c r="I15" i="31" s="1"/>
  <c r="D57" i="22"/>
  <c r="F52" i="33"/>
  <c r="F120" i="33" s="1"/>
  <c r="H124" i="31"/>
  <c r="G1506" i="33" s="1"/>
  <c r="H146" i="31"/>
  <c r="G1531" i="33" s="1"/>
  <c r="H135" i="31"/>
  <c r="G1518" i="33" s="1"/>
  <c r="O57" i="32"/>
  <c r="K1414" i="33"/>
  <c r="K58" i="32"/>
  <c r="G1415" i="33"/>
  <c r="N58" i="32"/>
  <c r="J1415" i="33"/>
  <c r="K566" i="33"/>
  <c r="K93" i="33"/>
  <c r="K119" i="33"/>
  <c r="K614" i="33"/>
  <c r="K425" i="33"/>
  <c r="K699" i="33"/>
  <c r="I70" i="21"/>
  <c r="I176" i="21"/>
  <c r="I123" i="21"/>
  <c r="L51" i="33"/>
  <c r="J39" i="14"/>
  <c r="H124" i="21"/>
  <c r="H71" i="21"/>
  <c r="H177" i="21"/>
  <c r="G426" i="33"/>
  <c r="G120" i="33"/>
  <c r="G615" i="33"/>
  <c r="G700" i="33"/>
  <c r="G94" i="33"/>
  <c r="G567" i="33"/>
  <c r="K52" i="33"/>
  <c r="M103" i="31"/>
  <c r="I40" i="14"/>
  <c r="J567" i="33"/>
  <c r="J426" i="33"/>
  <c r="J615" i="33"/>
  <c r="J94" i="33"/>
  <c r="J700" i="33"/>
  <c r="J120" i="33"/>
  <c r="H41" i="14"/>
  <c r="G63" i="13"/>
  <c r="G69" i="13" s="1"/>
  <c r="J31" i="33"/>
  <c r="H63" i="13"/>
  <c r="J32" i="33" s="1"/>
  <c r="I31" i="33"/>
  <c r="F16" i="14"/>
  <c r="K24" i="33"/>
  <c r="I58" i="13"/>
  <c r="J26" i="33"/>
  <c r="O97" i="15"/>
  <c r="O222" i="15" s="1"/>
  <c r="I57" i="13"/>
  <c r="AK23" i="15"/>
  <c r="U350" i="15"/>
  <c r="U440" i="15"/>
  <c r="U412" i="15"/>
  <c r="U384" i="15"/>
  <c r="U222" i="15"/>
  <c r="U97" i="15"/>
  <c r="I227" i="21"/>
  <c r="AA412" i="15"/>
  <c r="AA440" i="15"/>
  <c r="AA384" i="15"/>
  <c r="AA350" i="15"/>
  <c r="AA222" i="15"/>
  <c r="AQ23" i="15"/>
  <c r="AA97" i="15"/>
  <c r="AJ384" i="15"/>
  <c r="AJ97" i="15"/>
  <c r="AJ350" i="15"/>
  <c r="AJ222" i="15"/>
  <c r="AB23" i="15"/>
  <c r="AJ440" i="15"/>
  <c r="AJ412" i="15"/>
  <c r="V23" i="15"/>
  <c r="P16" i="32"/>
  <c r="J17" i="21"/>
  <c r="J24" i="18"/>
  <c r="H84" i="14"/>
  <c r="H83" i="14"/>
  <c r="I17" i="32"/>
  <c r="K56" i="31"/>
  <c r="I77" i="31"/>
  <c r="K66" i="31"/>
  <c r="H228" i="21"/>
  <c r="J17" i="32"/>
  <c r="J15" i="31"/>
  <c r="I25" i="18"/>
  <c r="O17" i="32"/>
  <c r="I18" i="21"/>
  <c r="G23" i="15"/>
  <c r="G97" i="15" s="1"/>
  <c r="P97" i="15"/>
  <c r="P222" i="15" s="1"/>
  <c r="F222" i="15"/>
  <c r="F350" i="15" s="1"/>
  <c r="F384" i="15" s="1"/>
  <c r="F412" i="15" s="1"/>
  <c r="F440" i="15" s="1"/>
  <c r="J55" i="13"/>
  <c r="I56" i="13"/>
  <c r="K25" i="33" s="1"/>
  <c r="M57" i="22"/>
  <c r="L58" i="22"/>
  <c r="M54" i="22"/>
  <c r="M55" i="22" s="1"/>
  <c r="B670" i="33"/>
  <c r="B669" i="33"/>
  <c r="B668" i="33"/>
  <c r="B666" i="33"/>
  <c r="B658" i="33"/>
  <c r="B656" i="33"/>
  <c r="B654" i="33"/>
  <c r="B649" i="33"/>
  <c r="B647" i="33"/>
  <c r="B645" i="33"/>
  <c r="B642" i="33"/>
  <c r="B640" i="33"/>
  <c r="B637" i="33"/>
  <c r="B636" i="33"/>
  <c r="AE128" i="15" l="1"/>
  <c r="M220" i="33"/>
  <c r="W128" i="15"/>
  <c r="AU128" i="15"/>
  <c r="L98" i="15"/>
  <c r="AF98" i="15"/>
  <c r="X98" i="15"/>
  <c r="AN98" i="15" s="1"/>
  <c r="N190" i="33"/>
  <c r="K128" i="15"/>
  <c r="AV98" i="15"/>
  <c r="F700" i="33"/>
  <c r="F426" i="33"/>
  <c r="F94" i="33"/>
  <c r="F615" i="33"/>
  <c r="C57" i="22"/>
  <c r="C58" i="22" s="1"/>
  <c r="D58" i="22"/>
  <c r="E52" i="33"/>
  <c r="G124" i="31"/>
  <c r="F1506" i="33" s="1"/>
  <c r="G146" i="31"/>
  <c r="F1531" i="33" s="1"/>
  <c r="G135" i="31"/>
  <c r="F1518" i="33" s="1"/>
  <c r="F567" i="33"/>
  <c r="N146" i="31"/>
  <c r="M1531" i="33" s="1"/>
  <c r="N124" i="31"/>
  <c r="M1506" i="33" s="1"/>
  <c r="N135" i="31"/>
  <c r="M1518" i="33" s="1"/>
  <c r="J58" i="32"/>
  <c r="F1415" i="33"/>
  <c r="O58" i="32"/>
  <c r="K1415" i="33"/>
  <c r="I58" i="32"/>
  <c r="E1415" i="33"/>
  <c r="P57" i="32"/>
  <c r="L1414" i="33"/>
  <c r="L566" i="33"/>
  <c r="L119" i="33"/>
  <c r="L93" i="33"/>
  <c r="L699" i="33"/>
  <c r="L614" i="33"/>
  <c r="L425" i="33"/>
  <c r="J176" i="21"/>
  <c r="J70" i="21"/>
  <c r="J123" i="21"/>
  <c r="M51" i="33"/>
  <c r="K39" i="14"/>
  <c r="I71" i="21"/>
  <c r="I177" i="21"/>
  <c r="I124" i="21"/>
  <c r="L52" i="33"/>
  <c r="N103" i="31"/>
  <c r="J40" i="14"/>
  <c r="K94" i="33"/>
  <c r="K426" i="33"/>
  <c r="K615" i="33"/>
  <c r="K567" i="33"/>
  <c r="K120" i="33"/>
  <c r="K700" i="33"/>
  <c r="F17" i="14"/>
  <c r="I32" i="33"/>
  <c r="H69" i="13"/>
  <c r="J38" i="33" s="1"/>
  <c r="I62" i="13"/>
  <c r="I63" i="13" s="1"/>
  <c r="K32" i="33" s="1"/>
  <c r="K27" i="33"/>
  <c r="I42" i="14"/>
  <c r="L24" i="33"/>
  <c r="J58" i="13"/>
  <c r="I38" i="33"/>
  <c r="I41" i="14"/>
  <c r="K26" i="33"/>
  <c r="AQ350" i="15"/>
  <c r="AQ97" i="15"/>
  <c r="AQ412" i="15"/>
  <c r="AQ222" i="15"/>
  <c r="AQ384" i="15"/>
  <c r="AQ440" i="15"/>
  <c r="AK97" i="15"/>
  <c r="AK412" i="15"/>
  <c r="AC23" i="15"/>
  <c r="AK222" i="15"/>
  <c r="AK440" i="15"/>
  <c r="AK384" i="15"/>
  <c r="AK350" i="15"/>
  <c r="J227" i="21"/>
  <c r="J57" i="13"/>
  <c r="AB384" i="15"/>
  <c r="AB412" i="15"/>
  <c r="AB440" i="15"/>
  <c r="AB350" i="15"/>
  <c r="AR23" i="15"/>
  <c r="AB222" i="15"/>
  <c r="AB97" i="15"/>
  <c r="W23" i="15"/>
  <c r="Q16" i="32"/>
  <c r="K17" i="21"/>
  <c r="K24" i="18"/>
  <c r="AL23" i="15"/>
  <c r="V412" i="15"/>
  <c r="V350" i="15"/>
  <c r="V97" i="15"/>
  <c r="V222" i="15"/>
  <c r="V384" i="15"/>
  <c r="V440" i="15"/>
  <c r="I83" i="14"/>
  <c r="I84" i="14"/>
  <c r="I228" i="21"/>
  <c r="J25" i="18"/>
  <c r="P17" i="32"/>
  <c r="J18" i="21"/>
  <c r="J56" i="31"/>
  <c r="J66" i="31"/>
  <c r="I56" i="31"/>
  <c r="I66" i="31"/>
  <c r="H23" i="15"/>
  <c r="H97" i="15" s="1"/>
  <c r="G222" i="15"/>
  <c r="G350" i="15" s="1"/>
  <c r="G384" i="15" s="1"/>
  <c r="G412" i="15" s="1"/>
  <c r="G440" i="15" s="1"/>
  <c r="K55" i="13"/>
  <c r="J56" i="13"/>
  <c r="L25" i="33" s="1"/>
  <c r="N54" i="22"/>
  <c r="N55" i="22" s="1"/>
  <c r="N57" i="22"/>
  <c r="M58" i="22"/>
  <c r="H77" i="16"/>
  <c r="H76" i="16"/>
  <c r="E75" i="16"/>
  <c r="H73" i="16"/>
  <c r="H72" i="16"/>
  <c r="E72" i="16"/>
  <c r="AG98" i="15" l="1"/>
  <c r="Y98" i="15"/>
  <c r="AO98" i="15" s="1"/>
  <c r="O190" i="33"/>
  <c r="L128" i="15"/>
  <c r="AW98" i="15"/>
  <c r="AF128" i="15"/>
  <c r="X128" i="15"/>
  <c r="N220" i="33"/>
  <c r="AV128" i="15"/>
  <c r="E567" i="33"/>
  <c r="E120" i="33"/>
  <c r="E615" i="33"/>
  <c r="E426" i="33"/>
  <c r="E94" i="33"/>
  <c r="E700" i="33"/>
  <c r="O146" i="31"/>
  <c r="N1531" i="33" s="1"/>
  <c r="O124" i="31"/>
  <c r="N1506" i="33" s="1"/>
  <c r="O135" i="31"/>
  <c r="N1518" i="33" s="1"/>
  <c r="F124" i="31"/>
  <c r="E1506" i="33" s="1"/>
  <c r="F146" i="31"/>
  <c r="E1531" i="33" s="1"/>
  <c r="F1440" i="33"/>
  <c r="F135" i="31"/>
  <c r="E1518" i="33" s="1"/>
  <c r="H15" i="31"/>
  <c r="F1480" i="33"/>
  <c r="H17" i="32"/>
  <c r="H58" i="32" s="1"/>
  <c r="E124" i="31"/>
  <c r="D1506" i="33" s="1"/>
  <c r="E1440" i="33"/>
  <c r="E146" i="31"/>
  <c r="D1531" i="33" s="1"/>
  <c r="G15" i="31"/>
  <c r="E135" i="31"/>
  <c r="D1518" i="33" s="1"/>
  <c r="E1480" i="33"/>
  <c r="G17" i="32"/>
  <c r="G58" i="32" s="1"/>
  <c r="P58" i="32"/>
  <c r="L1415" i="33"/>
  <c r="Q57" i="32"/>
  <c r="M1414" i="33"/>
  <c r="M699" i="33"/>
  <c r="M93" i="33"/>
  <c r="M425" i="33"/>
  <c r="M566" i="33"/>
  <c r="M119" i="33"/>
  <c r="M614" i="33"/>
  <c r="K176" i="21"/>
  <c r="K70" i="21"/>
  <c r="K123" i="21"/>
  <c r="N51" i="33"/>
  <c r="L39" i="14"/>
  <c r="J177" i="21"/>
  <c r="J124" i="21"/>
  <c r="J71" i="21"/>
  <c r="M52" i="33"/>
  <c r="O103" i="31"/>
  <c r="K40" i="14"/>
  <c r="L615" i="33"/>
  <c r="L426" i="33"/>
  <c r="L94" i="33"/>
  <c r="L120" i="33"/>
  <c r="L700" i="33"/>
  <c r="L567" i="33"/>
  <c r="K31" i="33"/>
  <c r="I69" i="13"/>
  <c r="L27" i="33"/>
  <c r="J42" i="14"/>
  <c r="J62" i="13"/>
  <c r="J63" i="13" s="1"/>
  <c r="L32" i="33" s="1"/>
  <c r="M24" i="33"/>
  <c r="K58" i="13"/>
  <c r="J41" i="14"/>
  <c r="L26" i="33"/>
  <c r="AR412" i="15"/>
  <c r="AR440" i="15"/>
  <c r="AR384" i="15"/>
  <c r="AR350" i="15"/>
  <c r="AR222" i="15"/>
  <c r="AR97" i="15"/>
  <c r="AC350" i="15"/>
  <c r="AC440" i="15"/>
  <c r="AC412" i="15"/>
  <c r="AC97" i="15"/>
  <c r="AC384" i="15"/>
  <c r="AC222" i="15"/>
  <c r="AS23" i="15"/>
  <c r="X23" i="15"/>
  <c r="R16" i="32"/>
  <c r="L17" i="21"/>
  <c r="L24" i="18"/>
  <c r="K57" i="13"/>
  <c r="AM23" i="15"/>
  <c r="W350" i="15"/>
  <c r="W222" i="15"/>
  <c r="W97" i="15"/>
  <c r="W440" i="15"/>
  <c r="W384" i="15"/>
  <c r="W412" i="15"/>
  <c r="AL97" i="15"/>
  <c r="AL412" i="15"/>
  <c r="AL384" i="15"/>
  <c r="AL440" i="15"/>
  <c r="AD23" i="15"/>
  <c r="AL350" i="15"/>
  <c r="AL222" i="15"/>
  <c r="K227" i="21"/>
  <c r="J83" i="14"/>
  <c r="J84" i="14"/>
  <c r="J228" i="21"/>
  <c r="K25" i="18"/>
  <c r="Q17" i="32"/>
  <c r="K18" i="21"/>
  <c r="I23" i="15"/>
  <c r="I97" i="15" s="1"/>
  <c r="H222" i="15"/>
  <c r="H350" i="15" s="1"/>
  <c r="H384" i="15" s="1"/>
  <c r="H412" i="15" s="1"/>
  <c r="H440" i="15" s="1"/>
  <c r="L55" i="13"/>
  <c r="K56" i="13"/>
  <c r="M25" i="33" s="1"/>
  <c r="O57" i="22"/>
  <c r="N58" i="22"/>
  <c r="O54" i="22"/>
  <c r="O55" i="22" s="1"/>
  <c r="Y128" i="15" l="1"/>
  <c r="O220" i="33"/>
  <c r="AG128" i="15"/>
  <c r="AW128" i="15"/>
  <c r="H66" i="31"/>
  <c r="H56" i="31"/>
  <c r="G66" i="31"/>
  <c r="G56" i="31"/>
  <c r="P124" i="31"/>
  <c r="O1506" i="33" s="1"/>
  <c r="P146" i="31"/>
  <c r="O1531" i="33" s="1"/>
  <c r="P135" i="31"/>
  <c r="O1518" i="33" s="1"/>
  <c r="R57" i="32"/>
  <c r="N1414" i="33"/>
  <c r="Q58" i="32"/>
  <c r="M1415" i="33"/>
  <c r="O51" i="33"/>
  <c r="M39" i="14"/>
  <c r="L176" i="21"/>
  <c r="L70" i="21"/>
  <c r="L123" i="21"/>
  <c r="N614" i="33"/>
  <c r="N566" i="33"/>
  <c r="N425" i="33"/>
  <c r="N93" i="33"/>
  <c r="N699" i="33"/>
  <c r="N119" i="33"/>
  <c r="K177" i="21"/>
  <c r="K124" i="21"/>
  <c r="K71" i="21"/>
  <c r="N52" i="33"/>
  <c r="P103" i="31"/>
  <c r="L40" i="14"/>
  <c r="M567" i="33"/>
  <c r="M120" i="33"/>
  <c r="M94" i="33"/>
  <c r="M700" i="33"/>
  <c r="M615" i="33"/>
  <c r="M426" i="33"/>
  <c r="K64" i="13"/>
  <c r="M33" i="33" s="1"/>
  <c r="J69" i="13"/>
  <c r="K38" i="33"/>
  <c r="L31" i="33"/>
  <c r="L36" i="33" s="1"/>
  <c r="J64" i="13"/>
  <c r="L33" i="33" s="1"/>
  <c r="M27" i="33"/>
  <c r="K62" i="13"/>
  <c r="K42" i="14"/>
  <c r="N24" i="33"/>
  <c r="L58" i="13"/>
  <c r="K41" i="14"/>
  <c r="M26" i="33"/>
  <c r="L227" i="21"/>
  <c r="AM412" i="15"/>
  <c r="AM222" i="15"/>
  <c r="AM97" i="15"/>
  <c r="AE23" i="15"/>
  <c r="AM350" i="15"/>
  <c r="AM440" i="15"/>
  <c r="AM384" i="15"/>
  <c r="L57" i="13"/>
  <c r="L64" i="13" s="1"/>
  <c r="AN23" i="15"/>
  <c r="X350" i="15"/>
  <c r="X440" i="15"/>
  <c r="X412" i="15"/>
  <c r="X222" i="15"/>
  <c r="X97" i="15"/>
  <c r="X384" i="15"/>
  <c r="AS440" i="15"/>
  <c r="AS350" i="15"/>
  <c r="AS384" i="15"/>
  <c r="AS222" i="15"/>
  <c r="AS97" i="15"/>
  <c r="AS412" i="15"/>
  <c r="AD97" i="15"/>
  <c r="AD440" i="15"/>
  <c r="AT23" i="15"/>
  <c r="AD350" i="15"/>
  <c r="AD222" i="15"/>
  <c r="AD412" i="15"/>
  <c r="AD384" i="15"/>
  <c r="Y23" i="15"/>
  <c r="S16" i="32"/>
  <c r="M17" i="21"/>
  <c r="M24" i="18"/>
  <c r="K83" i="14"/>
  <c r="K84" i="14"/>
  <c r="K228" i="21"/>
  <c r="L25" i="18"/>
  <c r="R17" i="32"/>
  <c r="L18" i="21"/>
  <c r="I222" i="15"/>
  <c r="I350" i="15" s="1"/>
  <c r="I384" i="15" s="1"/>
  <c r="I412" i="15" s="1"/>
  <c r="I440" i="15" s="1"/>
  <c r="J23" i="15"/>
  <c r="J97" i="15" s="1"/>
  <c r="D235" i="22" a="1"/>
  <c r="P54" i="22"/>
  <c r="P55" i="22" s="1"/>
  <c r="P51" i="33" s="1"/>
  <c r="O58" i="22"/>
  <c r="P57" i="22"/>
  <c r="L56" i="13"/>
  <c r="N25" i="33" s="1"/>
  <c r="Q124" i="31" l="1"/>
  <c r="P1506" i="33" s="1"/>
  <c r="Q146" i="31"/>
  <c r="P1531" i="33" s="1"/>
  <c r="Q135" i="31"/>
  <c r="P1518" i="33" s="1"/>
  <c r="S57" i="32"/>
  <c r="O1414" i="33"/>
  <c r="R58" i="32"/>
  <c r="N1415" i="33"/>
  <c r="M176" i="21"/>
  <c r="M70" i="21"/>
  <c r="M123" i="21"/>
  <c r="P93" i="33"/>
  <c r="P699" i="33"/>
  <c r="P119" i="33"/>
  <c r="P614" i="33"/>
  <c r="P566" i="33"/>
  <c r="P425" i="33"/>
  <c r="O119" i="33"/>
  <c r="O425" i="33"/>
  <c r="O566" i="33"/>
  <c r="O614" i="33"/>
  <c r="O699" i="33"/>
  <c r="O93" i="33"/>
  <c r="L177" i="21"/>
  <c r="L71" i="21"/>
  <c r="L124" i="21"/>
  <c r="O52" i="33"/>
  <c r="Q103" i="31"/>
  <c r="M40" i="14"/>
  <c r="N120" i="33"/>
  <c r="N426" i="33"/>
  <c r="N94" i="33"/>
  <c r="N700" i="33"/>
  <c r="N615" i="33"/>
  <c r="N567" i="33"/>
  <c r="L70" i="13"/>
  <c r="K69" i="13"/>
  <c r="M38" i="33" s="1"/>
  <c r="M31" i="33"/>
  <c r="M36" i="33" s="1"/>
  <c r="M46" i="33" s="1"/>
  <c r="L38" i="33"/>
  <c r="L46" i="33"/>
  <c r="N27" i="33"/>
  <c r="L62" i="13"/>
  <c r="L42" i="14"/>
  <c r="L41" i="14"/>
  <c r="N26" i="33"/>
  <c r="N33" i="33"/>
  <c r="AT97" i="15"/>
  <c r="AT412" i="15"/>
  <c r="AT440" i="15"/>
  <c r="AT384" i="15"/>
  <c r="AT350" i="15"/>
  <c r="AT222" i="15"/>
  <c r="AO23" i="15"/>
  <c r="Y412" i="15"/>
  <c r="Y384" i="15"/>
  <c r="Y222" i="15"/>
  <c r="Y350" i="15"/>
  <c r="Y440" i="15"/>
  <c r="Y97" i="15"/>
  <c r="AN222" i="15"/>
  <c r="AN97" i="15"/>
  <c r="AN350" i="15"/>
  <c r="AF23" i="15"/>
  <c r="AN440" i="15"/>
  <c r="AN384" i="15"/>
  <c r="AN412" i="15"/>
  <c r="AE97" i="15"/>
  <c r="AE222" i="15"/>
  <c r="AU23" i="15"/>
  <c r="AE440" i="15"/>
  <c r="AE384" i="15"/>
  <c r="AE412" i="15"/>
  <c r="AE350" i="15"/>
  <c r="T16" i="32"/>
  <c r="N17" i="21"/>
  <c r="N24" i="18"/>
  <c r="M227" i="21"/>
  <c r="L83" i="14"/>
  <c r="L84" i="14"/>
  <c r="M25" i="18"/>
  <c r="S17" i="32"/>
  <c r="M18" i="21"/>
  <c r="L228" i="21"/>
  <c r="K23" i="15"/>
  <c r="K97" i="15" s="1"/>
  <c r="J222" i="15"/>
  <c r="J350" i="15" s="1"/>
  <c r="J384" i="15" s="1"/>
  <c r="J412" i="15" s="1"/>
  <c r="J440" i="15" s="1"/>
  <c r="D236" i="22"/>
  <c r="E236" i="22" s="1"/>
  <c r="D239" i="22"/>
  <c r="E239" i="22" s="1"/>
  <c r="D238" i="22"/>
  <c r="E238" i="22" s="1"/>
  <c r="D240" i="22"/>
  <c r="E240" i="22" s="1"/>
  <c r="D237" i="22"/>
  <c r="E237" i="22" s="1"/>
  <c r="D235" i="22"/>
  <c r="E235" i="22" s="1"/>
  <c r="Q54" i="22"/>
  <c r="Q55" i="22" s="1"/>
  <c r="Q51" i="33" s="1"/>
  <c r="M55" i="13"/>
  <c r="M56" i="13"/>
  <c r="O25" i="33" s="1"/>
  <c r="P58" i="22"/>
  <c r="Q57" i="22"/>
  <c r="R135" i="31" l="1"/>
  <c r="Q1518" i="33" s="1"/>
  <c r="R124" i="31"/>
  <c r="Q1506" i="33" s="1"/>
  <c r="R146" i="31"/>
  <c r="Q1531" i="33" s="1"/>
  <c r="T57" i="32"/>
  <c r="P1414" i="33"/>
  <c r="S58" i="32"/>
  <c r="O1415" i="33"/>
  <c r="Q93" i="33"/>
  <c r="Q425" i="33"/>
  <c r="Q699" i="33"/>
  <c r="Q119" i="33"/>
  <c r="Q614" i="33"/>
  <c r="Q566" i="33"/>
  <c r="N176" i="21"/>
  <c r="N70" i="21"/>
  <c r="N123" i="21"/>
  <c r="M177" i="21"/>
  <c r="M124" i="21"/>
  <c r="M71" i="21"/>
  <c r="L69" i="13"/>
  <c r="N38" i="33" s="1"/>
  <c r="P52" i="33"/>
  <c r="R103" i="31"/>
  <c r="O426" i="33"/>
  <c r="O94" i="33"/>
  <c r="O120" i="33"/>
  <c r="O567" i="33"/>
  <c r="O615" i="33"/>
  <c r="O700" i="33"/>
  <c r="N31" i="33"/>
  <c r="N36" i="33" s="1"/>
  <c r="N46" i="33" s="1"/>
  <c r="O24" i="33"/>
  <c r="M58" i="13"/>
  <c r="U16" i="32"/>
  <c r="O17" i="21"/>
  <c r="O24" i="18"/>
  <c r="AV23" i="15"/>
  <c r="AF412" i="15"/>
  <c r="AF384" i="15"/>
  <c r="AF440" i="15"/>
  <c r="AF97" i="15"/>
  <c r="AF350" i="15"/>
  <c r="AF222" i="15"/>
  <c r="AU350" i="15"/>
  <c r="AU440" i="15"/>
  <c r="AU384" i="15"/>
  <c r="AU97" i="15"/>
  <c r="AU412" i="15"/>
  <c r="AU222" i="15"/>
  <c r="N227" i="21"/>
  <c r="AO97" i="15"/>
  <c r="AO412" i="15"/>
  <c r="AG23" i="15"/>
  <c r="AO384" i="15"/>
  <c r="AO222" i="15"/>
  <c r="AO350" i="15"/>
  <c r="AO440" i="15"/>
  <c r="M57" i="13"/>
  <c r="M64" i="13" s="1"/>
  <c r="M228" i="21"/>
  <c r="N25" i="18"/>
  <c r="T17" i="32"/>
  <c r="N18" i="21"/>
  <c r="L23" i="15"/>
  <c r="L97" i="15" s="1"/>
  <c r="K222" i="15"/>
  <c r="K350" i="15" s="1"/>
  <c r="K384" i="15" s="1"/>
  <c r="K412" i="15" s="1"/>
  <c r="K440" i="15" s="1"/>
  <c r="R54" i="22"/>
  <c r="R55" i="22" s="1"/>
  <c r="R51" i="33" s="1"/>
  <c r="Q58" i="22"/>
  <c r="R57" i="22"/>
  <c r="S135" i="31" l="1"/>
  <c r="R1518" i="33" s="1"/>
  <c r="S124" i="31"/>
  <c r="R1506" i="33" s="1"/>
  <c r="S146" i="31"/>
  <c r="R1531" i="33" s="1"/>
  <c r="T58" i="32"/>
  <c r="P1415" i="33"/>
  <c r="U57" i="32"/>
  <c r="Q1414" i="33"/>
  <c r="O123" i="21"/>
  <c r="O70" i="21"/>
  <c r="O176" i="21"/>
  <c r="R93" i="33"/>
  <c r="R425" i="33"/>
  <c r="R699" i="33"/>
  <c r="R119" i="33"/>
  <c r="R566" i="33"/>
  <c r="R614" i="33"/>
  <c r="N124" i="21"/>
  <c r="N71" i="21"/>
  <c r="N177" i="21"/>
  <c r="Q52" i="33"/>
  <c r="S103" i="31"/>
  <c r="P120" i="33"/>
  <c r="P567" i="33"/>
  <c r="P700" i="33"/>
  <c r="P426" i="33"/>
  <c r="P94" i="33"/>
  <c r="P615" i="33"/>
  <c r="M70" i="13"/>
  <c r="O27" i="33"/>
  <c r="M62" i="13"/>
  <c r="M69" i="13" s="1"/>
  <c r="M42" i="14"/>
  <c r="M46" i="14" s="1"/>
  <c r="M41" i="14"/>
  <c r="O26" i="33"/>
  <c r="O33" i="33"/>
  <c r="M83" i="14"/>
  <c r="M84" i="14"/>
  <c r="AW23" i="15"/>
  <c r="AG412" i="15"/>
  <c r="AG384" i="15"/>
  <c r="AG350" i="15"/>
  <c r="AG440" i="15"/>
  <c r="AG222" i="15"/>
  <c r="AG97" i="15"/>
  <c r="O227" i="21"/>
  <c r="V16" i="32"/>
  <c r="P17" i="21"/>
  <c r="P24" i="18"/>
  <c r="AV350" i="15"/>
  <c r="AV440" i="15"/>
  <c r="AV384" i="15"/>
  <c r="AV412" i="15"/>
  <c r="AV222" i="15"/>
  <c r="AV97" i="15"/>
  <c r="R58" i="22"/>
  <c r="C258" i="22" a="1"/>
  <c r="N228" i="21"/>
  <c r="O25" i="18"/>
  <c r="U17" i="32"/>
  <c r="O18" i="21"/>
  <c r="L222" i="15"/>
  <c r="L350" i="15" s="1"/>
  <c r="L384" i="15" s="1"/>
  <c r="L412" i="15" s="1"/>
  <c r="L440" i="15" s="1"/>
  <c r="T146" i="31" l="1"/>
  <c r="S1531" i="33" s="1"/>
  <c r="T135" i="31"/>
  <c r="S1518" i="33" s="1"/>
  <c r="T124" i="31"/>
  <c r="S1506" i="33" s="1"/>
  <c r="U58" i="32"/>
  <c r="Q1415" i="33"/>
  <c r="V57" i="32"/>
  <c r="R1414" i="33"/>
  <c r="P123" i="21"/>
  <c r="P176" i="21"/>
  <c r="P70" i="21"/>
  <c r="O124" i="21"/>
  <c r="O71" i="21"/>
  <c r="O177" i="21"/>
  <c r="Q615" i="33"/>
  <c r="Q426" i="33"/>
  <c r="Q94" i="33"/>
  <c r="Q700" i="33"/>
  <c r="Q120" i="33"/>
  <c r="Q567" i="33"/>
  <c r="R52" i="33"/>
  <c r="T103" i="31"/>
  <c r="O31" i="33"/>
  <c r="O36" i="33" s="1"/>
  <c r="O46" i="33" s="1"/>
  <c r="O38" i="33"/>
  <c r="O56" i="33"/>
  <c r="M63" i="14"/>
  <c r="O73" i="33" s="1"/>
  <c r="P227" i="21"/>
  <c r="P18" i="21"/>
  <c r="V17" i="32"/>
  <c r="C258" i="22"/>
  <c r="C263" i="22"/>
  <c r="C265" i="22"/>
  <c r="C262" i="22"/>
  <c r="C260" i="22"/>
  <c r="C264" i="22"/>
  <c r="C259" i="22"/>
  <c r="C261" i="22"/>
  <c r="P25" i="18"/>
  <c r="AW412" i="15"/>
  <c r="AW440" i="15"/>
  <c r="AW350" i="15"/>
  <c r="AW384" i="15"/>
  <c r="AW222" i="15"/>
  <c r="AW97" i="15"/>
  <c r="O228" i="21"/>
  <c r="V58" i="32" l="1"/>
  <c r="R1415" i="33"/>
  <c r="P124" i="21"/>
  <c r="P71" i="21"/>
  <c r="P177" i="21"/>
  <c r="R94" i="33"/>
  <c r="R567" i="33"/>
  <c r="R120" i="33"/>
  <c r="R615" i="33"/>
  <c r="R700" i="33"/>
  <c r="R426" i="33"/>
  <c r="P228" i="21"/>
  <c r="E260" i="22"/>
  <c r="H260" i="22"/>
  <c r="E262" i="22"/>
  <c r="H262" i="22"/>
  <c r="H258" i="22"/>
  <c r="E258" i="22"/>
  <c r="E265" i="22"/>
  <c r="H265" i="22"/>
  <c r="E261" i="22"/>
  <c r="H261" i="22"/>
  <c r="E264" i="22"/>
  <c r="H264" i="22"/>
  <c r="E263" i="22"/>
  <c r="H263" i="22"/>
  <c r="E259" i="22"/>
  <c r="H259" i="22"/>
  <c r="S618" i="33" l="1"/>
  <c r="U618" i="33"/>
  <c r="W618" i="33" s="1"/>
  <c r="S619" i="33"/>
  <c r="U619" i="33"/>
  <c r="W619" i="33" s="1"/>
  <c r="W620" i="33"/>
  <c r="W626" i="33"/>
  <c r="S636" i="33"/>
  <c r="U636" i="33"/>
  <c r="S637" i="33"/>
  <c r="U637" i="33"/>
  <c r="O645" i="33"/>
  <c r="I658" i="33"/>
  <c r="K658" i="33"/>
  <c r="L658" i="33"/>
  <c r="M658" i="33"/>
  <c r="N658" i="33"/>
  <c r="O658" i="33"/>
  <c r="P658" i="33"/>
  <c r="Q658" i="33"/>
  <c r="R658" i="33"/>
  <c r="H20" i="18"/>
  <c r="H21" i="18" s="1"/>
  <c r="H12" i="14"/>
  <c r="J12" i="14" s="1"/>
  <c r="H25" i="14"/>
  <c r="H29" i="14" s="1"/>
  <c r="J29" i="14" s="1"/>
  <c r="E87" i="4"/>
  <c r="D818" i="33" s="1"/>
  <c r="D819" i="33" s="1"/>
  <c r="D820" i="33" s="1"/>
  <c r="J87" i="4"/>
  <c r="I818" i="33" s="1"/>
  <c r="I819" i="33" s="1"/>
  <c r="I820" i="33" s="1"/>
  <c r="K87" i="4"/>
  <c r="L87" i="4"/>
  <c r="M3" i="13"/>
  <c r="C32" i="13" s="1"/>
  <c r="U639" i="33" l="1"/>
  <c r="M648" i="33"/>
  <c r="M645" i="33"/>
  <c r="L648" i="33"/>
  <c r="L645" i="33"/>
  <c r="K648" i="33"/>
  <c r="K645" i="33"/>
  <c r="R645" i="33"/>
  <c r="J648" i="33"/>
  <c r="J645" i="33"/>
  <c r="Q645" i="33"/>
  <c r="I648" i="33"/>
  <c r="I645" i="33"/>
  <c r="P648" i="33"/>
  <c r="P645" i="33"/>
  <c r="N645" i="33"/>
  <c r="S639" i="33"/>
  <c r="N648" i="33"/>
  <c r="J658" i="33"/>
  <c r="H661" i="33"/>
  <c r="H658" i="33"/>
  <c r="U621" i="33"/>
  <c r="W621" i="33" s="1"/>
  <c r="S621" i="33"/>
  <c r="J662" i="33"/>
  <c r="H662" i="33"/>
  <c r="V637" i="33"/>
  <c r="V636" i="33"/>
  <c r="V639" i="33"/>
  <c r="V619" i="33"/>
  <c r="V621" i="33"/>
  <c r="V618" i="33"/>
  <c r="M662" i="33"/>
  <c r="M663" i="33" s="1"/>
  <c r="K662" i="33"/>
  <c r="K663" i="33" s="1"/>
  <c r="L662" i="33"/>
  <c r="L663" i="33" s="1"/>
  <c r="Q662" i="33"/>
  <c r="Q663" i="33" s="1"/>
  <c r="I662" i="33"/>
  <c r="I663" i="33" s="1"/>
  <c r="P662" i="33"/>
  <c r="P663" i="33" s="1"/>
  <c r="O662" i="33"/>
  <c r="O663" i="33" s="1"/>
  <c r="N662" i="33"/>
  <c r="N663" i="33" s="1"/>
  <c r="K647" i="33"/>
  <c r="M649" i="33"/>
  <c r="S654" i="33"/>
  <c r="Q666" i="33"/>
  <c r="Q671" i="33" s="1"/>
  <c r="H647" i="33"/>
  <c r="H651" i="33" s="1"/>
  <c r="H629" i="33"/>
  <c r="H633" i="33" s="1"/>
  <c r="J629" i="33"/>
  <c r="J633" i="33" s="1"/>
  <c r="O668" i="33"/>
  <c r="H33" i="18"/>
  <c r="H139" i="18" s="1"/>
  <c r="R660" i="33"/>
  <c r="J660" i="33"/>
  <c r="N647" i="33"/>
  <c r="P666" i="33"/>
  <c r="P671" i="33" s="1"/>
  <c r="P629" i="33"/>
  <c r="P633" i="33" s="1"/>
  <c r="K660" i="33"/>
  <c r="O629" i="33"/>
  <c r="O633" i="33" s="1"/>
  <c r="N666" i="33"/>
  <c r="N671" i="33" s="1"/>
  <c r="R647" i="33"/>
  <c r="J647" i="33"/>
  <c r="N629" i="33"/>
  <c r="N633" i="33" s="1"/>
  <c r="U627" i="33"/>
  <c r="W627" i="33" s="1"/>
  <c r="Q629" i="33"/>
  <c r="Q633" i="33" s="1"/>
  <c r="J666" i="33"/>
  <c r="J671" i="33" s="1"/>
  <c r="I629" i="33"/>
  <c r="I633" i="33" s="1"/>
  <c r="O666" i="33"/>
  <c r="O671" i="33" s="1"/>
  <c r="O647" i="33"/>
  <c r="O651" i="33" s="1"/>
  <c r="L666" i="33"/>
  <c r="L671" i="33" s="1"/>
  <c r="L629" i="33"/>
  <c r="L633" i="33" s="1"/>
  <c r="M647" i="33"/>
  <c r="M629" i="33"/>
  <c r="M633" i="33" s="1"/>
  <c r="N668" i="33"/>
  <c r="S622" i="33"/>
  <c r="H666" i="33"/>
  <c r="H671" i="33" s="1"/>
  <c r="M666" i="33"/>
  <c r="M671" i="33" s="1"/>
  <c r="S640" i="33"/>
  <c r="Q647" i="33"/>
  <c r="Q651" i="33" s="1"/>
  <c r="I666" i="33"/>
  <c r="I671" i="33" s="1"/>
  <c r="H660" i="33"/>
  <c r="U654" i="33"/>
  <c r="W654" i="33" s="1"/>
  <c r="U622" i="33"/>
  <c r="R666" i="33"/>
  <c r="R671" i="33" s="1"/>
  <c r="K666" i="33"/>
  <c r="K671" i="33" s="1"/>
  <c r="I20" i="18"/>
  <c r="I21" i="18" s="1"/>
  <c r="I33" i="18" s="1"/>
  <c r="I660" i="33"/>
  <c r="M660" i="33"/>
  <c r="L660" i="33"/>
  <c r="E88" i="4"/>
  <c r="K88" i="4"/>
  <c r="M144" i="4"/>
  <c r="M76" i="4"/>
  <c r="M158" i="3"/>
  <c r="M144" i="3"/>
  <c r="M65" i="3"/>
  <c r="E88" i="3"/>
  <c r="D808" i="33" s="1"/>
  <c r="P668" i="33"/>
  <c r="L668" i="33"/>
  <c r="I647" i="33"/>
  <c r="P660" i="33"/>
  <c r="M668" i="33"/>
  <c r="U658" i="33"/>
  <c r="O660" i="33"/>
  <c r="N660" i="33"/>
  <c r="L647" i="33"/>
  <c r="L651" i="33" s="1"/>
  <c r="Q668" i="33"/>
  <c r="H668" i="33"/>
  <c r="J668" i="33"/>
  <c r="R629" i="33"/>
  <c r="R668" i="33"/>
  <c r="K629" i="33"/>
  <c r="K633" i="33" s="1"/>
  <c r="K668" i="33"/>
  <c r="I668" i="33"/>
  <c r="M158" i="4"/>
  <c r="M65" i="4"/>
  <c r="M76" i="3"/>
  <c r="K88" i="3"/>
  <c r="J808" i="33" s="1"/>
  <c r="M87" i="3"/>
  <c r="L807" i="33" s="1"/>
  <c r="M87" i="4"/>
  <c r="Q660" i="33"/>
  <c r="P647" i="33"/>
  <c r="I266" i="33" l="1"/>
  <c r="L816" i="33"/>
  <c r="I287" i="33"/>
  <c r="L817" i="33"/>
  <c r="H663" i="33"/>
  <c r="J663" i="33"/>
  <c r="M651" i="33"/>
  <c r="W658" i="33"/>
  <c r="J651" i="33"/>
  <c r="K651" i="33"/>
  <c r="P651" i="33"/>
  <c r="R648" i="33"/>
  <c r="S648" i="33"/>
  <c r="S645" i="33"/>
  <c r="V645" i="33"/>
  <c r="U645" i="33"/>
  <c r="W645" i="33" s="1"/>
  <c r="M652" i="33"/>
  <c r="Q648" i="33"/>
  <c r="I651" i="33"/>
  <c r="N651" i="33"/>
  <c r="N23" i="32"/>
  <c r="J706" i="33" s="1"/>
  <c r="J649" i="33"/>
  <c r="J652" i="33" s="1"/>
  <c r="R651" i="33"/>
  <c r="O23" i="32"/>
  <c r="K706" i="33" s="1"/>
  <c r="K649" i="33"/>
  <c r="K652" i="33" s="1"/>
  <c r="O648" i="33"/>
  <c r="P23" i="32"/>
  <c r="L706" i="33" s="1"/>
  <c r="L649" i="33"/>
  <c r="L652" i="33" s="1"/>
  <c r="S23" i="32"/>
  <c r="O706" i="33" s="1"/>
  <c r="O649" i="33"/>
  <c r="O652" i="33" s="1"/>
  <c r="R23" i="32"/>
  <c r="N706" i="33" s="1"/>
  <c r="N649" i="33"/>
  <c r="N652" i="33" s="1"/>
  <c r="T23" i="32"/>
  <c r="P706" i="33" s="1"/>
  <c r="P649" i="33"/>
  <c r="P652" i="33" s="1"/>
  <c r="V640" i="33"/>
  <c r="U640" i="33"/>
  <c r="M23" i="32"/>
  <c r="I706" i="33" s="1"/>
  <c r="I649" i="33"/>
  <c r="I652" i="33" s="1"/>
  <c r="S650" i="33"/>
  <c r="U23" i="32"/>
  <c r="Q706" i="33" s="1"/>
  <c r="Q649" i="33"/>
  <c r="Q652" i="33" s="1"/>
  <c r="K661" i="33"/>
  <c r="S630" i="33"/>
  <c r="S627" i="33"/>
  <c r="N661" i="33"/>
  <c r="M661" i="33"/>
  <c r="J661" i="33"/>
  <c r="Q661" i="33"/>
  <c r="L661" i="33"/>
  <c r="O661" i="33"/>
  <c r="P661" i="33"/>
  <c r="I661" i="33"/>
  <c r="S661" i="33"/>
  <c r="S658" i="33"/>
  <c r="R661" i="33"/>
  <c r="S632" i="33"/>
  <c r="R633" i="33"/>
  <c r="U632" i="33"/>
  <c r="W622" i="33"/>
  <c r="H266" i="33"/>
  <c r="L785" i="33"/>
  <c r="H287" i="33"/>
  <c r="L796" i="33"/>
  <c r="Q23" i="32"/>
  <c r="M706" i="33" s="1"/>
  <c r="M670" i="33"/>
  <c r="M672" i="33" s="1"/>
  <c r="O24" i="32"/>
  <c r="K707" i="33" s="1"/>
  <c r="R24" i="32"/>
  <c r="N707" i="33" s="1"/>
  <c r="Q24" i="32"/>
  <c r="M707" i="33" s="1"/>
  <c r="V654" i="33"/>
  <c r="S24" i="32"/>
  <c r="O707" i="33" s="1"/>
  <c r="N24" i="32"/>
  <c r="J707" i="33" s="1"/>
  <c r="V658" i="33"/>
  <c r="T24" i="32"/>
  <c r="P707" i="33" s="1"/>
  <c r="U24" i="32"/>
  <c r="Q707" i="33" s="1"/>
  <c r="L24" i="32"/>
  <c r="H707" i="33" s="1"/>
  <c r="M24" i="32"/>
  <c r="I707" i="33" s="1"/>
  <c r="P24" i="32"/>
  <c r="L707" i="33" s="1"/>
  <c r="R662" i="33"/>
  <c r="R663" i="33" s="1"/>
  <c r="U642" i="33"/>
  <c r="W642" i="33" s="1"/>
  <c r="V627" i="33"/>
  <c r="V622" i="33"/>
  <c r="S642" i="33"/>
  <c r="J669" i="33"/>
  <c r="S656" i="33"/>
  <c r="H69" i="18"/>
  <c r="U660" i="33"/>
  <c r="W660" i="33" s="1"/>
  <c r="U624" i="33"/>
  <c r="W624" i="33" s="1"/>
  <c r="N669" i="33"/>
  <c r="O669" i="33"/>
  <c r="M669" i="33"/>
  <c r="I669" i="33"/>
  <c r="Q669" i="33"/>
  <c r="L669" i="33"/>
  <c r="S666" i="33"/>
  <c r="S668" i="33"/>
  <c r="I69" i="18"/>
  <c r="I139" i="18"/>
  <c r="J20" i="18"/>
  <c r="J21" i="18" s="1"/>
  <c r="H669" i="33"/>
  <c r="K669" i="33"/>
  <c r="S647" i="33"/>
  <c r="P669" i="33"/>
  <c r="S660" i="33"/>
  <c r="U629" i="33"/>
  <c r="U633" i="33" s="1"/>
  <c r="R669" i="33"/>
  <c r="S629" i="33"/>
  <c r="H220" i="33"/>
  <c r="M39" i="4"/>
  <c r="L815" i="33" s="1"/>
  <c r="L819" i="33" l="1"/>
  <c r="S633" i="33"/>
  <c r="S671" i="33"/>
  <c r="S651" i="33"/>
  <c r="V648" i="33"/>
  <c r="U648" i="33"/>
  <c r="V23" i="32"/>
  <c r="R706" i="33" s="1"/>
  <c r="R649" i="33"/>
  <c r="U650" i="33"/>
  <c r="W640" i="33"/>
  <c r="V656" i="33"/>
  <c r="V647" i="33"/>
  <c r="U647" i="33"/>
  <c r="W647" i="33" s="1"/>
  <c r="V661" i="33"/>
  <c r="U661" i="33"/>
  <c r="W629" i="33"/>
  <c r="S667" i="33"/>
  <c r="V660" i="33"/>
  <c r="V24" i="32"/>
  <c r="R707" i="33" s="1"/>
  <c r="S662" i="33"/>
  <c r="S663" i="33" s="1"/>
  <c r="V642" i="33"/>
  <c r="H670" i="33"/>
  <c r="H672" i="33" s="1"/>
  <c r="U662" i="33"/>
  <c r="W662" i="33" s="1"/>
  <c r="V629" i="33"/>
  <c r="V624" i="33"/>
  <c r="J33" i="18"/>
  <c r="J139" i="18" s="1"/>
  <c r="M88" i="4"/>
  <c r="M161" i="4" s="1"/>
  <c r="M165" i="4" s="1"/>
  <c r="I220" i="33"/>
  <c r="M88" i="3"/>
  <c r="E320" i="15"/>
  <c r="S320" i="15" s="1"/>
  <c r="E299" i="15"/>
  <c r="S631" i="33"/>
  <c r="K20" i="18"/>
  <c r="K21" i="18" s="1"/>
  <c r="S669" i="33"/>
  <c r="S649" i="33"/>
  <c r="S652" i="33" s="1"/>
  <c r="H313" i="33" l="1"/>
  <c r="AT320" i="15"/>
  <c r="AV320" i="15"/>
  <c r="AQ320" i="15"/>
  <c r="AW320" i="15"/>
  <c r="AA320" i="15"/>
  <c r="AS320" i="15"/>
  <c r="AR320" i="15"/>
  <c r="AU320" i="15"/>
  <c r="H312" i="33"/>
  <c r="AR299" i="15"/>
  <c r="S299" i="15"/>
  <c r="AW299" i="15"/>
  <c r="AV299" i="15"/>
  <c r="AA299" i="15"/>
  <c r="AU299" i="15"/>
  <c r="AT299" i="15"/>
  <c r="AS299" i="15"/>
  <c r="AQ299" i="15"/>
  <c r="U651" i="33"/>
  <c r="U663" i="33"/>
  <c r="V649" i="33"/>
  <c r="V652" i="33" s="1"/>
  <c r="U649" i="33"/>
  <c r="U652" i="33" s="1"/>
  <c r="R652" i="33"/>
  <c r="V631" i="33"/>
  <c r="V634" i="33" s="1"/>
  <c r="U631" i="33"/>
  <c r="Q670" i="33"/>
  <c r="Q672" i="33" s="1"/>
  <c r="R670" i="33"/>
  <c r="R672" i="33" s="1"/>
  <c r="J670" i="33"/>
  <c r="J672" i="33" s="1"/>
  <c r="N670" i="33"/>
  <c r="N672" i="33" s="1"/>
  <c r="I670" i="33"/>
  <c r="I672" i="33" s="1"/>
  <c r="S634" i="33"/>
  <c r="O670" i="33"/>
  <c r="O672" i="33" s="1"/>
  <c r="L670" i="33"/>
  <c r="L672" i="33" s="1"/>
  <c r="P670" i="33"/>
  <c r="P672" i="33" s="1"/>
  <c r="K670" i="33"/>
  <c r="K672" i="33" s="1"/>
  <c r="K33" i="18"/>
  <c r="K69" i="18" s="1"/>
  <c r="M161" i="3"/>
  <c r="F58" i="14" s="1"/>
  <c r="H68" i="33" s="1"/>
  <c r="L808" i="33"/>
  <c r="J69" i="18"/>
  <c r="V662" i="33"/>
  <c r="V663" i="33" s="1"/>
  <c r="AI195" i="15"/>
  <c r="AJ195" i="15"/>
  <c r="AN195" i="15"/>
  <c r="AO195" i="15"/>
  <c r="AK195" i="15"/>
  <c r="AL195" i="15"/>
  <c r="AM195" i="15"/>
  <c r="AI174" i="15"/>
  <c r="AJ174" i="15"/>
  <c r="AL174" i="15"/>
  <c r="AM174" i="15"/>
  <c r="AK174" i="15"/>
  <c r="AO174" i="15"/>
  <c r="AN174" i="15"/>
  <c r="E253" i="15"/>
  <c r="S670" i="33"/>
  <c r="S672" i="33" s="1"/>
  <c r="L20" i="18"/>
  <c r="L21" i="18" s="1"/>
  <c r="G45" i="14" l="1"/>
  <c r="G47" i="14" s="1"/>
  <c r="F75" i="13"/>
  <c r="L44" i="13"/>
  <c r="G66" i="13" s="1"/>
  <c r="I35" i="33" s="1"/>
  <c r="L46" i="13"/>
  <c r="AA253" i="15"/>
  <c r="AQ253" i="15"/>
  <c r="AW253" i="15"/>
  <c r="AS253" i="15"/>
  <c r="AT253" i="15"/>
  <c r="AV253" i="15"/>
  <c r="AU253" i="15"/>
  <c r="AR253" i="15"/>
  <c r="H311" i="33"/>
  <c r="S253" i="15"/>
  <c r="H11" i="14"/>
  <c r="J11" i="14" s="1"/>
  <c r="K139" i="18"/>
  <c r="W649" i="33"/>
  <c r="U634" i="33"/>
  <c r="W631" i="33"/>
  <c r="L45" i="13"/>
  <c r="F76" i="14"/>
  <c r="H86" i="33" s="1"/>
  <c r="F68" i="14"/>
  <c r="L33" i="18"/>
  <c r="L69" i="18" s="1"/>
  <c r="AI299" i="15"/>
  <c r="AJ299" i="15"/>
  <c r="AN299" i="15"/>
  <c r="AO299" i="15"/>
  <c r="AM299" i="15"/>
  <c r="AK299" i="15"/>
  <c r="AL299" i="15"/>
  <c r="AI320" i="15"/>
  <c r="AJ320" i="15"/>
  <c r="AK320" i="15"/>
  <c r="AO320" i="15"/>
  <c r="AL320" i="15"/>
  <c r="AM320" i="15"/>
  <c r="AN320" i="15"/>
  <c r="AI128" i="15"/>
  <c r="AJ128" i="15"/>
  <c r="AN128" i="15"/>
  <c r="AM128" i="15"/>
  <c r="AO128" i="15"/>
  <c r="AK128" i="15"/>
  <c r="AL128" i="15"/>
  <c r="M20" i="18"/>
  <c r="M21" i="18" s="1"/>
  <c r="M33" i="18" s="1"/>
  <c r="I55" i="33" l="1"/>
  <c r="H14" i="14"/>
  <c r="H19" i="14" s="1"/>
  <c r="G53" i="14"/>
  <c r="I63" i="33" s="1"/>
  <c r="G52" i="14"/>
  <c r="I62" i="33" s="1"/>
  <c r="G62" i="14"/>
  <c r="H78" i="33"/>
  <c r="I57" i="33"/>
  <c r="G49" i="14"/>
  <c r="G51" i="14"/>
  <c r="I61" i="33" s="1"/>
  <c r="G50" i="14"/>
  <c r="I60" i="33" s="1"/>
  <c r="G72" i="14"/>
  <c r="I82" i="33" s="1"/>
  <c r="L139" i="18"/>
  <c r="AI253" i="15"/>
  <c r="AK253" i="15"/>
  <c r="AL253" i="15"/>
  <c r="AO253" i="15"/>
  <c r="AN253" i="15"/>
  <c r="AJ253" i="15"/>
  <c r="AM253" i="15"/>
  <c r="M139" i="18"/>
  <c r="N20" i="18"/>
  <c r="N21" i="18" s="1"/>
  <c r="N33" i="18" s="1"/>
  <c r="H16" i="14" l="1"/>
  <c r="H18" i="14"/>
  <c r="H17" i="14"/>
  <c r="F20" i="14"/>
  <c r="F22" i="14" s="1"/>
  <c r="H22" i="14" s="1"/>
  <c r="H31" i="14" s="1"/>
  <c r="I59" i="33"/>
  <c r="G54" i="14"/>
  <c r="G64" i="14"/>
  <c r="I72" i="33"/>
  <c r="G73" i="14"/>
  <c r="I83" i="33" s="1"/>
  <c r="G74" i="14"/>
  <c r="I84" i="33" s="1"/>
  <c r="M69" i="18"/>
  <c r="N139" i="18"/>
  <c r="N69" i="18"/>
  <c r="O20" i="18"/>
  <c r="O21" i="18" s="1"/>
  <c r="O33" i="18" s="1"/>
  <c r="J23" i="14" l="1"/>
  <c r="I74" i="33"/>
  <c r="G66" i="14"/>
  <c r="I76" i="33" s="1"/>
  <c r="G65" i="14"/>
  <c r="I64" i="33"/>
  <c r="G56" i="14"/>
  <c r="G76" i="14"/>
  <c r="I86" i="33" s="1"/>
  <c r="I87" i="33" s="1"/>
  <c r="J20" i="14"/>
  <c r="J16" i="14"/>
  <c r="J18" i="14"/>
  <c r="O139" i="18"/>
  <c r="O69" i="18"/>
  <c r="P20" i="18"/>
  <c r="P21" i="18" s="1"/>
  <c r="Q134" i="18" l="1"/>
  <c r="S534" i="33" s="1"/>
  <c r="Q130" i="18"/>
  <c r="S530" i="33" s="1"/>
  <c r="Q124" i="18"/>
  <c r="S524" i="33" s="1"/>
  <c r="Q125" i="18"/>
  <c r="S525" i="33" s="1"/>
  <c r="Q128" i="18"/>
  <c r="S528" i="33" s="1"/>
  <c r="Q127" i="18"/>
  <c r="S527" i="33" s="1"/>
  <c r="Q132" i="18"/>
  <c r="S532" i="33" s="1"/>
  <c r="Q129" i="18"/>
  <c r="S529" i="33" s="1"/>
  <c r="Q131" i="18"/>
  <c r="S531" i="33" s="1"/>
  <c r="Q126" i="18"/>
  <c r="S526" i="33" s="1"/>
  <c r="Q133" i="18"/>
  <c r="S533" i="33" s="1"/>
  <c r="Q89" i="18"/>
  <c r="S489" i="33" s="1"/>
  <c r="Q109" i="18"/>
  <c r="S509" i="33" s="1"/>
  <c r="Q107" i="18"/>
  <c r="S507" i="33" s="1"/>
  <c r="Q87" i="18"/>
  <c r="S487" i="33" s="1"/>
  <c r="Q91" i="18"/>
  <c r="S491" i="33" s="1"/>
  <c r="Q86" i="18"/>
  <c r="S486" i="33" s="1"/>
  <c r="Q100" i="18"/>
  <c r="S500" i="33" s="1"/>
  <c r="Q111" i="18"/>
  <c r="S511" i="33" s="1"/>
  <c r="Q106" i="18"/>
  <c r="S506" i="33" s="1"/>
  <c r="Q98" i="18"/>
  <c r="S498" i="33" s="1"/>
  <c r="Q108" i="18"/>
  <c r="S508" i="33" s="1"/>
  <c r="Q95" i="18"/>
  <c r="S495" i="33" s="1"/>
  <c r="Q84" i="18"/>
  <c r="S484" i="33" s="1"/>
  <c r="Q83" i="18"/>
  <c r="S483" i="33" s="1"/>
  <c r="Q97" i="18"/>
  <c r="S497" i="33" s="1"/>
  <c r="Q82" i="18"/>
  <c r="S482" i="33" s="1"/>
  <c r="Q102" i="18"/>
  <c r="S502" i="33" s="1"/>
  <c r="Q99" i="18"/>
  <c r="S499" i="33" s="1"/>
  <c r="Q104" i="18"/>
  <c r="S504" i="33" s="1"/>
  <c r="Q93" i="18"/>
  <c r="S493" i="33" s="1"/>
  <c r="Q92" i="18"/>
  <c r="S492" i="33" s="1"/>
  <c r="Q94" i="18"/>
  <c r="S494" i="33" s="1"/>
  <c r="Q101" i="18"/>
  <c r="S501" i="33" s="1"/>
  <c r="Q103" i="18"/>
  <c r="S503" i="33" s="1"/>
  <c r="Q85" i="18"/>
  <c r="S485" i="33" s="1"/>
  <c r="Q90" i="18"/>
  <c r="S490" i="33" s="1"/>
  <c r="Q112" i="18"/>
  <c r="S512" i="33" s="1"/>
  <c r="Q110" i="18"/>
  <c r="S510" i="33" s="1"/>
  <c r="Q96" i="18"/>
  <c r="S496" i="33" s="1"/>
  <c r="Q88" i="18"/>
  <c r="S488" i="33" s="1"/>
  <c r="Q105" i="18"/>
  <c r="S505" i="33" s="1"/>
  <c r="G58" i="14"/>
  <c r="I66" i="33"/>
  <c r="I75" i="33"/>
  <c r="G68" i="14"/>
  <c r="H72" i="14"/>
  <c r="J82" i="33" s="1"/>
  <c r="G103" i="14"/>
  <c r="G94" i="14"/>
  <c r="I104" i="33" s="1"/>
  <c r="Q77" i="18"/>
  <c r="S477" i="33" s="1"/>
  <c r="Q123" i="18"/>
  <c r="S523" i="33" s="1"/>
  <c r="Q120" i="18"/>
  <c r="S520" i="33" s="1"/>
  <c r="Q117" i="18"/>
  <c r="S517" i="33" s="1"/>
  <c r="Q116" i="18"/>
  <c r="S516" i="33" s="1"/>
  <c r="Q79" i="18"/>
  <c r="S479" i="33" s="1"/>
  <c r="Q118" i="18"/>
  <c r="S518" i="33" s="1"/>
  <c r="Q121" i="18"/>
  <c r="S521" i="33" s="1"/>
  <c r="Q75" i="18"/>
  <c r="S475" i="33" s="1"/>
  <c r="Q73" i="18"/>
  <c r="S473" i="33" s="1"/>
  <c r="Q74" i="18"/>
  <c r="S474" i="33" s="1"/>
  <c r="Q76" i="18"/>
  <c r="S476" i="33" s="1"/>
  <c r="Q78" i="18"/>
  <c r="S478" i="33" s="1"/>
  <c r="Q115" i="18"/>
  <c r="S515" i="33" s="1"/>
  <c r="Q119" i="18"/>
  <c r="S519" i="33" s="1"/>
  <c r="Q122" i="18"/>
  <c r="S522" i="33" s="1"/>
  <c r="Q80" i="18"/>
  <c r="S480" i="33" s="1"/>
  <c r="P33" i="18"/>
  <c r="P139" i="18" s="1"/>
  <c r="Q81" i="18"/>
  <c r="S481" i="33" s="1"/>
  <c r="Q114" i="18"/>
  <c r="S514" i="33" s="1"/>
  <c r="Q24" i="18"/>
  <c r="S425" i="33" s="1"/>
  <c r="Q36" i="18"/>
  <c r="S436" i="33" s="1"/>
  <c r="Q145" i="18"/>
  <c r="S545" i="33" s="1"/>
  <c r="Q146" i="18"/>
  <c r="S546" i="33" s="1"/>
  <c r="Q140" i="18"/>
  <c r="S540" i="33" s="1"/>
  <c r="Q142" i="18"/>
  <c r="S542" i="33" s="1"/>
  <c r="Q147" i="18"/>
  <c r="S547" i="33" s="1"/>
  <c r="Q148" i="18"/>
  <c r="S548" i="33" s="1"/>
  <c r="Q141" i="18"/>
  <c r="S541" i="33" s="1"/>
  <c r="Q143" i="18"/>
  <c r="S543" i="33" s="1"/>
  <c r="Q144" i="18"/>
  <c r="S544" i="33" s="1"/>
  <c r="Q149" i="18"/>
  <c r="S549" i="33" s="1"/>
  <c r="Q39" i="18"/>
  <c r="S439" i="33" s="1"/>
  <c r="Q56" i="18"/>
  <c r="S456" i="33" s="1"/>
  <c r="Q64" i="18"/>
  <c r="S464" i="33" s="1"/>
  <c r="Q55" i="18"/>
  <c r="S455" i="33" s="1"/>
  <c r="Q63" i="18"/>
  <c r="S463" i="33" s="1"/>
  <c r="Q42" i="18"/>
  <c r="S442" i="33" s="1"/>
  <c r="Q40" i="18"/>
  <c r="S440" i="33" s="1"/>
  <c r="Q46" i="18"/>
  <c r="S446" i="33" s="1"/>
  <c r="Q61" i="18"/>
  <c r="S461" i="33" s="1"/>
  <c r="Q59" i="18"/>
  <c r="S459" i="33" s="1"/>
  <c r="Q71" i="18"/>
  <c r="S471" i="33" s="1"/>
  <c r="Q45" i="18"/>
  <c r="S445" i="33" s="1"/>
  <c r="Q44" i="18"/>
  <c r="S444" i="33" s="1"/>
  <c r="Q57" i="18"/>
  <c r="S457" i="33" s="1"/>
  <c r="Q43" i="18"/>
  <c r="S443" i="33" s="1"/>
  <c r="Q72" i="18"/>
  <c r="S472" i="33" s="1"/>
  <c r="Q35" i="18"/>
  <c r="S435" i="33" s="1"/>
  <c r="Q58" i="18"/>
  <c r="S458" i="33" s="1"/>
  <c r="Q49" i="18"/>
  <c r="Q60" i="18"/>
  <c r="S460" i="33" s="1"/>
  <c r="Q62" i="18"/>
  <c r="S462" i="33" s="1"/>
  <c r="Q38" i="18"/>
  <c r="S438" i="33" s="1"/>
  <c r="Q47" i="18"/>
  <c r="S447" i="33" s="1"/>
  <c r="Q51" i="18"/>
  <c r="S451" i="33" s="1"/>
  <c r="Q50" i="18"/>
  <c r="Q41" i="18"/>
  <c r="S441" i="33" s="1"/>
  <c r="Q48" i="18"/>
  <c r="S448" i="33" s="1"/>
  <c r="Q53" i="18"/>
  <c r="S453" i="33" s="1"/>
  <c r="Q54" i="18"/>
  <c r="S454" i="33" s="1"/>
  <c r="Q34" i="18"/>
  <c r="S434" i="33" s="1"/>
  <c r="Q52" i="18"/>
  <c r="S452" i="33" s="1"/>
  <c r="Q37" i="18"/>
  <c r="S437" i="33" s="1"/>
  <c r="S450" i="33" l="1"/>
  <c r="S449" i="33"/>
  <c r="I78" i="33"/>
  <c r="I79" i="33" s="1"/>
  <c r="G102" i="14"/>
  <c r="I112" i="33" s="1"/>
  <c r="G93" i="14"/>
  <c r="I103" i="33" s="1"/>
  <c r="H62" i="14"/>
  <c r="G101" i="14"/>
  <c r="I68" i="33"/>
  <c r="I69" i="33" s="1"/>
  <c r="H45" i="14"/>
  <c r="G92" i="14"/>
  <c r="G98" i="14" s="1"/>
  <c r="I108" i="33" s="1"/>
  <c r="G89" i="14"/>
  <c r="I99" i="33" s="1"/>
  <c r="H73" i="14"/>
  <c r="J83" i="33" s="1"/>
  <c r="H74" i="14"/>
  <c r="J84" i="33" s="1"/>
  <c r="J22" i="14"/>
  <c r="P69" i="18"/>
  <c r="I111" i="33" l="1"/>
  <c r="G106" i="14"/>
  <c r="G97" i="14"/>
  <c r="I107" i="33" s="1"/>
  <c r="I102" i="33"/>
  <c r="G87" i="14"/>
  <c r="I97" i="33" s="1"/>
  <c r="H64" i="14"/>
  <c r="J72" i="33"/>
  <c r="G88" i="14"/>
  <c r="I98" i="33" s="1"/>
  <c r="H47" i="14"/>
  <c r="H52" i="14" s="1"/>
  <c r="J62" i="33" s="1"/>
  <c r="J55" i="33"/>
  <c r="G107" i="14"/>
  <c r="H76" i="14"/>
  <c r="J86" i="33" s="1"/>
  <c r="J87" i="33" s="1"/>
  <c r="G75" i="13"/>
  <c r="I44" i="33" s="1"/>
  <c r="J74" i="33" l="1"/>
  <c r="H65" i="14"/>
  <c r="J75" i="33" s="1"/>
  <c r="H66" i="14"/>
  <c r="J76" i="33" s="1"/>
  <c r="H53" i="14"/>
  <c r="J63" i="33" s="1"/>
  <c r="H50" i="14"/>
  <c r="J60" i="33" s="1"/>
  <c r="J57" i="33"/>
  <c r="H49" i="14"/>
  <c r="H94" i="14"/>
  <c r="J104" i="33" s="1"/>
  <c r="I72" i="14"/>
  <c r="K82" i="33" s="1"/>
  <c r="H103" i="14"/>
  <c r="G27" i="18"/>
  <c r="I429" i="33" s="1"/>
  <c r="J31" i="14"/>
  <c r="H68" i="14" l="1"/>
  <c r="J78" i="33" s="1"/>
  <c r="J79" i="33" s="1"/>
  <c r="J59" i="33"/>
  <c r="I73" i="14"/>
  <c r="K83" i="33" s="1"/>
  <c r="I74" i="14"/>
  <c r="K84" i="33" s="1"/>
  <c r="H89" i="14"/>
  <c r="J99" i="33" s="1"/>
  <c r="G65" i="18"/>
  <c r="I465" i="33" s="1"/>
  <c r="G135" i="18"/>
  <c r="I535" i="33" s="1"/>
  <c r="I537" i="33" s="1"/>
  <c r="G150" i="18"/>
  <c r="I550" i="33" s="1"/>
  <c r="I552" i="33" s="1"/>
  <c r="H102" i="14" l="1"/>
  <c r="J112" i="33" s="1"/>
  <c r="I62" i="14"/>
  <c r="K72" i="33" s="1"/>
  <c r="H93" i="14"/>
  <c r="J103" i="33" s="1"/>
  <c r="G66" i="18"/>
  <c r="I466" i="33" s="1"/>
  <c r="I467" i="33" s="1"/>
  <c r="I76" i="14"/>
  <c r="G151" i="18"/>
  <c r="I551" i="33" s="1"/>
  <c r="G30" i="18"/>
  <c r="I430" i="33" s="1"/>
  <c r="G154" i="18"/>
  <c r="I555" i="33" s="1"/>
  <c r="G136" i="18"/>
  <c r="I536" i="33" s="1"/>
  <c r="I64" i="14" l="1"/>
  <c r="I66" i="14" s="1"/>
  <c r="K76" i="33" s="1"/>
  <c r="H88" i="14"/>
  <c r="J98" i="33" s="1"/>
  <c r="I558" i="33"/>
  <c r="I94" i="14"/>
  <c r="K104" i="33" s="1"/>
  <c r="K86" i="33"/>
  <c r="K87" i="33" s="1"/>
  <c r="J72" i="14"/>
  <c r="L82" i="33" s="1"/>
  <c r="I103" i="14"/>
  <c r="G155" i="18"/>
  <c r="I556" i="33" s="1"/>
  <c r="I559" i="33" s="1"/>
  <c r="I65" i="14" l="1"/>
  <c r="K75" i="33" s="1"/>
  <c r="K74" i="33"/>
  <c r="J73" i="14"/>
  <c r="L83" i="33" s="1"/>
  <c r="J74" i="14"/>
  <c r="L84" i="33" s="1"/>
  <c r="I89" i="14"/>
  <c r="K99" i="33" s="1"/>
  <c r="I68" i="14" l="1"/>
  <c r="I102" i="14" s="1"/>
  <c r="K112" i="33" s="1"/>
  <c r="J76" i="14"/>
  <c r="J103" i="14" s="1"/>
  <c r="J62" i="14" l="1"/>
  <c r="L72" i="33" s="1"/>
  <c r="K78" i="33"/>
  <c r="K79" i="33" s="1"/>
  <c r="I93" i="14"/>
  <c r="I88" i="14" s="1"/>
  <c r="K98" i="33" s="1"/>
  <c r="J94" i="14"/>
  <c r="L104" i="33" s="1"/>
  <c r="L86" i="33"/>
  <c r="L87" i="33" s="1"/>
  <c r="K72" i="14"/>
  <c r="K103" i="33" l="1"/>
  <c r="J64" i="14"/>
  <c r="J89" i="14"/>
  <c r="L99" i="33" s="1"/>
  <c r="M82" i="33"/>
  <c r="K73" i="14"/>
  <c r="K74" i="14"/>
  <c r="M84" i="33" s="1"/>
  <c r="J65" i="14" l="1"/>
  <c r="J66" i="14"/>
  <c r="L76" i="33" s="1"/>
  <c r="L74" i="33"/>
  <c r="M83" i="33"/>
  <c r="K76" i="14"/>
  <c r="L75" i="33" l="1"/>
  <c r="J68" i="14"/>
  <c r="K62" i="14" s="1"/>
  <c r="K64" i="14" s="1"/>
  <c r="M86" i="33"/>
  <c r="M87" i="33" s="1"/>
  <c r="L72" i="14"/>
  <c r="K103" i="14"/>
  <c r="K94" i="14"/>
  <c r="M72" i="33" l="1"/>
  <c r="J102" i="14"/>
  <c r="L112" i="33" s="1"/>
  <c r="J93" i="14"/>
  <c r="L78" i="33"/>
  <c r="L79" i="33" s="1"/>
  <c r="M104" i="33"/>
  <c r="K89" i="14"/>
  <c r="M99" i="33" s="1"/>
  <c r="N82" i="33"/>
  <c r="L73" i="14"/>
  <c r="L74" i="14"/>
  <c r="N84" i="33" s="1"/>
  <c r="K65" i="14"/>
  <c r="M75" i="33" s="1"/>
  <c r="K66" i="14"/>
  <c r="M76" i="33" s="1"/>
  <c r="M74" i="33"/>
  <c r="J88" i="14" l="1"/>
  <c r="L98" i="33" s="1"/>
  <c r="L103" i="33"/>
  <c r="N83" i="33"/>
  <c r="L76" i="14"/>
  <c r="K68" i="14"/>
  <c r="K93" i="14" s="1"/>
  <c r="K102" i="14" l="1"/>
  <c r="M112" i="33" s="1"/>
  <c r="L62" i="14"/>
  <c r="L64" i="14" s="1"/>
  <c r="M78" i="33"/>
  <c r="M79" i="33" s="1"/>
  <c r="L103" i="14"/>
  <c r="L94" i="14"/>
  <c r="M72" i="14"/>
  <c r="N86" i="33"/>
  <c r="N87" i="33" s="1"/>
  <c r="M103" i="33"/>
  <c r="K88" i="14"/>
  <c r="M98" i="33" s="1"/>
  <c r="N72" i="33" l="1"/>
  <c r="O82" i="33"/>
  <c r="M73" i="14"/>
  <c r="O83" i="33" s="1"/>
  <c r="N104" i="33"/>
  <c r="L89" i="14"/>
  <c r="N99" i="33" s="1"/>
  <c r="L66" i="14"/>
  <c r="N76" i="33" s="1"/>
  <c r="L65" i="14"/>
  <c r="N75" i="33" s="1"/>
  <c r="N74" i="33"/>
  <c r="L68" i="14" l="1"/>
  <c r="M62" i="14" l="1"/>
  <c r="O72" i="33" s="1"/>
  <c r="L102" i="14"/>
  <c r="N112" i="33" s="1"/>
  <c r="N78" i="33"/>
  <c r="N79" i="33" s="1"/>
  <c r="L93" i="14"/>
  <c r="N103" i="33" l="1"/>
  <c r="L88" i="14"/>
  <c r="N98" i="33" s="1"/>
  <c r="N68" i="14" l="1"/>
  <c r="S78" i="33" s="1"/>
  <c r="S79" i="33" s="1"/>
  <c r="M74" i="14" l="1"/>
  <c r="O84" i="33" s="1"/>
  <c r="M64" i="14"/>
  <c r="M65" i="14" l="1"/>
  <c r="O75" i="33" s="1"/>
  <c r="O74" i="33"/>
  <c r="M66" i="14"/>
  <c r="O76" i="33" s="1"/>
  <c r="M67" i="14" l="1"/>
  <c r="O77" i="33" s="1"/>
  <c r="N76" i="14"/>
  <c r="M68" i="14" l="1"/>
  <c r="O78" i="33" s="1"/>
  <c r="O79" i="33" s="1"/>
  <c r="O76" i="14"/>
  <c r="T86" i="33" s="1"/>
  <c r="S86" i="33"/>
  <c r="S87" i="33" s="1"/>
  <c r="M102" i="14" l="1"/>
  <c r="O112" i="33" s="1"/>
  <c r="M93" i="14"/>
  <c r="M88" i="14" s="1"/>
  <c r="O98" i="33" s="1"/>
  <c r="N93" i="14"/>
  <c r="S103" i="33" s="1"/>
  <c r="O103" i="33" l="1"/>
  <c r="N102" i="14"/>
  <c r="S112" i="33" s="1"/>
  <c r="M75" i="14"/>
  <c r="O85" i="33" l="1"/>
  <c r="M76" i="14"/>
  <c r="O68" i="14"/>
  <c r="T78" i="33" s="1"/>
  <c r="O86" i="33" l="1"/>
  <c r="O87" i="33" s="1"/>
  <c r="M103" i="14"/>
  <c r="N103" i="14" s="1"/>
  <c r="M94" i="14"/>
  <c r="O89" i="14"/>
  <c r="T99" i="33" s="1"/>
  <c r="O88" i="14"/>
  <c r="T98" i="33" s="1"/>
  <c r="O93" i="14"/>
  <c r="T103" i="33" s="1"/>
  <c r="Q93" i="14"/>
  <c r="M89" i="14" l="1"/>
  <c r="O99" i="33" s="1"/>
  <c r="O104" i="33"/>
  <c r="N94" i="14"/>
  <c r="G67" i="13"/>
  <c r="G71" i="13" s="1"/>
  <c r="S104" i="33" l="1"/>
  <c r="O94" i="14"/>
  <c r="T104" i="33" s="1"/>
  <c r="Q94" i="14"/>
  <c r="H64" i="13"/>
  <c r="I40" i="33"/>
  <c r="I36" i="33"/>
  <c r="I46" i="33" s="1"/>
  <c r="H71" i="13" l="1"/>
  <c r="H70" i="13" s="1"/>
  <c r="I64" i="13"/>
  <c r="J36" i="33"/>
  <c r="I71" i="13" l="1"/>
  <c r="J39" i="33"/>
  <c r="J40" i="33"/>
  <c r="J33" i="33"/>
  <c r="J46" i="33" s="1"/>
  <c r="H51" i="14"/>
  <c r="K33" i="33"/>
  <c r="K36" i="33"/>
  <c r="I70" i="13" l="1"/>
  <c r="K39" i="33" s="1"/>
  <c r="J71" i="13"/>
  <c r="N39" i="33"/>
  <c r="O39" i="33"/>
  <c r="K40" i="33"/>
  <c r="K46" i="33"/>
  <c r="J61" i="33"/>
  <c r="H54" i="14"/>
  <c r="K71" i="13" l="1"/>
  <c r="J70" i="13"/>
  <c r="L39" i="33" s="1"/>
  <c r="L40" i="33"/>
  <c r="H56" i="14"/>
  <c r="J64" i="33"/>
  <c r="L71" i="13" l="1"/>
  <c r="M71" i="13" s="1"/>
  <c r="O40" i="33" s="1"/>
  <c r="K70" i="13"/>
  <c r="M39" i="33" s="1"/>
  <c r="M40" i="33"/>
  <c r="H58" i="14"/>
  <c r="J66" i="33"/>
  <c r="N40" i="33" l="1"/>
  <c r="H92" i="14"/>
  <c r="I45" i="14"/>
  <c r="J68" i="33"/>
  <c r="J69" i="33" s="1"/>
  <c r="H101" i="14"/>
  <c r="H75" i="13"/>
  <c r="J44" i="33" s="1"/>
  <c r="H27" i="18"/>
  <c r="H106" i="14" l="1"/>
  <c r="H107" i="14"/>
  <c r="J111" i="33"/>
  <c r="I47" i="14"/>
  <c r="I52" i="14" s="1"/>
  <c r="K62" i="33" s="1"/>
  <c r="K55" i="33"/>
  <c r="J429" i="33"/>
  <c r="H135" i="18"/>
  <c r="H136" i="18" s="1"/>
  <c r="J536" i="33" s="1"/>
  <c r="H65" i="18"/>
  <c r="H30" i="18" s="1"/>
  <c r="H150" i="18"/>
  <c r="H151" i="18" s="1"/>
  <c r="J551" i="33" s="1"/>
  <c r="H97" i="14"/>
  <c r="H98" i="14"/>
  <c r="J102" i="33"/>
  <c r="H87" i="14"/>
  <c r="J97" i="33" s="1"/>
  <c r="H66" i="18" l="1"/>
  <c r="J466" i="33" s="1"/>
  <c r="J467" i="33" s="1"/>
  <c r="K57" i="33"/>
  <c r="I49" i="14"/>
  <c r="I51" i="14"/>
  <c r="K61" i="33" s="1"/>
  <c r="I53" i="14"/>
  <c r="K63" i="33" s="1"/>
  <c r="I50" i="14"/>
  <c r="K60" i="33" s="1"/>
  <c r="J108" i="33"/>
  <c r="J550" i="33"/>
  <c r="J552" i="33" s="1"/>
  <c r="J535" i="33"/>
  <c r="J537" i="33" s="1"/>
  <c r="J430" i="33"/>
  <c r="J107" i="33"/>
  <c r="J465" i="33"/>
  <c r="H154" i="18"/>
  <c r="I54" i="14" l="1"/>
  <c r="K59" i="33"/>
  <c r="J555" i="33"/>
  <c r="H155" i="18"/>
  <c r="J556" i="33" l="1"/>
  <c r="J559" i="33" s="1"/>
  <c r="J558" i="33"/>
  <c r="K64" i="33"/>
  <c r="I56" i="14"/>
  <c r="K66" i="33" l="1"/>
  <c r="I58" i="14"/>
  <c r="J45" i="14" l="1"/>
  <c r="I75" i="13"/>
  <c r="K44" i="33" s="1"/>
  <c r="I92" i="14"/>
  <c r="K68" i="33"/>
  <c r="K69" i="33" s="1"/>
  <c r="I27" i="18"/>
  <c r="I101" i="14"/>
  <c r="K429" i="33" l="1"/>
  <c r="I135" i="18"/>
  <c r="I136" i="18" s="1"/>
  <c r="K536" i="33" s="1"/>
  <c r="I65" i="18"/>
  <c r="I66" i="18" s="1"/>
  <c r="K466" i="33" s="1"/>
  <c r="K467" i="33" s="1"/>
  <c r="I150" i="18"/>
  <c r="I151" i="18" s="1"/>
  <c r="K551" i="33" s="1"/>
  <c r="I106" i="14"/>
  <c r="I107" i="14"/>
  <c r="K111" i="33"/>
  <c r="K102" i="33"/>
  <c r="I97" i="14"/>
  <c r="I98" i="14"/>
  <c r="I87" i="14"/>
  <c r="K97" i="33" s="1"/>
  <c r="J47" i="14"/>
  <c r="J52" i="14" s="1"/>
  <c r="L62" i="33" s="1"/>
  <c r="L55" i="33"/>
  <c r="I30" i="18" l="1"/>
  <c r="K430" i="33" s="1"/>
  <c r="K107" i="33"/>
  <c r="L57" i="33"/>
  <c r="J50" i="14"/>
  <c r="L60" i="33" s="1"/>
  <c r="J51" i="14"/>
  <c r="L61" i="33" s="1"/>
  <c r="J49" i="14"/>
  <c r="J53" i="14"/>
  <c r="L63" i="33" s="1"/>
  <c r="K550" i="33"/>
  <c r="K552" i="33" s="1"/>
  <c r="K465" i="33"/>
  <c r="I154" i="18"/>
  <c r="K535" i="33"/>
  <c r="K537" i="33" s="1"/>
  <c r="K108" i="33"/>
  <c r="L59" i="33" l="1"/>
  <c r="J54" i="14"/>
  <c r="K555" i="33"/>
  <c r="K558" i="33" s="1"/>
  <c r="I155" i="18"/>
  <c r="K556" i="33" l="1"/>
  <c r="K559" i="33" s="1"/>
  <c r="L64" i="33"/>
  <c r="J56" i="14"/>
  <c r="J58" i="14" l="1"/>
  <c r="L66" i="33"/>
  <c r="J92" i="14" l="1"/>
  <c r="K45" i="14"/>
  <c r="L68" i="33"/>
  <c r="L69" i="33" s="1"/>
  <c r="J27" i="18"/>
  <c r="J75" i="13"/>
  <c r="L44" i="33" s="1"/>
  <c r="J101" i="14"/>
  <c r="K47" i="14" l="1"/>
  <c r="K52" i="14" s="1"/>
  <c r="M62" i="33" s="1"/>
  <c r="M55" i="33"/>
  <c r="L429" i="33"/>
  <c r="J65" i="18"/>
  <c r="J150" i="18"/>
  <c r="J151" i="18" s="1"/>
  <c r="L551" i="33" s="1"/>
  <c r="J135" i="18"/>
  <c r="J136" i="18" s="1"/>
  <c r="L536" i="33" s="1"/>
  <c r="L111" i="33"/>
  <c r="J107" i="14"/>
  <c r="J106" i="14"/>
  <c r="J98" i="14"/>
  <c r="J97" i="14"/>
  <c r="L102" i="33"/>
  <c r="J87" i="14"/>
  <c r="L97" i="33" s="1"/>
  <c r="M57" i="33" l="1"/>
  <c r="K49" i="14"/>
  <c r="K51" i="14"/>
  <c r="M61" i="33" s="1"/>
  <c r="K53" i="14"/>
  <c r="M63" i="33" s="1"/>
  <c r="K50" i="14"/>
  <c r="M60" i="33" s="1"/>
  <c r="L465" i="33"/>
  <c r="J154" i="18"/>
  <c r="J66" i="18"/>
  <c r="L466" i="33" s="1"/>
  <c r="L467" i="33" s="1"/>
  <c r="J30" i="18"/>
  <c r="L535" i="33"/>
  <c r="L537" i="33" s="1"/>
  <c r="L107" i="33"/>
  <c r="L108" i="33"/>
  <c r="L550" i="33"/>
  <c r="L552" i="33" s="1"/>
  <c r="L555" i="33" l="1"/>
  <c r="L558" i="33" s="1"/>
  <c r="J155" i="18"/>
  <c r="L430" i="33"/>
  <c r="M59" i="33"/>
  <c r="K54" i="14"/>
  <c r="M64" i="33" l="1"/>
  <c r="K56" i="14"/>
  <c r="L556" i="33"/>
  <c r="L559" i="33" s="1"/>
  <c r="K58" i="14" l="1"/>
  <c r="M66" i="33"/>
  <c r="K27" i="18" l="1"/>
  <c r="K75" i="13"/>
  <c r="M44" i="33" s="1"/>
  <c r="K92" i="14"/>
  <c r="L45" i="14"/>
  <c r="M68" i="33"/>
  <c r="M69" i="33" s="1"/>
  <c r="K101" i="14"/>
  <c r="L47" i="14" l="1"/>
  <c r="L52" i="14" s="1"/>
  <c r="N62" i="33" s="1"/>
  <c r="N55" i="33"/>
  <c r="K106" i="14"/>
  <c r="M111" i="33"/>
  <c r="K107" i="14"/>
  <c r="K97" i="14"/>
  <c r="K98" i="14"/>
  <c r="M102" i="33"/>
  <c r="K87" i="14"/>
  <c r="M97" i="33" s="1"/>
  <c r="M429" i="33"/>
  <c r="K65" i="18"/>
  <c r="K150" i="18"/>
  <c r="K151" i="18" s="1"/>
  <c r="M551" i="33" s="1"/>
  <c r="K135" i="18"/>
  <c r="M108" i="33" l="1"/>
  <c r="M465" i="33"/>
  <c r="K154" i="18"/>
  <c r="M535" i="33"/>
  <c r="M537" i="33" s="1"/>
  <c r="M107" i="33"/>
  <c r="K66" i="18"/>
  <c r="M466" i="33" s="1"/>
  <c r="M467" i="33" s="1"/>
  <c r="M550" i="33"/>
  <c r="M552" i="33" s="1"/>
  <c r="K136" i="18"/>
  <c r="M536" i="33" s="1"/>
  <c r="K30" i="18"/>
  <c r="L50" i="14"/>
  <c r="N60" i="33" s="1"/>
  <c r="L53" i="14"/>
  <c r="N63" i="33" s="1"/>
  <c r="L51" i="14"/>
  <c r="N61" i="33" s="1"/>
  <c r="N57" i="33"/>
  <c r="L49" i="14"/>
  <c r="M555" i="33" l="1"/>
  <c r="M558" i="33" s="1"/>
  <c r="K155" i="18"/>
  <c r="M430" i="33"/>
  <c r="N59" i="33"/>
  <c r="L54" i="14"/>
  <c r="N64" i="33" l="1"/>
  <c r="L56" i="14"/>
  <c r="M556" i="33"/>
  <c r="M559" i="33" s="1"/>
  <c r="L58" i="14" l="1"/>
  <c r="N66" i="33"/>
  <c r="L75" i="13" l="1"/>
  <c r="N44" i="33" s="1"/>
  <c r="N68" i="33"/>
  <c r="N69" i="33" s="1"/>
  <c r="L92" i="14"/>
  <c r="M45" i="14"/>
  <c r="L27" i="18"/>
  <c r="L101" i="14"/>
  <c r="L106" i="14" l="1"/>
  <c r="L107" i="14"/>
  <c r="N111" i="33"/>
  <c r="N429" i="33"/>
  <c r="L65" i="18"/>
  <c r="L135" i="18"/>
  <c r="L150" i="18"/>
  <c r="O55" i="33"/>
  <c r="M47" i="14"/>
  <c r="M52" i="14" s="1"/>
  <c r="O62" i="33" s="1"/>
  <c r="L97" i="14"/>
  <c r="L98" i="14"/>
  <c r="N102" i="33"/>
  <c r="L87" i="14"/>
  <c r="N97" i="33" s="1"/>
  <c r="M49" i="14" l="1"/>
  <c r="M53" i="14"/>
  <c r="O63" i="33" s="1"/>
  <c r="O57" i="33"/>
  <c r="M50" i="14"/>
  <c r="O60" i="33" s="1"/>
  <c r="M51" i="14"/>
  <c r="O61" i="33" s="1"/>
  <c r="N535" i="33"/>
  <c r="N537" i="33" s="1"/>
  <c r="L136" i="18"/>
  <c r="N536" i="33" s="1"/>
  <c r="N550" i="33"/>
  <c r="N552" i="33" s="1"/>
  <c r="N465" i="33"/>
  <c r="L154" i="18"/>
  <c r="L66" i="18"/>
  <c r="N466" i="33" s="1"/>
  <c r="N467" i="33" s="1"/>
  <c r="L151" i="18"/>
  <c r="N551" i="33" s="1"/>
  <c r="N108" i="33"/>
  <c r="N107" i="33"/>
  <c r="L30" i="18"/>
  <c r="N555" i="33" l="1"/>
  <c r="N558" i="33" s="1"/>
  <c r="L155" i="18"/>
  <c r="N430" i="33"/>
  <c r="O59" i="33"/>
  <c r="M54" i="14"/>
  <c r="O64" i="33" l="1"/>
  <c r="M56" i="14"/>
  <c r="N556" i="33"/>
  <c r="N559" i="33" s="1"/>
  <c r="O66" i="33" l="1"/>
  <c r="M58" i="14"/>
  <c r="N58" i="14" s="1"/>
  <c r="S68" i="33" l="1"/>
  <c r="O58" i="14"/>
  <c r="M27" i="18"/>
  <c r="O68" i="33"/>
  <c r="O69" i="33" s="1"/>
  <c r="M92" i="14"/>
  <c r="M75" i="13"/>
  <c r="O44" i="33" s="1"/>
  <c r="M101" i="14"/>
  <c r="O87" i="14" l="1"/>
  <c r="T97" i="33" s="1"/>
  <c r="T68" i="33"/>
  <c r="S69" i="33"/>
  <c r="O102" i="33"/>
  <c r="M97" i="14"/>
  <c r="M98" i="14"/>
  <c r="M87" i="14"/>
  <c r="O97" i="33" s="1"/>
  <c r="N92" i="14"/>
  <c r="M106" i="14"/>
  <c r="N106" i="14" s="1"/>
  <c r="O106" i="14" s="1"/>
  <c r="O111" i="33"/>
  <c r="M107" i="14"/>
  <c r="N107" i="14" s="1"/>
  <c r="O107" i="14" s="1"/>
  <c r="N101" i="14"/>
  <c r="M65" i="18"/>
  <c r="M30" i="18" s="1"/>
  <c r="O430" i="33" s="1"/>
  <c r="M150" i="18"/>
  <c r="O550" i="33" s="1"/>
  <c r="O552" i="33" s="1"/>
  <c r="M135" i="18"/>
  <c r="O535" i="33" s="1"/>
  <c r="O537" i="33" s="1"/>
  <c r="O429" i="33"/>
  <c r="N27" i="18"/>
  <c r="M66" i="18" l="1"/>
  <c r="O466" i="33" s="1"/>
  <c r="O467" i="33" s="1"/>
  <c r="M136" i="18"/>
  <c r="O536" i="33" s="1"/>
  <c r="S102" i="33"/>
  <c r="Q92" i="14"/>
  <c r="O92" i="14"/>
  <c r="O108" i="33"/>
  <c r="N98" i="14"/>
  <c r="S108" i="33" s="1"/>
  <c r="M151" i="18"/>
  <c r="O551" i="33" s="1"/>
  <c r="O465" i="33"/>
  <c r="M154" i="18"/>
  <c r="O107" i="33"/>
  <c r="N97" i="14"/>
  <c r="S107" i="33" s="1"/>
  <c r="P429" i="33"/>
  <c r="N135" i="18"/>
  <c r="P535" i="33" s="1"/>
  <c r="P537" i="33" s="1"/>
  <c r="N65" i="18"/>
  <c r="O27" i="18"/>
  <c r="N150" i="18"/>
  <c r="P550" i="33" s="1"/>
  <c r="P552" i="33" s="1"/>
  <c r="S111" i="33"/>
  <c r="Q106" i="14"/>
  <c r="Q107" i="14"/>
  <c r="N151" i="18" l="1"/>
  <c r="P551" i="33" s="1"/>
  <c r="Q429" i="33"/>
  <c r="O150" i="18"/>
  <c r="Q550" i="33" s="1"/>
  <c r="Q552" i="33" s="1"/>
  <c r="O65" i="18"/>
  <c r="O66" i="18" s="1"/>
  <c r="Q466" i="33" s="1"/>
  <c r="Q467" i="33" s="1"/>
  <c r="P27" i="18"/>
  <c r="O135" i="18"/>
  <c r="Q535" i="33" s="1"/>
  <c r="Q537" i="33" s="1"/>
  <c r="P465" i="33"/>
  <c r="N154" i="18"/>
  <c r="Q99" i="14"/>
  <c r="N136" i="18"/>
  <c r="P536" i="33" s="1"/>
  <c r="T102" i="33"/>
  <c r="O97" i="14"/>
  <c r="O98" i="14"/>
  <c r="Q100" i="14"/>
  <c r="N30" i="18"/>
  <c r="P430" i="33" s="1"/>
  <c r="O555" i="33"/>
  <c r="O558" i="33" s="1"/>
  <c r="M155" i="18"/>
  <c r="O556" i="33" s="1"/>
  <c r="N66" i="18"/>
  <c r="P466" i="33" s="1"/>
  <c r="P467" i="33" s="1"/>
  <c r="O559" i="33" l="1"/>
  <c r="O151" i="18"/>
  <c r="Q551" i="33" s="1"/>
  <c r="T107" i="33"/>
  <c r="Q97" i="14"/>
  <c r="P65" i="18"/>
  <c r="P30" i="18" s="1"/>
  <c r="P150" i="18"/>
  <c r="R429" i="33"/>
  <c r="P135" i="18"/>
  <c r="Q27" i="18"/>
  <c r="S429" i="33" s="1"/>
  <c r="O136" i="18"/>
  <c r="Q536" i="33" s="1"/>
  <c r="P555" i="33"/>
  <c r="P558" i="33" s="1"/>
  <c r="N155" i="18"/>
  <c r="P556" i="33" s="1"/>
  <c r="Q465" i="33"/>
  <c r="O154" i="18"/>
  <c r="T108" i="33"/>
  <c r="Q98" i="14"/>
  <c r="O30" i="18"/>
  <c r="Q430" i="33" s="1"/>
  <c r="P66" i="18" l="1"/>
  <c r="R466" i="33" s="1"/>
  <c r="R467" i="33" s="1"/>
  <c r="P559" i="33"/>
  <c r="R535" i="33"/>
  <c r="R537" i="33" s="1"/>
  <c r="Q135" i="18"/>
  <c r="R430" i="33"/>
  <c r="Q30" i="18"/>
  <c r="S430" i="33" s="1"/>
  <c r="R550" i="33"/>
  <c r="R552" i="33" s="1"/>
  <c r="Q150" i="18"/>
  <c r="R465" i="33"/>
  <c r="P154" i="18"/>
  <c r="Q65" i="18"/>
  <c r="P136" i="18"/>
  <c r="R536" i="33" s="1"/>
  <c r="Q555" i="33"/>
  <c r="Q558" i="33" s="1"/>
  <c r="O155" i="18"/>
  <c r="Q556" i="33" s="1"/>
  <c r="P151" i="18"/>
  <c r="R551" i="33" s="1"/>
  <c r="Q559" i="33" l="1"/>
  <c r="S550" i="33"/>
  <c r="S552" i="33" s="1"/>
  <c r="R150" i="18"/>
  <c r="S465" i="33"/>
  <c r="S467" i="33" s="1"/>
  <c r="R65" i="18"/>
  <c r="Q154" i="18"/>
  <c r="S555" i="33" s="1"/>
  <c r="S535" i="33"/>
  <c r="S537" i="33" s="1"/>
  <c r="R135" i="18"/>
  <c r="R555" i="33"/>
  <c r="R558" i="33" s="1"/>
  <c r="P155" i="18"/>
  <c r="S558" i="33" l="1"/>
  <c r="R556" i="33"/>
  <c r="R559" i="33" s="1"/>
  <c r="Q155" i="18"/>
  <c r="S556" i="33" s="1"/>
  <c r="S559"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 Rush</author>
  </authors>
  <commentList>
    <comment ref="B67" authorId="0" shapeId="0" xr:uid="{00000000-0006-0000-0100-000001000000}">
      <text>
        <r>
          <rPr>
            <b/>
            <sz val="9"/>
            <color indexed="81"/>
            <rFont val="Tahoma"/>
            <family val="2"/>
          </rPr>
          <t>Anthony Rush:</t>
        </r>
        <r>
          <rPr>
            <sz val="9"/>
            <color indexed="81"/>
            <rFont val="Tahoma"/>
            <family val="2"/>
          </rPr>
          <t xml:space="preserve">
Try going here for a list:
https://www.lgnsw.org.au/about-us/council-links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Bee Thompson</author>
    <author>Edward Jenkins</author>
  </authors>
  <commentList>
    <comment ref="K24" authorId="0" shapeId="0" xr:uid="{00000000-0006-0000-0400-000001000000}">
      <text>
        <r>
          <rPr>
            <b/>
            <sz val="9"/>
            <color indexed="81"/>
            <rFont val="Tahoma"/>
            <family val="2"/>
          </rPr>
          <t>IPART:</t>
        </r>
        <r>
          <rPr>
            <sz val="9"/>
            <color indexed="81"/>
            <rFont val="Tahoma"/>
            <family val="2"/>
          </rPr>
          <t xml:space="preserve">
Select 'no' if, in the absence of the proposed SV (entered in section B below), the rate peg only would apply from Year 1.</t>
        </r>
      </text>
    </comment>
    <comment ref="S24" authorId="0" shapeId="0" xr:uid="{00000000-0006-0000-0400-000002000000}">
      <text>
        <r>
          <rPr>
            <b/>
            <sz val="9"/>
            <color indexed="81"/>
            <rFont val="Tahoma"/>
            <family val="2"/>
          </rPr>
          <t>Bee Thompson:</t>
        </r>
        <r>
          <rPr>
            <sz val="9"/>
            <color indexed="81"/>
            <rFont val="Tahoma"/>
            <family val="2"/>
          </rPr>
          <t xml:space="preserve">
Do not delete - yes is coded 1 for easy reference elsewhere in the workbook</t>
        </r>
      </text>
    </comment>
    <comment ref="S28" authorId="0" shapeId="0" xr:uid="{00000000-0006-0000-0400-000003000000}">
      <text>
        <r>
          <rPr>
            <b/>
            <sz val="9"/>
            <color indexed="81"/>
            <rFont val="Tahoma"/>
            <family val="2"/>
          </rPr>
          <t>Bee Thompson:</t>
        </r>
        <r>
          <rPr>
            <sz val="9"/>
            <color indexed="81"/>
            <rFont val="Tahoma"/>
            <family val="2"/>
          </rPr>
          <t xml:space="preserve">
Do not delete. 1 = s508(2), 2 = S508A</t>
        </r>
      </text>
    </comment>
    <comment ref="S29" authorId="0" shapeId="0" xr:uid="{00000000-0006-0000-0400-000004000000}">
      <text>
        <r>
          <rPr>
            <b/>
            <sz val="9"/>
            <color indexed="81"/>
            <rFont val="Tahoma"/>
            <family val="2"/>
          </rPr>
          <t>Bee Thompson:</t>
        </r>
        <r>
          <rPr>
            <sz val="9"/>
            <color indexed="81"/>
            <rFont val="Tahoma"/>
            <family val="2"/>
          </rPr>
          <t xml:space="preserve">
Do not delete - number of Yrs s508A SV applies</t>
        </r>
      </text>
    </comment>
    <comment ref="J30" authorId="0" shapeId="0" xr:uid="{00000000-0006-0000-0400-000005000000}">
      <text>
        <r>
          <rPr>
            <b/>
            <sz val="9"/>
            <color indexed="81"/>
            <rFont val="Tahoma"/>
            <family val="2"/>
          </rPr>
          <t>IPART:</t>
        </r>
        <r>
          <rPr>
            <sz val="9"/>
            <color indexed="81"/>
            <rFont val="Tahoma"/>
            <family val="2"/>
          </rPr>
          <t xml:space="preserve">
The 'Combined' option means part of the special variation is temporary, and the remainder is permanent</t>
        </r>
      </text>
    </comment>
    <comment ref="J31" authorId="0" shapeId="0" xr:uid="{00000000-0006-0000-0400-000006000000}">
      <text>
        <r>
          <rPr>
            <b/>
            <sz val="9"/>
            <color indexed="81"/>
            <rFont val="Tahoma"/>
            <family val="2"/>
          </rPr>
          <t>IPART:</t>
        </r>
        <r>
          <rPr>
            <sz val="9"/>
            <color indexed="81"/>
            <rFont val="Tahoma"/>
            <family val="2"/>
          </rPr>
          <t xml:space="preserve">
Enter in the total number of years before the special variation is due to expire i.e. 5, 10, 20.  
If the special variation is a combination of a permanent and temporary increase, enter the number of years before the temporary portion expires.</t>
        </r>
      </text>
    </comment>
    <comment ref="S31" authorId="0" shapeId="0" xr:uid="{00000000-0006-0000-0400-000007000000}">
      <text>
        <r>
          <rPr>
            <b/>
            <sz val="9"/>
            <color indexed="81"/>
            <rFont val="Tahoma"/>
            <family val="2"/>
          </rPr>
          <t>Bee Thompson:</t>
        </r>
        <r>
          <rPr>
            <sz val="9"/>
            <color indexed="81"/>
            <rFont val="Tahoma"/>
            <family val="2"/>
          </rPr>
          <t xml:space="preserve">
Do not delete - number of years used in workbook</t>
        </r>
      </text>
    </comment>
    <comment ref="K32" authorId="1" shapeId="0" xr:uid="{A40B5541-786A-47A0-A60B-E53760EE2F26}">
      <text>
        <r>
          <rPr>
            <b/>
            <sz val="9"/>
            <color indexed="81"/>
            <rFont val="Tahoma"/>
            <family val="2"/>
          </rPr>
          <t>Edward Jenkins:</t>
        </r>
        <r>
          <rPr>
            <sz val="9"/>
            <color indexed="81"/>
            <rFont val="Tahoma"/>
            <family val="2"/>
          </rPr>
          <t xml:space="preserve">
This will default to 2.5% if no council is selected.</t>
        </r>
      </text>
    </comment>
    <comment ref="J33" authorId="0" shapeId="0" xr:uid="{00000000-0006-0000-0400-000008000000}">
      <text>
        <r>
          <rPr>
            <b/>
            <sz val="9"/>
            <color indexed="81"/>
            <rFont val="Tahoma"/>
            <family val="2"/>
          </rPr>
          <t>IPART:</t>
        </r>
        <r>
          <rPr>
            <sz val="9"/>
            <color indexed="81"/>
            <rFont val="Tahoma"/>
            <family val="2"/>
          </rPr>
          <t xml:space="preserve">
Enter the total percentage increase to general income being sought in the first year of the special variation, excluding the rate peg increase and  other income adjustments due to catch ups/excesses, valuation objections and Crown Land adjustments</t>
        </r>
      </text>
    </comment>
    <comment ref="J34" authorId="0" shapeId="0" xr:uid="{00000000-0006-0000-0400-000009000000}">
      <text>
        <r>
          <rPr>
            <b/>
            <sz val="9"/>
            <color indexed="81"/>
            <rFont val="Tahoma"/>
            <family val="2"/>
          </rPr>
          <t>Bee Thompson:</t>
        </r>
        <r>
          <rPr>
            <sz val="9"/>
            <color indexed="81"/>
            <rFont val="Tahoma"/>
            <family val="2"/>
          </rPr>
          <t xml:space="preserve">
Enter the % of the Combined SV that is temporary</t>
        </r>
      </text>
    </comment>
    <comment ref="S35" authorId="0" shapeId="0" xr:uid="{00000000-0006-0000-0400-00000A000000}">
      <text>
        <r>
          <rPr>
            <b/>
            <sz val="9"/>
            <color indexed="81"/>
            <rFont val="Tahoma"/>
            <family val="2"/>
          </rPr>
          <t>IPART:</t>
        </r>
        <r>
          <rPr>
            <sz val="9"/>
            <color indexed="81"/>
            <rFont val="Tahoma"/>
            <family val="2"/>
          </rPr>
          <t xml:space="preserve">
DO NOT DELETE
Combined SV = 1, otherwise = 0</t>
        </r>
      </text>
    </comment>
    <comment ref="J44" authorId="0" shapeId="0" xr:uid="{00000000-0006-0000-0400-00000B000000}">
      <text>
        <r>
          <rPr>
            <b/>
            <sz val="9"/>
            <color indexed="81"/>
            <rFont val="Tahoma"/>
            <family val="2"/>
          </rPr>
          <t>IPART:</t>
        </r>
        <r>
          <rPr>
            <sz val="9"/>
            <color indexed="81"/>
            <rFont val="Tahoma"/>
            <family val="2"/>
          </rPr>
          <t xml:space="preserve">
Some councils may also wish to claim an adjustment for Crown land. Refer to the Office of Local Government (OLG) for advice on this dollar amount.</t>
        </r>
      </text>
    </comment>
    <comment ref="L44" authorId="0" shapeId="0" xr:uid="{00000000-0006-0000-0400-00000C000000}">
      <text>
        <r>
          <rPr>
            <b/>
            <sz val="9"/>
            <color indexed="81"/>
            <rFont val="Tahoma"/>
            <family val="2"/>
          </rPr>
          <t>IPART:</t>
        </r>
        <r>
          <rPr>
            <sz val="9"/>
            <color indexed="81"/>
            <rFont val="Tahoma"/>
            <family val="2"/>
          </rPr>
          <t xml:space="preserve">
Expressed as a percentage of the current year's general income net of the $ value of expiring special variations</t>
        </r>
      </text>
    </comment>
    <comment ref="J45" authorId="0" shapeId="0" xr:uid="{00000000-0006-0000-0400-00000D000000}">
      <text>
        <r>
          <rPr>
            <b/>
            <sz val="9"/>
            <color indexed="81"/>
            <rFont val="Tahoma"/>
            <family val="2"/>
          </rPr>
          <t xml:space="preserve">IPART:
</t>
        </r>
        <r>
          <rPr>
            <sz val="9"/>
            <color indexed="81"/>
            <rFont val="Tahoma"/>
            <family val="2"/>
          </rPr>
          <t>If Council claimed any valuation objections in the previous year, notional general income must be adjusted back to its correct level.
This adjustment should be verified by OLG before submission to IPART.</t>
        </r>
      </text>
    </comment>
    <comment ref="L45" authorId="0" shapeId="0" xr:uid="{00000000-0006-0000-0400-00000E000000}">
      <text>
        <r>
          <rPr>
            <b/>
            <sz val="9"/>
            <color indexed="81"/>
            <rFont val="Tahoma"/>
            <family val="2"/>
          </rPr>
          <t>IPART:</t>
        </r>
        <r>
          <rPr>
            <sz val="9"/>
            <color indexed="81"/>
            <rFont val="Tahoma"/>
            <family val="2"/>
          </rPr>
          <t xml:space="preserve">
Expressed as a percentage of the current year's general income net of the $ value of expiring special variations</t>
        </r>
      </text>
    </comment>
    <comment ref="J46" authorId="0" shapeId="0" xr:uid="{00000000-0006-0000-0400-00000F000000}">
      <text>
        <r>
          <rPr>
            <b/>
            <sz val="9"/>
            <color indexed="81"/>
            <rFont val="Tahoma"/>
            <family val="2"/>
          </rPr>
          <t xml:space="preserve">IPART:
</t>
        </r>
        <r>
          <rPr>
            <sz val="9"/>
            <color indexed="81"/>
            <rFont val="Tahoma"/>
            <family val="2"/>
          </rPr>
          <t>If Council claimed any valuation objections in the previous year, notional general income must be adjusted back to its correct level.
This adjustment should be verified by OLG before submission to IPART.</t>
        </r>
      </text>
    </comment>
    <comment ref="L46" authorId="0" shapeId="0" xr:uid="{00000000-0006-0000-0400-000010000000}">
      <text>
        <r>
          <rPr>
            <b/>
            <sz val="9"/>
            <color indexed="81"/>
            <rFont val="Tahoma"/>
            <family val="2"/>
          </rPr>
          <t>IPART:</t>
        </r>
        <r>
          <rPr>
            <sz val="9"/>
            <color indexed="81"/>
            <rFont val="Tahoma"/>
            <family val="2"/>
          </rPr>
          <t xml:space="preserve">
Expressed as a percentage of the current year's general income net of the $ value of expiring special variations</t>
        </r>
      </text>
    </comment>
    <comment ref="C59" authorId="0" shapeId="0" xr:uid="{00000000-0006-0000-0400-000011000000}">
      <text>
        <r>
          <rPr>
            <b/>
            <sz val="9"/>
            <color indexed="81"/>
            <rFont val="Tahoma"/>
            <family val="2"/>
          </rPr>
          <t>IPART:</t>
        </r>
        <r>
          <rPr>
            <sz val="9"/>
            <color indexed="81"/>
            <rFont val="Tahoma"/>
            <family val="2"/>
          </rPr>
          <t xml:space="preserve">
These increases are due to the SV (or SVs) and exclude other income adjustments.</t>
        </r>
      </text>
    </comment>
    <comment ref="C60" authorId="0" shapeId="0" xr:uid="{00000000-0006-0000-0400-000012000000}">
      <text>
        <r>
          <rPr>
            <b/>
            <sz val="9"/>
            <color indexed="81"/>
            <rFont val="Tahoma"/>
            <family val="2"/>
          </rPr>
          <t>IPART:</t>
        </r>
        <r>
          <rPr>
            <sz val="9"/>
            <color indexed="81"/>
            <rFont val="Tahoma"/>
            <family val="2"/>
          </rPr>
          <t xml:space="preserve">
Enter the full SV for each year in which it applies, and leave the remaining cells blank (or enter 0%). The assumed rate peg of 2.5% will automatically apply in the remaining years. 
For example, assume the council is proposing a (new) four-year SV and has an existing total SV of 6% (incl rate peg) that applies in Years 1and 2.  The council would enter 6% in columns G and H, and leave columns I and J blank (or enter 0%). The assumed rate peg of 2.5% will automatically apply in Years 3 and 4 (columns I and J).  </t>
        </r>
      </text>
    </comment>
    <comment ref="C67" authorId="0" shapeId="0" xr:uid="{00000000-0006-0000-0400-000013000000}">
      <text>
        <r>
          <rPr>
            <b/>
            <sz val="9"/>
            <color indexed="81"/>
            <rFont val="Tahoma"/>
            <family val="2"/>
          </rPr>
          <t>IPART:</t>
        </r>
        <r>
          <rPr>
            <sz val="9"/>
            <color indexed="81"/>
            <rFont val="Tahoma"/>
            <family val="2"/>
          </rPr>
          <t xml:space="preserve">
This % increase reflects the additional income sought by Council in the first year (including the rate peg/existing SV income) plus any Crown land adjustments.
</t>
        </r>
      </text>
    </comment>
    <comment ref="G67" authorId="0" shapeId="0" xr:uid="{00000000-0006-0000-0400-000014000000}">
      <text>
        <r>
          <rPr>
            <b/>
            <sz val="9"/>
            <color indexed="81"/>
            <rFont val="Tahoma"/>
            <family val="2"/>
          </rPr>
          <t>IPART:</t>
        </r>
        <r>
          <rPr>
            <sz val="9"/>
            <color indexed="81"/>
            <rFont val="Tahoma"/>
            <family val="2"/>
          </rPr>
          <t xml:space="preserve">
This % increase reflects the additional income sought by Council in the first year (inc. the rate peg/existing SV income) plus any Crown land adjustments.
</t>
        </r>
      </text>
    </comment>
    <comment ref="C68" authorId="0" shapeId="0" xr:uid="{00000000-0006-0000-0400-000015000000}">
      <text>
        <r>
          <rPr>
            <b/>
            <sz val="9"/>
            <color indexed="81"/>
            <rFont val="Tahoma"/>
            <family val="2"/>
          </rPr>
          <t>IPART:</t>
        </r>
        <r>
          <rPr>
            <sz val="9"/>
            <color indexed="81"/>
            <rFont val="Tahoma"/>
            <family val="2"/>
          </rPr>
          <t xml:space="preserve">
These increases are due to the SV and exclude other income adjustments.</t>
        </r>
      </text>
    </comment>
    <comment ref="C73" authorId="0" shapeId="0" xr:uid="{00000000-0006-0000-0400-000016000000}">
      <text>
        <r>
          <rPr>
            <b/>
            <sz val="9"/>
            <color indexed="81"/>
            <rFont val="Tahoma"/>
            <family val="2"/>
          </rPr>
          <t>IPART:</t>
        </r>
        <r>
          <rPr>
            <sz val="9"/>
            <color indexed="81"/>
            <rFont val="Tahoma"/>
            <family val="2"/>
          </rPr>
          <t xml:space="preserve">
Enter the amount of the expiring special variation as a positive whole number.
Council must consult with the Office of Local Government about the correct amount of the expiring special variation, before submitting its application to IPART.</t>
        </r>
      </text>
    </comment>
    <comment ref="E74" authorId="0" shapeId="0" xr:uid="{00000000-0006-0000-0400-000017000000}">
      <text>
        <r>
          <rPr>
            <b/>
            <sz val="9"/>
            <color indexed="81"/>
            <rFont val="Tahoma"/>
            <family val="2"/>
          </rPr>
          <t>IPART:</t>
        </r>
        <r>
          <rPr>
            <sz val="9"/>
            <color indexed="81"/>
            <rFont val="Tahoma"/>
            <family val="2"/>
          </rPr>
          <t xml:space="preserve">
Enter as a positive whole number</t>
        </r>
      </text>
    </comment>
    <comment ref="E75" authorId="0" shapeId="0" xr:uid="{00000000-0006-0000-0400-000018000000}">
      <text>
        <r>
          <rPr>
            <b/>
            <sz val="9"/>
            <color indexed="81"/>
            <rFont val="Tahoma"/>
            <family val="2"/>
          </rPr>
          <t>IPART:</t>
        </r>
        <r>
          <rPr>
            <sz val="9"/>
            <color indexed="81"/>
            <rFont val="Tahoma"/>
            <family val="2"/>
          </rPr>
          <t xml:space="preserve">
This is the value of the expiring variation expressed as a percentage of that year's notional general income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Bee Thompson</author>
  </authors>
  <commentList>
    <comment ref="O128" authorId="0" shapeId="0" xr:uid="{00000000-0006-0000-0800-000001000000}">
      <text>
        <r>
          <rPr>
            <b/>
            <sz val="9"/>
            <color indexed="81"/>
            <rFont val="Tahoma"/>
            <family val="2"/>
          </rPr>
          <t>Bee Thompson:</t>
        </r>
        <r>
          <rPr>
            <sz val="9"/>
            <color indexed="81"/>
            <rFont val="Tahoma"/>
            <family val="2"/>
          </rPr>
          <t xml:space="preserve">
Total number of assessments. Some assessments pay both an ordinary and a special rate.</t>
        </r>
      </text>
    </comment>
    <comment ref="P128" authorId="0" shapeId="0" xr:uid="{00000000-0006-0000-0800-000002000000}">
      <text>
        <r>
          <rPr>
            <b/>
            <sz val="9"/>
            <color indexed="81"/>
            <rFont val="Tahoma"/>
            <family val="2"/>
          </rPr>
          <t>Bee Thompson:</t>
        </r>
        <r>
          <rPr>
            <sz val="9"/>
            <color indexed="81"/>
            <rFont val="Tahoma"/>
            <family val="2"/>
          </rPr>
          <t xml:space="preserve">
Total number of assessments. Some assessments pay both an ordinary and a special rate.</t>
        </r>
      </text>
    </comment>
    <comment ref="O174" authorId="0" shapeId="0" xr:uid="{00000000-0006-0000-0800-000003000000}">
      <text>
        <r>
          <rPr>
            <b/>
            <sz val="9"/>
            <color indexed="81"/>
            <rFont val="Tahoma"/>
            <family val="2"/>
          </rPr>
          <t>Bee Thompson:</t>
        </r>
        <r>
          <rPr>
            <sz val="9"/>
            <color indexed="81"/>
            <rFont val="Tahoma"/>
            <family val="2"/>
          </rPr>
          <t xml:space="preserve">
Total number of assessments. Some assessments pay both an ordinary and a special rate.</t>
        </r>
      </text>
    </comment>
    <comment ref="P174" authorId="0" shapeId="0" xr:uid="{00000000-0006-0000-0800-000004000000}">
      <text>
        <r>
          <rPr>
            <b/>
            <sz val="9"/>
            <color indexed="81"/>
            <rFont val="Tahoma"/>
            <family val="2"/>
          </rPr>
          <t>Bee Thompson:</t>
        </r>
        <r>
          <rPr>
            <sz val="9"/>
            <color indexed="81"/>
            <rFont val="Tahoma"/>
            <family val="2"/>
          </rPr>
          <t xml:space="preserve">
Total number of assessments. Some assessments pay both an ordinary and a special rate.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Bee Thompson</author>
  </authors>
  <commentList>
    <comment ref="C33" authorId="0" shapeId="0" xr:uid="{00000000-0006-0000-0A00-000001000000}">
      <text>
        <r>
          <rPr>
            <b/>
            <sz val="9"/>
            <color indexed="81"/>
            <rFont val="Tahoma"/>
            <family val="2"/>
          </rPr>
          <t>Bee Thompson:</t>
        </r>
        <r>
          <rPr>
            <sz val="9"/>
            <color indexed="81"/>
            <rFont val="Tahoma"/>
            <family val="2"/>
          </rPr>
          <t xml:space="preserve">
Include programs to be funded by the additional SV income which will be maintained at current service levels eg, roads program.
Include additional rows if needed.</t>
        </r>
      </text>
    </comment>
    <comment ref="C49" authorId="0" shapeId="0" xr:uid="{00000000-0006-0000-0A00-000002000000}">
      <text>
        <r>
          <rPr>
            <b/>
            <sz val="9"/>
            <color indexed="81"/>
            <rFont val="Tahoma"/>
            <family val="2"/>
          </rPr>
          <t>Bee Thompson:</t>
        </r>
        <r>
          <rPr>
            <sz val="9"/>
            <color indexed="81"/>
            <rFont val="Tahoma"/>
            <family val="2"/>
          </rPr>
          <t xml:space="preserve">
Include programs to be funded by the additional SV income for which service levels will be enhanced eg, sustainability program.
Include additional rows if needed.</t>
        </r>
      </text>
    </comment>
  </commentList>
</comments>
</file>

<file path=xl/sharedStrings.xml><?xml version="1.0" encoding="utf-8"?>
<sst xmlns="http://schemas.openxmlformats.org/spreadsheetml/2006/main" count="9276" uniqueCount="1076">
  <si>
    <t>IPART colour codes for models, spreadsheets and information requests</t>
  </si>
  <si>
    <r>
      <t xml:space="preserve">NB </t>
    </r>
    <r>
      <rPr>
        <b/>
        <sz val="10"/>
        <rFont val="Arial"/>
        <family val="2"/>
      </rPr>
      <t xml:space="preserve"> ALWAYS DESCRIBE THE COLOUR CODE USED IN YOUR MODEL </t>
    </r>
  </si>
  <si>
    <t>Note: If you use the formats for the inputs provided in this template, input cells will always be unprotected even when you protect the worksheet</t>
  </si>
  <si>
    <t>use this column cell to "paint" input cells for numbers (NOT for percentages)</t>
  </si>
  <si>
    <t>use this column cell to "paint" input cells for percentages (NOT numbers)</t>
  </si>
  <si>
    <t>Models and spreadsheets</t>
  </si>
  <si>
    <t>numbers</t>
  </si>
  <si>
    <t>%</t>
  </si>
  <si>
    <t>Inputs</t>
  </si>
  <si>
    <t xml:space="preserve">Inputs with default values, default values are shown in italics next to or below </t>
  </si>
  <si>
    <t>Hard-coded values used that should not be changed, eg credit ratings or '1' at the start of an index series.</t>
  </si>
  <si>
    <t>Key outputs</t>
  </si>
  <si>
    <t>Links from other files (green)</t>
  </si>
  <si>
    <t>Error check (check =0)</t>
  </si>
  <si>
    <t>Error warnings, messages and unusual calculation assumptions</t>
  </si>
  <si>
    <t>Indicate change in formula across row with a double red line</t>
  </si>
  <si>
    <t>Note:  You can combine options for inputs, eg:</t>
  </si>
  <si>
    <t xml:space="preserve">Inputs can be links to other files </t>
  </si>
  <si>
    <t xml:space="preserve">You can drawn attention to unusual inputs </t>
  </si>
  <si>
    <t>Information Requests</t>
  </si>
  <si>
    <t>Inputs for historical years (actual values)</t>
  </si>
  <si>
    <t>Forecast inputs</t>
  </si>
  <si>
    <t>Error warnings and messages</t>
  </si>
  <si>
    <t>QA notes - annotation or documenation by QA staff</t>
  </si>
  <si>
    <t>User Instructions - IPART CHARTS</t>
  </si>
  <si>
    <t>Blue</t>
  </si>
  <si>
    <t>Mid Grey</t>
  </si>
  <si>
    <t>Pale Blue</t>
  </si>
  <si>
    <t>Green</t>
  </si>
  <si>
    <t>Charcoal</t>
  </si>
  <si>
    <t>Orange</t>
  </si>
  <si>
    <t>Purple</t>
  </si>
  <si>
    <t>Pink</t>
  </si>
  <si>
    <t>X value</t>
  </si>
  <si>
    <t>1st Y value</t>
  </si>
  <si>
    <t>2nd Y value</t>
  </si>
  <si>
    <t>Black</t>
  </si>
  <si>
    <t>Red 100%</t>
  </si>
  <si>
    <t>Red 70%</t>
  </si>
  <si>
    <t>Grey 40%</t>
  </si>
  <si>
    <t>1975-76</t>
  </si>
  <si>
    <t>1983-84</t>
  </si>
  <si>
    <t>1988-89</t>
  </si>
  <si>
    <t>1993-94</t>
  </si>
  <si>
    <t>1996-97</t>
  </si>
  <si>
    <t>1997-98</t>
  </si>
  <si>
    <t>1998-99</t>
  </si>
  <si>
    <t>1999-00</t>
  </si>
  <si>
    <r>
      <t>–</t>
    </r>
    <r>
      <rPr>
        <sz val="10"/>
        <rFont val="Arial"/>
        <family val="2"/>
      </rPr>
      <t xml:space="preserve">  en rule for when needed</t>
    </r>
  </si>
  <si>
    <t>Review that the QA is for</t>
  </si>
  <si>
    <t>2023-24 Special Variations</t>
  </si>
  <si>
    <t>Name of model</t>
  </si>
  <si>
    <t>&lt;not required for simple spreadsheets if the file name is sufficiently descriptive&gt;</t>
  </si>
  <si>
    <t xml:space="preserve">File name(s):  </t>
  </si>
  <si>
    <t>Name of modeller</t>
  </si>
  <si>
    <t>Jisoo Mok</t>
  </si>
  <si>
    <t>Planned date of QA:</t>
  </si>
  <si>
    <t>Week of 19 September 2022</t>
  </si>
  <si>
    <t>Risk rating for the review:</t>
  </si>
  <si>
    <t>Low</t>
  </si>
  <si>
    <t>Note: low risk models do not require independent QA, however the modeller should indicate in section 2.3 what steps have been taken to ensure accuracy of results.</t>
  </si>
  <si>
    <t>1. PURPOSE OF MODEL</t>
  </si>
  <si>
    <t>The modeller provides a concise summary of the model's purpose(s)</t>
  </si>
  <si>
    <t>Main changes:</t>
  </si>
  <si>
    <t>WK7 - Financials: Request for five years of historical data (i.e. addition of yr -5 and -4).</t>
  </si>
  <si>
    <t xml:space="preserve">WK7 - Financials: Addition of three extra tables that request for IPPE financials and net cash flows from operating activities. </t>
  </si>
  <si>
    <t>WK9 - Ratios: Request for five years of historical data (i.e. addition of yr -5 and -4).</t>
  </si>
  <si>
    <t>2. CONTEXT AND SCOPE OF QA</t>
  </si>
  <si>
    <t>The modeller provides information about the context of the QA and the scope of work.</t>
  </si>
  <si>
    <t>2.1 The model/spreadsheet is for (context)</t>
  </si>
  <si>
    <t>2.2 The scope of the QA is to check</t>
  </si>
  <si>
    <t>Logic checks</t>
  </si>
  <si>
    <t>Input checks</t>
  </si>
  <si>
    <t>* provide details of requirements for "simplified duplication of analysis" and/or "sampling of inputs" in section 2.3 below.</t>
  </si>
  <si>
    <t>2.3 Detailed scope of QA</t>
  </si>
  <si>
    <t>Specify clearly how to identify what needs to be checked (e.g. "check all calculations and inputs highlighted in green on the following worksheets: …")</t>
  </si>
  <si>
    <t>For "simplified duplications of analysis" (if applicable), specify how you and the QAer have agreed the analysis will be duplicated</t>
  </si>
  <si>
    <t>For "sampling of inputs" (if applicable), specify how you and the QAer have agreed the inputs will be sampled</t>
  </si>
  <si>
    <t>WK 0 - Input data:</t>
  </si>
  <si>
    <t>Check cell D44 = 2023</t>
  </si>
  <si>
    <t xml:space="preserve">Check that formulas in rows 54 to 60 are still correct as historical yrs 4 &amp; 5 were added. </t>
  </si>
  <si>
    <t>Check that correct rate pegs have been copied into L269:N398 from D22/19313 -&gt; pop factors</t>
  </si>
  <si>
    <t>Sense check to ensure index match populated correct rate pegs to each council in D270:D398</t>
  </si>
  <si>
    <t xml:space="preserve">Check all the FALSEs in E270:E398 and ensure that the return of FALSE was simply due to the same council being referred to by different names/naming conventions. </t>
  </si>
  <si>
    <t>WK 7 - Financials</t>
  </si>
  <si>
    <t xml:space="preserve">Check all formulas (i.e. white cells only) in the sheet.  </t>
  </si>
  <si>
    <t>WK 9 - Ratios</t>
  </si>
  <si>
    <t>Check all hyperlinks in column Y work.</t>
  </si>
  <si>
    <t>Export</t>
  </si>
  <si>
    <t xml:space="preserve">Check that tables from row 1436 to 1532 reference the correct cells in the relevant sheets. </t>
  </si>
  <si>
    <t>3. QA CHECK LIST</t>
  </si>
  <si>
    <t>3.1 Pre-QA check list (for both medium and high risk QAs)</t>
  </si>
  <si>
    <t>Select an option</t>
  </si>
  <si>
    <t>Yes</t>
  </si>
  <si>
    <t>Is the model consistent with good modelling practice?</t>
  </si>
  <si>
    <t>DO NOT DELETE</t>
  </si>
  <si>
    <t>Tables, inputs and outputs are clearly labelled, e.g.:</t>
  </si>
  <si>
    <t>–     Units e.g. $m, $’000, $ or cents, kL, MWh, GJ, etc</t>
  </si>
  <si>
    <t xml:space="preserve">No </t>
  </si>
  <si>
    <t>–     Nominal or real</t>
  </si>
  <si>
    <t>NA</t>
  </si>
  <si>
    <t>–     Including or excluding GST</t>
  </si>
  <si>
    <t>The QAer can easily identify the parts of the model that need to be checked</t>
  </si>
  <si>
    <t>High</t>
  </si>
  <si>
    <t>The model inputs reflect Tribunal decisions or information from the source documents or related models</t>
  </si>
  <si>
    <t>Medium</t>
  </si>
  <si>
    <t>The source documents (or references) have all been located and provided to the QAer/s</t>
  </si>
  <si>
    <t>select</t>
  </si>
  <si>
    <t>Has the QA scope been reviewed by the Chief Modeller? (Only applicable for external models and high risk price determinations)</t>
  </si>
  <si>
    <t>3.2 QA check list (for RStudio scripts only)</t>
  </si>
  <si>
    <t>Code was rerun successfully; or an alternative calculation successfully replicated results</t>
  </si>
  <si>
    <t>Code is easy to follow, with comments highlighting different sections in code</t>
  </si>
  <si>
    <t>Variable names are easy to understand</t>
  </si>
  <si>
    <t>Test variables are used to check that data is not duplicated or excluded in error when joining data sources</t>
  </si>
  <si>
    <t>If this QA is an update to an existing RStudio script, changes are highlighted and easy to find (e.g. a text comparison tool is used to compare scripts before and after change)</t>
  </si>
  <si>
    <t>4  INDUSTRY TEAM REMINDER – POST QA SIGN OFF IN CM9</t>
  </si>
  <si>
    <t>Has the post-QA deliverable been CM9ed?</t>
  </si>
  <si>
    <t>Has the QA been signed off via action tracking in CM9 by the QA analyst and Director?</t>
  </si>
  <si>
    <t>Hide sheet before publishing</t>
  </si>
  <si>
    <t>EXPORT SHEET</t>
  </si>
  <si>
    <t>Type of application</t>
  </si>
  <si>
    <t>Has existing SV?</t>
  </si>
  <si>
    <t>Yrs SV applies</t>
  </si>
  <si>
    <t>Permanent or temporary?</t>
  </si>
  <si>
    <t>No yrs if temporary</t>
  </si>
  <si>
    <t>Expiring exising SVs</t>
  </si>
  <si>
    <t>Expiry date</t>
  </si>
  <si>
    <t>check = 0</t>
  </si>
  <si>
    <t xml:space="preserve">IMPACT ON  AVERAGE RATES </t>
  </si>
  <si>
    <t>na</t>
  </si>
  <si>
    <t>This used to reference worksheet 5b, but we no longer collect that.  However this table remains so that the export sheet shape is compatible with the 2021 SV applications/model.</t>
  </si>
  <si>
    <t>end B</t>
  </si>
  <si>
    <t>end C</t>
  </si>
  <si>
    <t>end D</t>
  </si>
  <si>
    <t>end H</t>
  </si>
  <si>
    <t>end I</t>
  </si>
  <si>
    <t>end J</t>
  </si>
  <si>
    <t>end K</t>
  </si>
  <si>
    <t>end L</t>
  </si>
  <si>
    <t>end M</t>
  </si>
  <si>
    <t>end N</t>
  </si>
  <si>
    <t>end O</t>
  </si>
  <si>
    <t>All other income</t>
  </si>
  <si>
    <t>Ratio definitions</t>
  </si>
  <si>
    <t>This box is blank to match the shape of the merged council export sheet.</t>
  </si>
  <si>
    <t>Year number</t>
  </si>
  <si>
    <t>Hist yr 3</t>
  </si>
  <si>
    <t>Hist yr 2</t>
  </si>
  <si>
    <t>Hist yr 1</t>
  </si>
  <si>
    <t>Financial year</t>
  </si>
  <si>
    <t>Addition</t>
  </si>
  <si>
    <t xml:space="preserve">This worksheet is for IPART Analyst use only. </t>
  </si>
  <si>
    <t>Instructions:</t>
  </si>
  <si>
    <t>Contents</t>
  </si>
  <si>
    <t>row</t>
  </si>
  <si>
    <t>1. Inputs</t>
  </si>
  <si>
    <t>Enter the required information in the blue input cells</t>
  </si>
  <si>
    <t>Table 1 - Analyst and TSO details</t>
  </si>
  <si>
    <t>Who is the Analyst in charge?</t>
  </si>
  <si>
    <t>First Name</t>
  </si>
  <si>
    <t>Edward</t>
  </si>
  <si>
    <t>Last Name</t>
  </si>
  <si>
    <t>Jenkins</t>
  </si>
  <si>
    <t>Email</t>
  </si>
  <si>
    <t>Edward_jenkins@ipart.nsw.gov.au</t>
  </si>
  <si>
    <t>Phone</t>
  </si>
  <si>
    <t>(02) 9113 7774</t>
  </si>
  <si>
    <t>Who is the TSO supporting the Analyst?</t>
  </si>
  <si>
    <t>Arsh</t>
  </si>
  <si>
    <t>Suri</t>
  </si>
  <si>
    <t>arsh_suri@ipart.nsw.gov.au</t>
  </si>
  <si>
    <t>(02) 9113 7730</t>
  </si>
  <si>
    <t>Table 2 - SV year and rate peg</t>
  </si>
  <si>
    <t>SV for period commencing 1 July</t>
  </si>
  <si>
    <t>year</t>
  </si>
  <si>
    <t>Rate pegs</t>
  </si>
  <si>
    <t>Rate peg for Year 1</t>
  </si>
  <si>
    <t>Rate peg for Year 2 - 7</t>
  </si>
  <si>
    <t xml:space="preserve">Table 3 - SV year, rate peg  and units in display format </t>
  </si>
  <si>
    <t>Added yrs -5 and -4</t>
  </si>
  <si>
    <t xml:space="preserve">Years </t>
  </si>
  <si>
    <t>Year name</t>
  </si>
  <si>
    <t>Year commencing 1 July</t>
  </si>
  <si>
    <t>Rate peg</t>
  </si>
  <si>
    <t>Units for labels</t>
  </si>
  <si>
    <t>$ nominal</t>
  </si>
  <si>
    <t>2. Council Name</t>
  </si>
  <si>
    <t xml:space="preserve">Check and update the list as necessary </t>
  </si>
  <si>
    <t>Albury City Council</t>
  </si>
  <si>
    <t>Armidale Regional Council</t>
  </si>
  <si>
    <t>Ballina Shire Council</t>
  </si>
  <si>
    <t>Balranald Shire Council</t>
  </si>
  <si>
    <t>Bathurst Regional Council</t>
  </si>
  <si>
    <t>Bayside Council</t>
  </si>
  <si>
    <t>Bega Valley Shire Council</t>
  </si>
  <si>
    <t>Bellingen Shire Council</t>
  </si>
  <si>
    <t>Berrigan Shire Council</t>
  </si>
  <si>
    <t>Blacktown City Council</t>
  </si>
  <si>
    <t>Bland Shire Council</t>
  </si>
  <si>
    <t>Blayney Shire Council</t>
  </si>
  <si>
    <t>Blue Mountains City Council</t>
  </si>
  <si>
    <t>Bogan Shire Council</t>
  </si>
  <si>
    <t>Bourke Shire Council</t>
  </si>
  <si>
    <t>Brewarrina Shire Council</t>
  </si>
  <si>
    <t>Broken Hill City Council</t>
  </si>
  <si>
    <t>Burwood Council</t>
  </si>
  <si>
    <t>Byron Shire Council</t>
  </si>
  <si>
    <t>Cabonne Council</t>
  </si>
  <si>
    <t>Camden Council</t>
  </si>
  <si>
    <t>Campbelltown City Council</t>
  </si>
  <si>
    <t>Canterbury-Bankstown Council</t>
  </si>
  <si>
    <t>Carrathool Shire Council</t>
  </si>
  <si>
    <t>Central Coast Council</t>
  </si>
  <si>
    <t>Central Darling Shire Council</t>
  </si>
  <si>
    <t>Cessnock City Council</t>
  </si>
  <si>
    <t>City of Canada Bay Council</t>
  </si>
  <si>
    <t>City of Parramatta Council</t>
  </si>
  <si>
    <t>City of Ryde Council</t>
  </si>
  <si>
    <t>City of Sydney Council</t>
  </si>
  <si>
    <t>Clarence Valley Council</t>
  </si>
  <si>
    <t>Cobar Shire Council</t>
  </si>
  <si>
    <t>Coffs Harbour City Council</t>
  </si>
  <si>
    <t>Coolamon Shire Council</t>
  </si>
  <si>
    <t>Coonamble Shire Council</t>
  </si>
  <si>
    <t>Cootamundra-Gundagai Council</t>
  </si>
  <si>
    <t>Cowra Shire Council</t>
  </si>
  <si>
    <t>Cumberland Council</t>
  </si>
  <si>
    <t>Dubbo Regional Council</t>
  </si>
  <si>
    <t>Dungog Shire Council</t>
  </si>
  <si>
    <t>Edward River Council</t>
  </si>
  <si>
    <t>Eurobodalla Shire Council</t>
  </si>
  <si>
    <t>Fairfield City Council</t>
  </si>
  <si>
    <t>Federation Council</t>
  </si>
  <si>
    <t>Forbes Shire Council</t>
  </si>
  <si>
    <t>Georges River Council</t>
  </si>
  <si>
    <t>Gilgandra Shire Council</t>
  </si>
  <si>
    <t>Glen Innes Severn Shire Council</t>
  </si>
  <si>
    <t>Goulburn Mulwaree Council</t>
  </si>
  <si>
    <t>Greater Hume Shire Council</t>
  </si>
  <si>
    <t>Griffith City Council</t>
  </si>
  <si>
    <t>Gunnedah Shire Council</t>
  </si>
  <si>
    <t>Gwydir Shire Council</t>
  </si>
  <si>
    <t>Hawkesbury City Council</t>
  </si>
  <si>
    <t>Hay Shire Council</t>
  </si>
  <si>
    <t>Hills Shire Council, The</t>
  </si>
  <si>
    <t>Hilltops Council</t>
  </si>
  <si>
    <t>Hornsby, The Council of the Shire of</t>
  </si>
  <si>
    <t>Hunters Hill, The Council of the Municipality of</t>
  </si>
  <si>
    <t>Inner West Council</t>
  </si>
  <si>
    <t>Inverell Shire Council</t>
  </si>
  <si>
    <t>Junee Shire Council</t>
  </si>
  <si>
    <t>Kempsey Shire Council</t>
  </si>
  <si>
    <t>Kiama, The Council of the Municipality of</t>
  </si>
  <si>
    <t>Ku-ring-gai Municipal Council</t>
  </si>
  <si>
    <t>Kyogle Council</t>
  </si>
  <si>
    <t>Lachlan Shire Council</t>
  </si>
  <si>
    <t>Lake Macquarie City Council</t>
  </si>
  <si>
    <t>Lane Cove Council</t>
  </si>
  <si>
    <t>Leeton Shire Council</t>
  </si>
  <si>
    <t>Lismore City Council</t>
  </si>
  <si>
    <t>Lithgow Council, City of</t>
  </si>
  <si>
    <t>Liverpool City Council</t>
  </si>
  <si>
    <t>Liverpool Plains Shire Council</t>
  </si>
  <si>
    <t>Lockhart Shire Council</t>
  </si>
  <si>
    <t>Maitland City Council</t>
  </si>
  <si>
    <t>MidCoast Council</t>
  </si>
  <si>
    <t>Mid-Western Regional Council</t>
  </si>
  <si>
    <t>Moree Plains Shire Council</t>
  </si>
  <si>
    <t>Mosman Municipal Council</t>
  </si>
  <si>
    <t>Murray River Council</t>
  </si>
  <si>
    <t>Murrumbidgee Shire Council</t>
  </si>
  <si>
    <t>Muswellbrook Shire Council</t>
  </si>
  <si>
    <t>Nambucca Shire Council</t>
  </si>
  <si>
    <t>Narrabri Shire Council</t>
  </si>
  <si>
    <t>Narrandera Shire Council</t>
  </si>
  <si>
    <t>Narromine Shire Council</t>
  </si>
  <si>
    <t>Newcastle City Council</t>
  </si>
  <si>
    <t>Northern Beaches Council</t>
  </si>
  <si>
    <t>North Sydney Council</t>
  </si>
  <si>
    <t>Oberon Council</t>
  </si>
  <si>
    <t>Orange City Council</t>
  </si>
  <si>
    <t>Parkes Shire Council</t>
  </si>
  <si>
    <t>Penrith City Council</t>
  </si>
  <si>
    <t>Port Macquarie-Hastings Council</t>
  </si>
  <si>
    <t>Port Stephens Council</t>
  </si>
  <si>
    <t>Queanbeyan-Palerang Regional Council</t>
  </si>
  <si>
    <t>Randwick City Council</t>
  </si>
  <si>
    <t>Richmond Valley Council</t>
  </si>
  <si>
    <t>Shellharbour City Council</t>
  </si>
  <si>
    <t>Shoalhaven City Council</t>
  </si>
  <si>
    <t>Singleton Shire Council</t>
  </si>
  <si>
    <t>Snowy Monaro Regional Council</t>
  </si>
  <si>
    <t>Snowy Valleys Council</t>
  </si>
  <si>
    <t>Strathfield Municipal Council</t>
  </si>
  <si>
    <t>Sutherland Shire Council</t>
  </si>
  <si>
    <t>Tamworth Regional Council</t>
  </si>
  <si>
    <t>Temora Shire Council</t>
  </si>
  <si>
    <t>Tenterfield Shire Council</t>
  </si>
  <si>
    <t>Tweed Shire Council</t>
  </si>
  <si>
    <t>Upper Hunter Shire Council</t>
  </si>
  <si>
    <t>Upper Lachlan Shire Council</t>
  </si>
  <si>
    <t>Uralla Shire Council</t>
  </si>
  <si>
    <t>Wagga Wagga City Council</t>
  </si>
  <si>
    <t>Walcha Council</t>
  </si>
  <si>
    <t>Walgett Shire Council</t>
  </si>
  <si>
    <t>Warren Shire Council</t>
  </si>
  <si>
    <t>Warrumbungle Shire Council</t>
  </si>
  <si>
    <t>Waverley Council</t>
  </si>
  <si>
    <t>Weddin Shire Council</t>
  </si>
  <si>
    <t>Wentworth Shire Council</t>
  </si>
  <si>
    <t>Willoughby City Council</t>
  </si>
  <si>
    <t>Wingecarribee Shire Council</t>
  </si>
  <si>
    <t>Wollondilly Shire Council</t>
  </si>
  <si>
    <t>Wollongong City Council</t>
  </si>
  <si>
    <t>Woollahra Municipal Council</t>
  </si>
  <si>
    <t>Yass Valley Council</t>
  </si>
  <si>
    <t>add rows above this one if you need more</t>
  </si>
  <si>
    <t>3. Lists for expiring special variations and other questions</t>
  </si>
  <si>
    <t>s508(2)</t>
  </si>
  <si>
    <t>s508A</t>
  </si>
  <si>
    <t>Text inputs:</t>
  </si>
  <si>
    <t>Yr</t>
  </si>
  <si>
    <t>List:</t>
  </si>
  <si>
    <t xml:space="preserve"> years</t>
  </si>
  <si>
    <t>Permanent</t>
  </si>
  <si>
    <t>Temporary</t>
  </si>
  <si>
    <t>Combined</t>
  </si>
  <si>
    <t>yes</t>
  </si>
  <si>
    <t>no</t>
  </si>
  <si>
    <t xml:space="preserve">Yes - 30 June </t>
  </si>
  <si>
    <t xml:space="preserve">&amp; 30 June </t>
  </si>
  <si>
    <t xml:space="preserve"> expiry</t>
  </si>
  <si>
    <t>4.  Council Rate pegs for 2022-23</t>
  </si>
  <si>
    <t>Model list: D22/19313</t>
  </si>
  <si>
    <t xml:space="preserve">Updated Model </t>
  </si>
  <si>
    <t>Council name (names list)</t>
  </si>
  <si>
    <t>Council name (rate peg model)</t>
  </si>
  <si>
    <t>Rate peg(including population factor)</t>
  </si>
  <si>
    <t>Matching council names?</t>
  </si>
  <si>
    <t>% in model</t>
  </si>
  <si>
    <t>Name in model</t>
  </si>
  <si>
    <t xml:space="preserve">Albury </t>
  </si>
  <si>
    <t>Armidale Regional</t>
  </si>
  <si>
    <t xml:space="preserve">Ballina </t>
  </si>
  <si>
    <t xml:space="preserve">Balranald </t>
  </si>
  <si>
    <t>Bathurst Regional</t>
  </si>
  <si>
    <t>Bayside</t>
  </si>
  <si>
    <t xml:space="preserve">Bega Valley </t>
  </si>
  <si>
    <t xml:space="preserve">Bellingen </t>
  </si>
  <si>
    <t xml:space="preserve">Berrigan </t>
  </si>
  <si>
    <t xml:space="preserve">Blacktown </t>
  </si>
  <si>
    <t xml:space="preserve">Bland </t>
  </si>
  <si>
    <t xml:space="preserve">Blayney </t>
  </si>
  <si>
    <t xml:space="preserve">Blue Mountains </t>
  </si>
  <si>
    <t xml:space="preserve">Bogan </t>
  </si>
  <si>
    <t xml:space="preserve">Bourke </t>
  </si>
  <si>
    <t xml:space="preserve">Brewarrina </t>
  </si>
  <si>
    <t xml:space="preserve">Broken Hill </t>
  </si>
  <si>
    <t>Burwood</t>
  </si>
  <si>
    <t xml:space="preserve">Byron </t>
  </si>
  <si>
    <t>Cabonne</t>
  </si>
  <si>
    <t>Camden</t>
  </si>
  <si>
    <t xml:space="preserve">Campbelltown </t>
  </si>
  <si>
    <t>Canterbury-Bankstown</t>
  </si>
  <si>
    <t xml:space="preserve">Canada Bay </t>
  </si>
  <si>
    <t xml:space="preserve">Carrathool </t>
  </si>
  <si>
    <t>Central Coast</t>
  </si>
  <si>
    <t xml:space="preserve">Central Darling </t>
  </si>
  <si>
    <t xml:space="preserve">Cessnock </t>
  </si>
  <si>
    <t>Parramatta (new)</t>
  </si>
  <si>
    <t>OK</t>
  </si>
  <si>
    <t>Clarence Valley</t>
  </si>
  <si>
    <t xml:space="preserve">Ryde </t>
  </si>
  <si>
    <t xml:space="preserve">Cobar </t>
  </si>
  <si>
    <t xml:space="preserve">Sydney </t>
  </si>
  <si>
    <t xml:space="preserve">Coffs Harbour </t>
  </si>
  <si>
    <t xml:space="preserve">Coolamon </t>
  </si>
  <si>
    <t xml:space="preserve">Coonamble </t>
  </si>
  <si>
    <t>Cootamundra-Gundagai Regional</t>
  </si>
  <si>
    <t xml:space="preserve">Cowra </t>
  </si>
  <si>
    <t>Cumberland</t>
  </si>
  <si>
    <t>Dubbo Regional</t>
  </si>
  <si>
    <t xml:space="preserve">Dungog </t>
  </si>
  <si>
    <t>Edward River</t>
  </si>
  <si>
    <t xml:space="preserve">Eurobodalla </t>
  </si>
  <si>
    <t xml:space="preserve">Fairfield </t>
  </si>
  <si>
    <t>Federation</t>
  </si>
  <si>
    <t xml:space="preserve">Forbes </t>
  </si>
  <si>
    <t>Georges River</t>
  </si>
  <si>
    <t xml:space="preserve">Gilgandra </t>
  </si>
  <si>
    <t>Glen Innes Severn</t>
  </si>
  <si>
    <t>Goulburn Mulwaree</t>
  </si>
  <si>
    <t xml:space="preserve">Greater Hume </t>
  </si>
  <si>
    <t xml:space="preserve">Griffith </t>
  </si>
  <si>
    <t xml:space="preserve">Gunnedah </t>
  </si>
  <si>
    <t xml:space="preserve">Gwydir </t>
  </si>
  <si>
    <t xml:space="preserve">Hawkesbury </t>
  </si>
  <si>
    <t xml:space="preserve">Hay </t>
  </si>
  <si>
    <t>Hilltops</t>
  </si>
  <si>
    <t xml:space="preserve">Hornsby </t>
  </si>
  <si>
    <t xml:space="preserve">Hunters Hill </t>
  </si>
  <si>
    <t xml:space="preserve">Hills </t>
  </si>
  <si>
    <t>Inner West</t>
  </si>
  <si>
    <t xml:space="preserve">Inverell </t>
  </si>
  <si>
    <t xml:space="preserve">Junee </t>
  </si>
  <si>
    <t xml:space="preserve">Kempsey </t>
  </si>
  <si>
    <t xml:space="preserve">Kiama </t>
  </si>
  <si>
    <t>Ku-ring-gai</t>
  </si>
  <si>
    <t>Kyogle</t>
  </si>
  <si>
    <t xml:space="preserve">Lachlan </t>
  </si>
  <si>
    <t xml:space="preserve">Lake Macquarie </t>
  </si>
  <si>
    <t xml:space="preserve">Lane Cove </t>
  </si>
  <si>
    <t xml:space="preserve">Leeton </t>
  </si>
  <si>
    <t xml:space="preserve">Lismore </t>
  </si>
  <si>
    <t xml:space="preserve">Lithgow </t>
  </si>
  <si>
    <t xml:space="preserve">Liverpool </t>
  </si>
  <si>
    <t xml:space="preserve">Liverpool Plains </t>
  </si>
  <si>
    <t xml:space="preserve">Lockhart </t>
  </si>
  <si>
    <t xml:space="preserve">Maitland </t>
  </si>
  <si>
    <t>Mid-Coast</t>
  </si>
  <si>
    <t>Mid-Western Regional</t>
  </si>
  <si>
    <t xml:space="preserve">Moree Plains </t>
  </si>
  <si>
    <t xml:space="preserve">Mosman </t>
  </si>
  <si>
    <t>Murray River</t>
  </si>
  <si>
    <t>Murrumbidgee (new)</t>
  </si>
  <si>
    <t xml:space="preserve">Muswellbrook </t>
  </si>
  <si>
    <t xml:space="preserve">Nambucca </t>
  </si>
  <si>
    <t xml:space="preserve">Narrabri </t>
  </si>
  <si>
    <t xml:space="preserve">Narrandera </t>
  </si>
  <si>
    <t xml:space="preserve">Narromine </t>
  </si>
  <si>
    <t xml:space="preserve">Newcastle </t>
  </si>
  <si>
    <t>North Sydney</t>
  </si>
  <si>
    <t>Northern Beaches</t>
  </si>
  <si>
    <t>Oberon</t>
  </si>
  <si>
    <t xml:space="preserve">Orange </t>
  </si>
  <si>
    <t xml:space="preserve">Parkes </t>
  </si>
  <si>
    <t xml:space="preserve">Penrith </t>
  </si>
  <si>
    <t>Port Macquarie-Hastings</t>
  </si>
  <si>
    <t>Port Stephens</t>
  </si>
  <si>
    <t>Queanbeyan-Palerang Regional</t>
  </si>
  <si>
    <t xml:space="preserve">Randwick </t>
  </si>
  <si>
    <t>Richmond Valley</t>
  </si>
  <si>
    <t xml:space="preserve">Shellharbour </t>
  </si>
  <si>
    <t xml:space="preserve">Shoalhaven </t>
  </si>
  <si>
    <t>Singleton</t>
  </si>
  <si>
    <t>Snowy Monaro Regional</t>
  </si>
  <si>
    <t>Snowy Valleys</t>
  </si>
  <si>
    <t xml:space="preserve">Strathfield </t>
  </si>
  <si>
    <t xml:space="preserve">Sutherland </t>
  </si>
  <si>
    <t>Tamworth Regional</t>
  </si>
  <si>
    <t xml:space="preserve">Temora </t>
  </si>
  <si>
    <t xml:space="preserve">Tenterfield </t>
  </si>
  <si>
    <t xml:space="preserve">Tweed </t>
  </si>
  <si>
    <t xml:space="preserve">Upper Hunter </t>
  </si>
  <si>
    <t xml:space="preserve">Upper Lachlan </t>
  </si>
  <si>
    <t xml:space="preserve">Uralla </t>
  </si>
  <si>
    <t xml:space="preserve">Wagga Wagga </t>
  </si>
  <si>
    <t>Walcha</t>
  </si>
  <si>
    <t xml:space="preserve">Walgett </t>
  </si>
  <si>
    <t xml:space="preserve">Warren </t>
  </si>
  <si>
    <t xml:space="preserve">Warrumbungle </t>
  </si>
  <si>
    <t>Waverley</t>
  </si>
  <si>
    <t xml:space="preserve">Weddin </t>
  </si>
  <si>
    <t xml:space="preserve">Wentworth </t>
  </si>
  <si>
    <t xml:space="preserve">Willoughby </t>
  </si>
  <si>
    <t xml:space="preserve">Wingecarribee </t>
  </si>
  <si>
    <t xml:space="preserve">Wollondilly </t>
  </si>
  <si>
    <t xml:space="preserve">Wollongong </t>
  </si>
  <si>
    <t xml:space="preserve">Woollahra </t>
  </si>
  <si>
    <t>Yass Valley</t>
  </si>
  <si>
    <t xml:space="preserve">  THE INDEPENDENT PRICING AND REGULATORY TRIBUNAL OF NSW</t>
  </si>
  <si>
    <t xml:space="preserve">APPLICATION FOR A SPECIAL VARIATION </t>
  </si>
  <si>
    <t>TO GENERAL INCOME</t>
  </si>
  <si>
    <r>
      <t>under Section 508A and 508(2) of the</t>
    </r>
    <r>
      <rPr>
        <i/>
        <sz val="11"/>
        <rFont val="Arial"/>
        <family val="2"/>
      </rPr>
      <t xml:space="preserve"> Local Government Act 1993</t>
    </r>
  </si>
  <si>
    <t>SECTION 508A &amp; 508(2) APPLICATION FORM</t>
  </si>
  <si>
    <t>Before completing this form, you MUST read the Office of Local Government's</t>
  </si>
  <si>
    <t xml:space="preserve">                 </t>
  </si>
  <si>
    <t>Guidelines for the preparation of an application for a special variation to general income</t>
  </si>
  <si>
    <t xml:space="preserve">All dollars in nominal terms </t>
  </si>
  <si>
    <t>The Guidelines are available on the Office’s website at www.olg.nsw.gov.au.</t>
  </si>
  <si>
    <t>NOTE:</t>
  </si>
  <si>
    <t>This part of the application must be completed in conjunction with Part B</t>
  </si>
  <si>
    <t>Overview</t>
  </si>
  <si>
    <t>A Section 508A special variation allows a council to increase general income by a percentage that is greater than the rate peg</t>
  </si>
  <si>
    <t>each year, up to a maximum of 7 years.</t>
  </si>
  <si>
    <t xml:space="preserve">Section 508(2) allows a council to increase general income by a percentage that is greater than the rate peg in a single year. </t>
  </si>
  <si>
    <t>You must identify the percentage increase requested for each year inclusive of the rate peg.</t>
  </si>
  <si>
    <t>You must also identify percentage increases in minimum rates for each year, if the increases result in a minimum rate</t>
  </si>
  <si>
    <t>which exceeds the statutory limit.</t>
  </si>
  <si>
    <t>Note: IPART can approve a percentage increase to minimum rates above the statutory limit that differs from the</t>
  </si>
  <si>
    <t>proposed special variation percentage increase as long as you have justified and properly consulted on that percentage.</t>
  </si>
  <si>
    <t>See Attachment 4 of the Guidelines for further details.</t>
  </si>
  <si>
    <t>Both Part A and Part B of the application should be submitted to IPART (us) via the Council Portal on our</t>
  </si>
  <si>
    <t xml:space="preserve">website at www.ipart.nsw.gov.au. </t>
  </si>
  <si>
    <t>Part A consists of 9 worksheets:</t>
  </si>
  <si>
    <t>►</t>
  </si>
  <si>
    <r>
      <t>Worksheet 1 (Identification):</t>
    </r>
    <r>
      <rPr>
        <sz val="9"/>
        <rFont val="Arial"/>
        <family val="2"/>
      </rPr>
      <t xml:space="preserve"> Identifies your council and a council contact officer, collects information</t>
    </r>
  </si>
  <si>
    <t>about your proposed special variation and any existing special variations (SVs).</t>
  </si>
  <si>
    <t xml:space="preserve">It also collects information about Crown Land adjustments, catch-ups or excess adjustments </t>
  </si>
  <si>
    <t>and valuation objections.</t>
  </si>
  <si>
    <r>
      <t>Worksheet 2 (current year Notional General Income):</t>
    </r>
    <r>
      <rPr>
        <sz val="9"/>
        <rFont val="Arial"/>
        <family val="2"/>
      </rPr>
      <t xml:space="preserve"> Calculates the council's Notional General Income</t>
    </r>
  </si>
  <si>
    <r>
      <t>Worksheet 3 (first year Notional General Income):</t>
    </r>
    <r>
      <rPr>
        <sz val="9"/>
        <rFont val="Arial"/>
        <family val="2"/>
      </rPr>
      <t xml:space="preserve"> Calculates the council's proposed Notional General </t>
    </r>
  </si>
  <si>
    <r>
      <t>Worksheet 4 (PGI):</t>
    </r>
    <r>
      <rPr>
        <sz val="9"/>
        <rFont val="Arial"/>
        <family val="2"/>
      </rPr>
      <t xml:space="preserve"> Summarises the council's Permissible General Income based on the 1st year's percentage  </t>
    </r>
  </si>
  <si>
    <t xml:space="preserve">for the proposed SV and Crown Land adjustments, plus other income adjustments. It also shows the </t>
  </si>
  <si>
    <t>the council's PGI over the proposed SV period and the annual and cumulative impacts of the proposed SV.</t>
  </si>
  <si>
    <r>
      <t>Worksheet 5a (Impact on Rates):</t>
    </r>
    <r>
      <rPr>
        <sz val="9"/>
        <rFont val="Arial"/>
        <family val="2"/>
      </rPr>
      <t xml:space="preserve"> Calculates the average annual and cumulative increases in rates</t>
    </r>
  </si>
  <si>
    <t>for each category/sub-category for each year of the proposed SV, with and without the proposed SV.</t>
  </si>
  <si>
    <r>
      <t>Worksheet 6 (Additional SV Income and Expenditure):</t>
    </r>
    <r>
      <rPr>
        <sz val="9"/>
        <rFont val="Arial"/>
        <family val="2"/>
      </rPr>
      <t xml:space="preserve"> Collects data on how the council intends to use the</t>
    </r>
  </si>
  <si>
    <t xml:space="preserve">additional funds (above the rate peg) from the proposed SV. </t>
  </si>
  <si>
    <r>
      <t>Worksheet 7 (Financials):</t>
    </r>
    <r>
      <rPr>
        <sz val="9"/>
        <rFont val="Arial"/>
        <family val="2"/>
      </rPr>
      <t xml:space="preserve"> Collects historical information from your financial statements and forecasts for </t>
    </r>
  </si>
  <si>
    <t>selected balance sheet items from you long term financial plan (LTFP).</t>
  </si>
  <si>
    <r>
      <t>Worksheet 8 (Long Term Financial Plan):</t>
    </r>
    <r>
      <rPr>
        <sz val="9"/>
        <rFont val="Arial"/>
        <family val="2"/>
      </rPr>
      <t xml:space="preserve"> Collects information on your Long Term Financial Plan</t>
    </r>
  </si>
  <si>
    <t>including scenarios with and without the proposed special variation.</t>
  </si>
  <si>
    <r>
      <t>Worksheet 9 (Financial ratios):</t>
    </r>
    <r>
      <rPr>
        <sz val="9"/>
        <rFont val="Arial"/>
        <family val="2"/>
      </rPr>
      <t xml:space="preserve"> Captures financial ratios, some of which are calculated while others</t>
    </r>
  </si>
  <si>
    <t>are entered as inputs.</t>
  </si>
  <si>
    <t>Enquiries regarding the completion of this application should be directed to:</t>
  </si>
  <si>
    <t xml:space="preserve">Colour code </t>
  </si>
  <si>
    <t>Enter data in the blue input cells</t>
  </si>
  <si>
    <t>Hard-coded values that should not be changed</t>
  </si>
  <si>
    <t>Special instructions</t>
  </si>
  <si>
    <t xml:space="preserve">Error checks </t>
  </si>
  <si>
    <t>Double red line indicates a change in formula</t>
  </si>
  <si>
    <t>Step-by-step instructions on completing the worksheets</t>
  </si>
  <si>
    <t>Worksheet 1 - Identification</t>
  </si>
  <si>
    <t>&gt;</t>
  </si>
  <si>
    <t>Select council name from the drop down list and enter contact details.</t>
  </si>
  <si>
    <t xml:space="preserve">Indicate whether you have any existing SVs by selecting 'yes' or 'no' from the drop down box, where the existing SV </t>
  </si>
  <si>
    <t>means you have an existing increase(s) above the rate peg for any year from Year 1 onwards.</t>
  </si>
  <si>
    <t>Select (or enter) the type and duration of the proposed special variation.</t>
  </si>
  <si>
    <t>Enter the additional percentage being sought above the rate peg (excluding other adjustments).</t>
  </si>
  <si>
    <t>Answer the questions about expiring SVs.</t>
  </si>
  <si>
    <t>*</t>
  </si>
  <si>
    <t>If the council does not have any SVs due to expire in the period of the proposed SV, leave the</t>
  </si>
  <si>
    <t>field blank or select 'na'.</t>
  </si>
  <si>
    <t>Any amounts entered need to be verified by the OLG before the application is submitted to us.</t>
  </si>
  <si>
    <t>Answer the questions about Crown land adjustments, catch ups and valuation objections.</t>
  </si>
  <si>
    <t>If the council does not have any adjustments, leave the fields in this section blank</t>
  </si>
  <si>
    <t>Note that applications for Crown land adjustments still need to be separately made to OLG.</t>
  </si>
  <si>
    <t>Enter the requested percentage increases in general income (including the rate peg) from year 2 (Table 1).</t>
  </si>
  <si>
    <t xml:space="preserve">The annual and cumulative increases in the white cells are automatically calculated once the requested </t>
  </si>
  <si>
    <t xml:space="preserve">percentage increases have been entered. </t>
  </si>
  <si>
    <t>The worksheet automatically assumes a rate peg of 2.5% for each of the forward years (Year 2 and thereafter).</t>
  </si>
  <si>
    <t>If the rate peg turns out to be different from that assumed, the total % increase in general income with an</t>
  </si>
  <si>
    <t>approved SV does not change.</t>
  </si>
  <si>
    <t>This worksheet calculates the Notional General Income for the current year (Year 0), by applying the</t>
  </si>
  <si>
    <t>rating structure used in the previous year to land values, adjusted by supplementary valuations</t>
  </si>
  <si>
    <t xml:space="preserve"> received during that year.  </t>
  </si>
  <si>
    <t>Any inclusion in WK2 as a “supplementary valuation” must agree with section 4 of the Valuation of Land Act 1916.</t>
  </si>
  <si>
    <t>This worksheet calculates the proposed Notional General Income (Year 1). It should apply the proposed rating structure,</t>
  </si>
  <si>
    <t>including the proposed SV increase, to land values adjusted by any supplementary valuations.</t>
  </si>
  <si>
    <t>The rating structure entered here must be checked by OLG.</t>
  </si>
  <si>
    <t>Worksheet 4 - Calculation</t>
  </si>
  <si>
    <t>This worksheet calculates Permissible General Income and the value of the proposed SV after taking into</t>
  </si>
  <si>
    <t>account various adjustments.   Income adjustments and expiring SV amounts are to be verified</t>
  </si>
  <si>
    <t>by OLG before the application is submitted to us.</t>
  </si>
  <si>
    <t>Example of PGI calculation for Year 1</t>
  </si>
  <si>
    <t>NO INPUTS ARE REQUIRED</t>
  </si>
  <si>
    <t>XYZ Council</t>
  </si>
  <si>
    <t>WORKSHEET 4</t>
  </si>
  <si>
    <t>Expiring SV</t>
  </si>
  <si>
    <t>PERMISSIBLE GENERAL INCOME SUMMARY FOR 2018-19</t>
  </si>
  <si>
    <t xml:space="preserve">Notional General Income must be reduced before </t>
  </si>
  <si>
    <t xml:space="preserve">  All dollars in nominal terms</t>
  </si>
  <si>
    <t>Please check all income adjustments and expiring variation amounts with OLG</t>
  </si>
  <si>
    <t>before submitting the application.</t>
  </si>
  <si>
    <t>Additional percentage increase</t>
  </si>
  <si>
    <t>Prior year Notional General Income</t>
  </si>
  <si>
    <t xml:space="preserve">This is the additional percentage increase being sought </t>
  </si>
  <si>
    <t>Less:</t>
  </si>
  <si>
    <t>Expiry of a prior special variation</t>
  </si>
  <si>
    <t xml:space="preserve">above the rate peg, excluding any other income </t>
  </si>
  <si>
    <t>adjustments.</t>
  </si>
  <si>
    <t>Adjusted first year Notional General Income</t>
  </si>
  <si>
    <t>$</t>
  </si>
  <si>
    <t>Crown Land Adjustment</t>
  </si>
  <si>
    <t>Plus:</t>
  </si>
  <si>
    <t>Rate peg increase - first year</t>
  </si>
  <si>
    <t xml:space="preserve">Crown land claims will increase Permissible General </t>
  </si>
  <si>
    <t>Additional increase - first year</t>
  </si>
  <si>
    <t>Income. The $ amount of any Crown land adjustment is</t>
  </si>
  <si>
    <t>Crown Land adjustment - first year</t>
  </si>
  <si>
    <t>converted into a % amount to be included in the final</t>
  </si>
  <si>
    <t>special variation for consideration by IPART.</t>
  </si>
  <si>
    <t>Total special variation - first year</t>
  </si>
  <si>
    <t>Other adjustments</t>
  </si>
  <si>
    <t>Other First Year Adjustments:</t>
  </si>
  <si>
    <t>There are two other possible adjustments that are not included</t>
  </si>
  <si>
    <t>Plus/Minus:</t>
  </si>
  <si>
    <t>Prior year Catch-up/(Excess)</t>
  </si>
  <si>
    <t>in the proposed SV % but will affect Permissible General Income:</t>
  </si>
  <si>
    <t>Minus:</t>
  </si>
  <si>
    <t>Valuation Objections claimed in prior year</t>
  </si>
  <si>
    <t>1. Prior year result. This is the catch up or excess amount</t>
  </si>
  <si>
    <t>from the previous year, as advised by OLG.</t>
  </si>
  <si>
    <t>Total Adjustments</t>
  </si>
  <si>
    <t>2. Valuation objections: if you successfully claimed valuation</t>
  </si>
  <si>
    <t>objections in the previous year, PGI must be reduced to</t>
  </si>
  <si>
    <t>First year Permissible General Income</t>
  </si>
  <si>
    <t>remove the extra income claimed from the revenue base.</t>
  </si>
  <si>
    <t>Worksheet 5a - Impact on Ratepayers</t>
  </si>
  <si>
    <t>The aim of this sheet is to show the minimum rate increase (if applicable), the average rate increase per sub-category</t>
  </si>
  <si>
    <t>(inclusive of all relevant rates) and the proposed annual charges in each year of the proposed special variation.</t>
  </si>
  <si>
    <t>It also aims to compare average rates with and without the proposed special variation.</t>
  </si>
  <si>
    <t>Enter the required data in the blue input cells. The values in the white cells will calculated automatically.</t>
  </si>
  <si>
    <t>Minimum rates</t>
  </si>
  <si>
    <t>Enter in the minimum rates per category/sub-category as if the SV were approved for each year as requested</t>
  </si>
  <si>
    <t>These figures are intended to illustrate the impact of the proposed SV on any specific minimum rate.</t>
  </si>
  <si>
    <t>Ordinary and Special Average Rates</t>
  </si>
  <si>
    <t>Enter in the average rates per sub-category as if the proposed SV were approved for each year as requested</t>
  </si>
  <si>
    <t>AND the average rates as if the proposed SV were not approved (only the rate peg would then apply).</t>
  </si>
  <si>
    <t>These figures should include the impact of changes in minimum rates and are calculated as per below.</t>
  </si>
  <si>
    <t>Annual Charges</t>
  </si>
  <si>
    <t>Enter any proposed annual charges for each year of the proposed variation.</t>
  </si>
  <si>
    <t>Note:</t>
  </si>
  <si>
    <t>An average rate equals total income in a category or sub-category divided by the number</t>
  </si>
  <si>
    <t xml:space="preserve">    of assessments in that same category or sub-category (i.e. including assessments on the minimum rate). </t>
  </si>
  <si>
    <t>These figures should reflect the reduction from any expiring SVs so that the net change in rates is measured.</t>
  </si>
  <si>
    <t>Worksheet 6 - Proposed Additional SRV Income and Expenditure</t>
  </si>
  <si>
    <t>This worksheet is designed to show how the council proposes to use the additional funding</t>
  </si>
  <si>
    <t xml:space="preserve">above the rate peg generated from the proposed SV.  </t>
  </si>
  <si>
    <t>The worksheet automatically calculates additional SRV income for Years 1 to 10.</t>
  </si>
  <si>
    <t xml:space="preserve">Councils must enter each category of expenditure, and if applicable, individual program/project names, </t>
  </si>
  <si>
    <t>in column C under one of the headings provided.</t>
  </si>
  <si>
    <t>The spreadsheet will calculate the difference between the additional income from the proposed special variation and what it is</t>
  </si>
  <si>
    <t>spent on.  A positive difference means that the additional income is not all spent on operating expenditure or capital expenditure.</t>
  </si>
  <si>
    <t>* Part B of the application provides councils with the opportunity to explain their expenditure plans</t>
  </si>
  <si>
    <t>and the impacts on their financial position.</t>
  </si>
  <si>
    <t>Worksheet 7 - Historical financial information</t>
  </si>
  <si>
    <t>This sheet captures the council's historical financial information as reported in its financial statements.</t>
  </si>
  <si>
    <t>Worksheet 8 - Long Term Financial Plan</t>
  </si>
  <si>
    <t>This worksheet is designed to show how the council's Long Term Financial Plan varies</t>
  </si>
  <si>
    <t>with and without the proposed special variation</t>
  </si>
  <si>
    <t xml:space="preserve">Councils must complete the information from the Long Term Financial Plan for both the Special Variation Scenario </t>
  </si>
  <si>
    <t>and the Base Case Scenario (without proposed special variation).</t>
  </si>
  <si>
    <t>Councils must enter each category of income and expenditure under the headings provided</t>
  </si>
  <si>
    <t>This worksheet automatically calculates total amounts for each column</t>
  </si>
  <si>
    <t>Worksheet 9 - Financial ratios</t>
  </si>
  <si>
    <t>This worksheet captures financial ratios for three historical years as well as the current and forecast years (0 to 10).</t>
  </si>
  <si>
    <t xml:space="preserve">All the historical ratios and two of the forecast ratios are calculated from information provided in Worksheet 7 and Worksheet 8. </t>
  </si>
  <si>
    <t>Enter forecast values for the two compulsory ratios (Infrastructure Renewals Ratio and Infrastructure Backlog Ratio).</t>
  </si>
  <si>
    <t>Enter forecasts for the optional ratios only if they are relevant to your council's application.</t>
  </si>
  <si>
    <t xml:space="preserve">             APPLICATION FOR SPECIAL VARIATION TO GENERAL INCOME        </t>
  </si>
  <si>
    <t>WORKSHEET 1</t>
  </si>
  <si>
    <t>Step 1: Fill out council details</t>
  </si>
  <si>
    <t>Step 2: Fill out any existing variation information</t>
  </si>
  <si>
    <t>Step 3: Fill out crown land adjustments, catch up &amp; excess, valuation objections</t>
  </si>
  <si>
    <t>Step 4: Fill out proposed special variation amounts</t>
  </si>
  <si>
    <t xml:space="preserve">                                                                                                          All dollars in nominal terms </t>
  </si>
  <si>
    <t>Council Name:</t>
  </si>
  <si>
    <t>Council Name if not listed:</t>
  </si>
  <si>
    <t>Glen Magus</t>
  </si>
  <si>
    <t>Contact Details:</t>
  </si>
  <si>
    <t xml:space="preserve">  Name:</t>
  </si>
  <si>
    <t xml:space="preserve">  Position:</t>
  </si>
  <si>
    <t>Director, Corporate Support</t>
  </si>
  <si>
    <t xml:space="preserve"> Telephone:</t>
  </si>
  <si>
    <t>02 9847 6635</t>
  </si>
  <si>
    <t xml:space="preserve">  Email:</t>
  </si>
  <si>
    <t>gmagus@hornsby.nsw.gov.au</t>
  </si>
  <si>
    <t>Note: Please provide direct contact information for relevant council officer. Contact details will be redacted before publication.</t>
  </si>
  <si>
    <t>A. Existing special variations (SVs)</t>
  </si>
  <si>
    <t>B. Proposed special variations (SVs)</t>
  </si>
  <si>
    <t>2. Is the council applying for a one-year increase (s508(2)) or a multi-year increase (s508A)?</t>
  </si>
  <si>
    <t>select option</t>
  </si>
  <si>
    <r>
      <t>3. For</t>
    </r>
    <r>
      <rPr>
        <b/>
        <sz val="9"/>
        <rFont val="Arial"/>
        <family val="2"/>
      </rPr>
      <t xml:space="preserve"> s508A</t>
    </r>
    <r>
      <rPr>
        <sz val="9"/>
        <rFont val="Arial"/>
        <family val="2"/>
      </rPr>
      <t xml:space="preserve"> applications: for how many years is the council requesting % increases as part of this application?</t>
    </r>
  </si>
  <si>
    <t>4 years</t>
  </si>
  <si>
    <r>
      <t>4. For</t>
    </r>
    <r>
      <rPr>
        <b/>
        <sz val="9"/>
        <rFont val="Arial"/>
        <family val="2"/>
      </rPr>
      <t xml:space="preserve"> s508A</t>
    </r>
    <r>
      <rPr>
        <sz val="9"/>
        <rFont val="Arial"/>
        <family val="2"/>
      </rPr>
      <t xml:space="preserve"> &amp; </t>
    </r>
    <r>
      <rPr>
        <b/>
        <sz val="9"/>
        <rFont val="Arial"/>
        <family val="2"/>
      </rPr>
      <t>s508(2)</t>
    </r>
    <r>
      <rPr>
        <sz val="9"/>
        <rFont val="Arial"/>
        <family val="2"/>
      </rPr>
      <t xml:space="preserve"> applications: is the special variation permanent or temporary?   </t>
    </r>
  </si>
  <si>
    <t xml:space="preserve">    If temporary or combined, enter the number of years before the (temporary part of the) special variation is due to expire.</t>
  </si>
  <si>
    <t xml:space="preserve"> enter years</t>
  </si>
  <si>
    <t xml:space="preserve">enter % </t>
  </si>
  <si>
    <t>C. Expiring special variations (SVs)</t>
  </si>
  <si>
    <t>7. Does the council have an expiring variation? If yes, please specify when.</t>
  </si>
  <si>
    <t>1st Expiring SV</t>
  </si>
  <si>
    <t>2nd Expiring SV</t>
  </si>
  <si>
    <t>D. Crown Land adjustments, catch ups, valuation objections</t>
  </si>
  <si>
    <t>% Y 0 income</t>
  </si>
  <si>
    <t>9. Enter the amount of any Crown Land adjustments required</t>
  </si>
  <si>
    <t xml:space="preserve">enter $ </t>
  </si>
  <si>
    <t>10. Enter the amount for any catch ups or excess adjustments required</t>
  </si>
  <si>
    <t>11. Enter any valuation objections required (input as a positive whole number)</t>
  </si>
  <si>
    <t>E. Requested annual percentage increases and expiring SV amounts</t>
  </si>
  <si>
    <r>
      <t xml:space="preserve">A special variation is the total % increase permitted in a council's general income, Including the rate peg </t>
    </r>
    <r>
      <rPr>
        <sz val="9"/>
        <rFont val="Arial"/>
        <family val="2"/>
      </rPr>
      <t xml:space="preserve">and Crown land adjustments, before adjustments are made for </t>
    </r>
  </si>
  <si>
    <r>
      <t xml:space="preserve">catch ups/excesses and valuation objections. </t>
    </r>
    <r>
      <rPr>
        <i/>
        <sz val="9"/>
        <rFont val="Arial"/>
        <family val="2"/>
      </rPr>
      <t xml:space="preserve"> </t>
    </r>
  </si>
  <si>
    <t>Note: Approved SV% increases do not change if the actual rate peg turns out to be different from that assumed for a particular year.</t>
  </si>
  <si>
    <t>Table 1</t>
  </si>
  <si>
    <t>Requested annual percentage increases and expiring SV amounts</t>
  </si>
  <si>
    <t>1= included in SV period</t>
  </si>
  <si>
    <t>0 = beyond temporary SV period</t>
  </si>
  <si>
    <t>Annual % increases</t>
  </si>
  <si>
    <t xml:space="preserve">   Rate peg only</t>
  </si>
  <si>
    <t xml:space="preserve">     plus</t>
  </si>
  <si>
    <t>Crown Land adjustment</t>
  </si>
  <si>
    <t>Cumulative % increase</t>
  </si>
  <si>
    <t>additional increases</t>
  </si>
  <si>
    <t>Expiring special variations</t>
  </si>
  <si>
    <t>$ value of expiring special</t>
  </si>
  <si>
    <t>$ (nominal)</t>
  </si>
  <si>
    <t xml:space="preserve"> variations (ESV)</t>
  </si>
  <si>
    <t>% value of ESV</t>
  </si>
  <si>
    <t>WORKSHEET 2</t>
  </si>
  <si>
    <t>Applicable to the first year of the application</t>
  </si>
  <si>
    <t xml:space="preserve">This worksheet must reflect the rating structure levied in the previous year </t>
  </si>
  <si>
    <t>(i) supplementaries having the same base date and furnished to Council during that year, and</t>
  </si>
  <si>
    <t>(ii) estimates of increases in valuations provided to the Council under section 513.</t>
  </si>
  <si>
    <t>Calculation of Notional General Income - Ordinary Rates</t>
  </si>
  <si>
    <t>Rating Category   (s514-518)</t>
  </si>
  <si>
    <t xml:space="preserve">Name of 
sub-category </t>
  </si>
  <si>
    <t>Number of Assessments</t>
  </si>
  <si>
    <t>Ad Valorem Rate (cents)</t>
  </si>
  <si>
    <t>Base Amount
$</t>
  </si>
  <si>
    <t>Base Amount %</t>
  </si>
  <si>
    <t>Minimum
Amount
$</t>
  </si>
  <si>
    <t>Number on Minimum</t>
  </si>
  <si>
    <t>Land Value
(see note above)
$</t>
  </si>
  <si>
    <t>Land Value of Land on Minimum</t>
  </si>
  <si>
    <t>Notional General 
Income</t>
  </si>
  <si>
    <t>Residential</t>
  </si>
  <si>
    <t>Total Residential</t>
  </si>
  <si>
    <t>Business</t>
  </si>
  <si>
    <t>Hornsby CBD</t>
  </si>
  <si>
    <t>Shopping Centre</t>
  </si>
  <si>
    <t>Total Business</t>
  </si>
  <si>
    <t>Farmland</t>
  </si>
  <si>
    <t>Total Farmland</t>
  </si>
  <si>
    <t>Mining</t>
  </si>
  <si>
    <t>Total Mining</t>
  </si>
  <si>
    <t>Total Assessments:</t>
  </si>
  <si>
    <t>Total Rateable Land Value:</t>
  </si>
  <si>
    <t>Sub-Total:</t>
  </si>
  <si>
    <t>Calculation of Notional General Income - Special Rates</t>
  </si>
  <si>
    <t>Name of special rate</t>
  </si>
  <si>
    <t>Ad Valorem Rate</t>
  </si>
  <si>
    <t>Land Value
(see note above)</t>
  </si>
  <si>
    <t xml:space="preserve">Notional
Income
</t>
  </si>
  <si>
    <t>Cachments - Residential</t>
  </si>
  <si>
    <t>Cachments - Business</t>
  </si>
  <si>
    <t>Cachments - Hornsby CBD</t>
  </si>
  <si>
    <t>Cachments - Shopping Centre</t>
  </si>
  <si>
    <t>Cachments - Farmland</t>
  </si>
  <si>
    <t>Calculation of Notional General Income - Annual Charges</t>
  </si>
  <si>
    <t>Annual Charges (excluding water supply, sewerage and domestic and non-domestic waste management services)</t>
  </si>
  <si>
    <t>Number of
Assessments</t>
  </si>
  <si>
    <t>Amount of Charge
$</t>
  </si>
  <si>
    <t>Total Notional General Income:</t>
  </si>
  <si>
    <r>
      <t>Note:</t>
    </r>
    <r>
      <rPr>
        <sz val="9"/>
        <rFont val="Arial"/>
        <family val="2"/>
      </rPr>
      <t xml:space="preserve"> Section </t>
    </r>
    <r>
      <rPr>
        <b/>
        <sz val="9"/>
        <rFont val="Arial"/>
        <family val="2"/>
      </rPr>
      <t>505(a)</t>
    </r>
    <r>
      <rPr>
        <sz val="9"/>
        <rFont val="Arial"/>
        <family val="2"/>
      </rPr>
      <t xml:space="preserve"> of the Act provides for those rates and charges that are to be included in general income, including certain section 501 annual charges.</t>
    </r>
  </si>
  <si>
    <t>WORKSHEET 3</t>
  </si>
  <si>
    <t xml:space="preserve">This worksheet must contain the rating structure proposed for the first year of the special variation application. </t>
  </si>
  <si>
    <t>Note: A rating structure that does not comply with the legislation may not be approved.  It is Council's responsibility to check its rating structure with OLG before submission to IPART.</t>
  </si>
  <si>
    <t>Ad valorem rate
(cents)</t>
  </si>
  <si>
    <t>Base Amount
%</t>
  </si>
  <si>
    <t>Land Value as at
start of year
$</t>
  </si>
  <si>
    <t>Land Value of Land on Minimum $</t>
  </si>
  <si>
    <t>Notional General
Income</t>
  </si>
  <si>
    <t>Land Value
as at
start of year</t>
  </si>
  <si>
    <t xml:space="preserve">Notional Income
</t>
  </si>
  <si>
    <t>Total Notional General Income</t>
  </si>
  <si>
    <t xml:space="preserve">LESS: Valuation Objection Income </t>
  </si>
  <si>
    <t>NET   Notional General Income</t>
  </si>
  <si>
    <r>
      <t>Note:</t>
    </r>
    <r>
      <rPr>
        <sz val="10"/>
        <rFont val="Arial"/>
        <family val="2"/>
      </rPr>
      <t xml:space="preserve"> Section </t>
    </r>
    <r>
      <rPr>
        <b/>
        <sz val="10"/>
        <rFont val="Arial"/>
        <family val="2"/>
      </rPr>
      <t>505(a)</t>
    </r>
    <r>
      <rPr>
        <sz val="10"/>
        <rFont val="Arial"/>
        <family val="2"/>
      </rPr>
      <t xml:space="preserve"> of the Act provides for those rates and charges that are to be included in general income, including certain section 501 annual charges.</t>
    </r>
  </si>
  <si>
    <t>Rate peg - first year</t>
  </si>
  <si>
    <r>
      <t xml:space="preserve">Note: PGI estimates for years beyond proposed and/or exisiting SV period shown in </t>
    </r>
    <r>
      <rPr>
        <sz val="9"/>
        <color theme="0" tint="-0.34998626667073579"/>
        <rFont val="Arial"/>
        <family val="2"/>
      </rPr>
      <t xml:space="preserve">light grey </t>
    </r>
    <r>
      <rPr>
        <sz val="9"/>
        <rFont val="Arial"/>
        <family val="2"/>
      </rPr>
      <t>font. PGI beyond a temporary SV period =</t>
    </r>
    <r>
      <rPr>
        <sz val="9"/>
        <color theme="0" tint="-0.34998626667073579"/>
        <rFont val="Arial"/>
        <family val="2"/>
      </rPr>
      <t xml:space="preserve"> 0</t>
    </r>
  </si>
  <si>
    <t>Total</t>
  </si>
  <si>
    <t>increase</t>
  </si>
  <si>
    <t>units</t>
  </si>
  <si>
    <t>PGI with proposed SV</t>
  </si>
  <si>
    <t>Prior year Notional General Income (NGI)</t>
  </si>
  <si>
    <t xml:space="preserve">  less</t>
  </si>
  <si>
    <t>expiry of a prior special variation</t>
  </si>
  <si>
    <t>Adjusted Notional General income</t>
  </si>
  <si>
    <t>rate peg increase</t>
  </si>
  <si>
    <t>Total proposed SV</t>
  </si>
  <si>
    <t>Notional General Income after SV applied</t>
  </si>
  <si>
    <t>other 1st-year adjustments</t>
  </si>
  <si>
    <t>INCREASES IN PERMISSABLE GENERAL INCOME (PGI) OVER PROPOSED SV PERIOD (nominal)</t>
  </si>
  <si>
    <t>Annual % increase in PGI</t>
  </si>
  <si>
    <t>Annual $ increase in PGI</t>
  </si>
  <si>
    <t>Annual $ increase in PGI with proposed SV more than:</t>
  </si>
  <si>
    <t>Cumulative PGI</t>
  </si>
  <si>
    <t>Increase in cumulative PGI with proposed SV that exceeds the increase in the PGI under</t>
  </si>
  <si>
    <t>WORKSHEET 5a</t>
  </si>
  <si>
    <t>IMPACT ON MINIMUM RATES, AVERAGE RATES AND OTHER CHARGES</t>
  </si>
  <si>
    <t xml:space="preserve">    The aim of this sheet is to show the minimum rate increase (if applicable), the average rate increase per sub-category</t>
  </si>
  <si>
    <t xml:space="preserve">    (inclusive of all relevant rates) and the proposed annual charges in each year of the proposed special variation.</t>
  </si>
  <si>
    <t xml:space="preserve">    It also aims to compare average rates with and without the proposed special variation.</t>
  </si>
  <si>
    <t xml:space="preserve">    All ordinary rates and special rates need to be included.</t>
  </si>
  <si>
    <t>Note: rate estimates should reflect expected minimum or average rates, inclusive of any expiring variations.</t>
  </si>
  <si>
    <t xml:space="preserve">    Minimum Rates - with proposed special variation</t>
  </si>
  <si>
    <t xml:space="preserve">   If the council levies minimum rates for any category or sub-category, these rates should be detailed below. </t>
  </si>
  <si>
    <t xml:space="preserve">   A separate minimum rates application is not necessary if the council is applying for a special variation </t>
  </si>
  <si>
    <t xml:space="preserve">   that will have the effect of causing a minimum rate to exceed the statutory limit.</t>
  </si>
  <si>
    <t>Annual and cumulative increases</t>
  </si>
  <si>
    <t>Minimum Rates - with proposed special variation</t>
  </si>
  <si>
    <t>Number of assessments</t>
  </si>
  <si>
    <t>Annual increases (nominal $ per year)</t>
  </si>
  <si>
    <t>Annual increases (%)</t>
  </si>
  <si>
    <t>Cumulative increases (nominal $ per year)</t>
  </si>
  <si>
    <t>Cumulative increases (%)</t>
  </si>
  <si>
    <t>Category</t>
  </si>
  <si>
    <t>Sub-category or Special Rate name</t>
  </si>
  <si>
    <t>Current Minimum Rate</t>
  </si>
  <si>
    <t>Minimum
Rate
Year 1</t>
  </si>
  <si>
    <t>Minimum
Rate
Year 2</t>
  </si>
  <si>
    <t>Minimum
Rate
Year 3</t>
  </si>
  <si>
    <t>Minimum
Rate
Year 4</t>
  </si>
  <si>
    <t>Minimum
Rate
Year 5</t>
  </si>
  <si>
    <t>Minimum
Rate
Year 6</t>
  </si>
  <si>
    <t>Minimum
Rate
Year 7</t>
  </si>
  <si>
    <t>(used to calculate average</t>
  </si>
  <si>
    <t>rates)</t>
  </si>
  <si>
    <t>Average Ordinary and Special Rates - with proposed special variation</t>
  </si>
  <si>
    <t>Current Average Rate</t>
  </si>
  <si>
    <t>Average
Rate
Year 1</t>
  </si>
  <si>
    <t>Average
Rate
Year 2</t>
  </si>
  <si>
    <t>Average
Rate
Year 3</t>
  </si>
  <si>
    <t>Average
Rate
Year 4</t>
  </si>
  <si>
    <t>Average
Rate
Year 5</t>
  </si>
  <si>
    <t>Average
Rate
Year 6</t>
  </si>
  <si>
    <t>Average
Rate
Year 7</t>
  </si>
  <si>
    <t>Average Rates - with proposed special variation</t>
  </si>
  <si>
    <t>Special rate</t>
  </si>
  <si>
    <t>TOTAL AVERAGE</t>
  </si>
  <si>
    <t>Average Ordinary and Special Rates - without proposed special variation (assumed rate peg only)</t>
  </si>
  <si>
    <t xml:space="preserve">Average Rates - without proposed special variation </t>
  </si>
  <si>
    <t>Domestic Waste Management Services - Annual Charge</t>
  </si>
  <si>
    <t>(Enter the current annual charge and the proposed annual charge for each year of the application.)</t>
  </si>
  <si>
    <t>Description</t>
  </si>
  <si>
    <t>Current Average Charge</t>
  </si>
  <si>
    <t>Annual
Charge
Year 1</t>
  </si>
  <si>
    <t>Annual
Charge
Year 2</t>
  </si>
  <si>
    <t>Annual
Charge
Year 3</t>
  </si>
  <si>
    <t>Annual
Charge
Year 4</t>
  </si>
  <si>
    <t>Annual
Charge
Year 5</t>
  </si>
  <si>
    <t>Annual
Charge
Year 6</t>
  </si>
  <si>
    <t>Annual
Charge
Year 7</t>
  </si>
  <si>
    <t>Domestic Waste</t>
  </si>
  <si>
    <t>Water Supply Services - Annual Charge</t>
  </si>
  <si>
    <t>Sewerage Services - Annual Charge</t>
  </si>
  <si>
    <t>Other Annual Charges</t>
  </si>
  <si>
    <t>WORKSHEET 6</t>
  </si>
  <si>
    <t>PROPOSED ADDITIONAL SPECIAL VARIATION INCOME AND EXPENDITURE</t>
  </si>
  <si>
    <t xml:space="preserve">      All dollars in nominal terms</t>
  </si>
  <si>
    <t>This sheet shows how the council proposes to use the additional income from the special variation.</t>
  </si>
  <si>
    <t>For additional SV income in years beyond the period of the proposed special variation, we increase the income after the final year</t>
  </si>
  <si>
    <t>of the variation by the assumed rate peg of 2.5% in each of the future years. i.e. multiply by 1.025 each year.</t>
  </si>
  <si>
    <t>Note: Columns G to P are formatted black if no data are required for a temporary SV. They will also display black before information has been entered regarding the proposed SV (WK 1 - Identification)</t>
  </si>
  <si>
    <t>Is proposed SV permanent or temporary?</t>
  </si>
  <si>
    <t>Duration of proposed SV (years)</t>
  </si>
  <si>
    <t xml:space="preserve">Year </t>
  </si>
  <si>
    <t>No</t>
  </si>
  <si>
    <t>Is the Temporary SV in place in the year?</t>
  </si>
  <si>
    <t>Income</t>
  </si>
  <si>
    <t>Operating balance</t>
  </si>
  <si>
    <t>Change in Operating Balance due to proposed SV</t>
  </si>
  <si>
    <r>
      <t xml:space="preserve">Operating expenses </t>
    </r>
    <r>
      <rPr>
        <b/>
        <sz val="9"/>
        <rFont val="Arial"/>
        <family val="2"/>
      </rPr>
      <t>(including loan interest costs)</t>
    </r>
  </si>
  <si>
    <t>Fund existing service levels (eg, libraries)</t>
  </si>
  <si>
    <t>Fund new/enhanced service levels (eg, sustainability program)</t>
  </si>
  <si>
    <t>Community climate change mitigation and adaptation</t>
  </si>
  <si>
    <t>Enhance Cyber Security maturity</t>
  </si>
  <si>
    <t xml:space="preserve">Track and trail asset management </t>
  </si>
  <si>
    <t>Pennant Hills Town Centre Review</t>
  </si>
  <si>
    <t>Bushfire risk mitigation</t>
  </si>
  <si>
    <t>Bushland Reserve Asset management</t>
  </si>
  <si>
    <t xml:space="preserve">Hello Hornsby </t>
  </si>
  <si>
    <t>Annual total</t>
  </si>
  <si>
    <t>Cumulative totals by year</t>
  </si>
  <si>
    <t>Capital expenditure</t>
  </si>
  <si>
    <t>Renewals:</t>
  </si>
  <si>
    <t>Public Amenities</t>
  </si>
  <si>
    <t>Park amenities renewal and upgrade</t>
  </si>
  <si>
    <t>New assets</t>
  </si>
  <si>
    <t>Track and trail upgrade including accesibility and signage</t>
  </si>
  <si>
    <t>Shared Paths</t>
  </si>
  <si>
    <t>To provide inclusive community centre for all members of the public to access</t>
  </si>
  <si>
    <t>Drainage Improvement Works</t>
  </si>
  <si>
    <t>New and upgraded playspaces</t>
  </si>
  <si>
    <r>
      <t>Other uses of proposed SV income (</t>
    </r>
    <r>
      <rPr>
        <b/>
        <sz val="9"/>
        <rFont val="Arial"/>
        <family val="2"/>
      </rPr>
      <t>eg, loan principal repayments, transfers to reserves)</t>
    </r>
  </si>
  <si>
    <t xml:space="preserve">Total   </t>
  </si>
  <si>
    <t>Total use of proposed SV income</t>
  </si>
  <si>
    <t>Difference between additional SRV income and its uses</t>
  </si>
  <si>
    <t>WORKSHEET 7</t>
  </si>
  <si>
    <t>FINANCIAL INFORMATION</t>
  </si>
  <si>
    <t xml:space="preserve">      All dollars in nominal terms ($'000)</t>
  </si>
  <si>
    <t>This sheet captures the council's historical financial information as reported in its financial statements and forecasts</t>
  </si>
  <si>
    <t>of selected balance sheet items for financial ratios. Please ensure that these figures are for the GENERAL FUND only.</t>
  </si>
  <si>
    <t>Income statement (General fund)</t>
  </si>
  <si>
    <t>$'000 nominal per year</t>
  </si>
  <si>
    <t>Rates and Annual Charges</t>
  </si>
  <si>
    <t>User Charges &amp; Fees</t>
  </si>
  <si>
    <t>Interest and Investment Revenues</t>
  </si>
  <si>
    <t>Other Revenues</t>
  </si>
  <si>
    <t>Grants &amp; Contributions Op purposes</t>
  </si>
  <si>
    <t>Grants &amp; Contributions Capital purposes</t>
  </si>
  <si>
    <t>Net gains asset sales</t>
  </si>
  <si>
    <t>Fair value gains</t>
  </si>
  <si>
    <t>Joint Ventures and Associated Entities</t>
  </si>
  <si>
    <t>Total Income</t>
  </si>
  <si>
    <t>Income excluding Cap. Grants &amp; Contrib.</t>
  </si>
  <si>
    <t>Income excl cap grants &amp; cont.; net gains from asset disposal; profit on joint ventures; and fair value gains</t>
  </si>
  <si>
    <t>Expenses</t>
  </si>
  <si>
    <t>Employee Benefits &amp; On-costs</t>
  </si>
  <si>
    <t>Borrowing Costs (i.e. interest costs)</t>
  </si>
  <si>
    <t>Materials &amp; Contracts</t>
  </si>
  <si>
    <t>Depreciation &amp; Amortisation</t>
  </si>
  <si>
    <t>Impairment</t>
  </si>
  <si>
    <t>Other Expenses</t>
  </si>
  <si>
    <t>Interest &amp; Investment losses</t>
  </si>
  <si>
    <t>Net loss from disposal of assets</t>
  </si>
  <si>
    <t>Fair value losses</t>
  </si>
  <si>
    <t>Total Expenses</t>
  </si>
  <si>
    <t>Expenses excluding investment losses</t>
  </si>
  <si>
    <t>Total expenses continuing operations excl net loss from asset disposals, joint ventures and fair value adjustments</t>
  </si>
  <si>
    <t>Operating result from continuing operations</t>
  </si>
  <si>
    <t>Net operating result before Cap. Grants &amp; Contrib</t>
  </si>
  <si>
    <t>Net operating result before Cap. Grants &amp; Contrib, net gains from asset sales, profit on joint ventures and fair value adjustments</t>
  </si>
  <si>
    <r>
      <t>Operating Performance Ratio</t>
    </r>
    <r>
      <rPr>
        <vertAlign val="superscript"/>
        <sz val="9"/>
        <rFont val="Arial"/>
        <family val="2"/>
      </rPr>
      <t>a</t>
    </r>
  </si>
  <si>
    <t>a. Net Operating Balance (excl Cap. Grants &amp; Contrib. and net gains from asset sales etc) as % income (excl Cap. Grants &amp; Contrib. and net gains from asset sales etc)</t>
  </si>
  <si>
    <t>Borrowing costs and  repayments</t>
  </si>
  <si>
    <t>Source: Cash flow statement (General fund)</t>
  </si>
  <si>
    <t>Borrowing costs</t>
  </si>
  <si>
    <t>Repayment of borrowings and advances</t>
  </si>
  <si>
    <t>Infrastructure asset performance indicators by fund      %</t>
  </si>
  <si>
    <t>Source:</t>
  </si>
  <si>
    <t>Special Schedule 7 (General fund)</t>
  </si>
  <si>
    <t>1. Infrastructure renewals ratio</t>
  </si>
  <si>
    <t>2. Infrastructure backlog ratio</t>
  </si>
  <si>
    <t>3. Asset maintenance ratio</t>
  </si>
  <si>
    <t>Cash and investments (General fund)</t>
  </si>
  <si>
    <t>$'000 nominal</t>
  </si>
  <si>
    <t>Note 6a, 6b, 6c</t>
  </si>
  <si>
    <t>6a - Cash and cash equivalents</t>
  </si>
  <si>
    <t>Cash on hand and at bank</t>
  </si>
  <si>
    <t>Cash-equivalent assets</t>
  </si>
  <si>
    <t>6b - Investments</t>
  </si>
  <si>
    <t>Current</t>
  </si>
  <si>
    <t>Non-current</t>
  </si>
  <si>
    <t>Total cash, cash equivalents, and investments</t>
  </si>
  <si>
    <t>6c Restricted cash, cash equivalents, and investments</t>
  </si>
  <si>
    <t>External restrictions</t>
  </si>
  <si>
    <t>Internal restrictions</t>
  </si>
  <si>
    <t>Unrestricted</t>
  </si>
  <si>
    <t>Balance sheet extract (General fund) - historical and forecasts for SV scenario</t>
  </si>
  <si>
    <t>Sources:</t>
  </si>
  <si>
    <t>Notes to financial statements and Council's Long Term Financial Plan (LTFP)</t>
  </si>
  <si>
    <t>Actual</t>
  </si>
  <si>
    <t>Forecast</t>
  </si>
  <si>
    <t>Assets</t>
  </si>
  <si>
    <t>Cash &amp; Cash Equivalents</t>
  </si>
  <si>
    <t>Receivables</t>
  </si>
  <si>
    <t>Investments</t>
  </si>
  <si>
    <t>Liabilities</t>
  </si>
  <si>
    <t>Payables</t>
  </si>
  <si>
    <t>Borrowing</t>
  </si>
  <si>
    <t>Infrastructure, property and equipment - (General fund) - historical and forecasts for baseline scenario</t>
  </si>
  <si>
    <r>
      <t>Infrastructure, PPE</t>
    </r>
    <r>
      <rPr>
        <b/>
        <vertAlign val="superscript"/>
        <sz val="9"/>
        <rFont val="Arial"/>
        <family val="2"/>
      </rPr>
      <t>a</t>
    </r>
  </si>
  <si>
    <t>Infrastructure, PPE (Gross Carrying Amount)</t>
  </si>
  <si>
    <t>Less: Accumulated depreciation and impairments</t>
  </si>
  <si>
    <t>Infrastructure, PPE (Net Carrying Amount)</t>
  </si>
  <si>
    <t>a. NOTE: Please EXCLUDE capital works in progress &amp; non-depreciable assets (e.g. land and bulk earthworks [non-depreciable] etc.)</t>
  </si>
  <si>
    <r>
      <t>Infrastructure, property and equipment - (General fund) -  forecasts for SV scenario</t>
    </r>
    <r>
      <rPr>
        <b/>
        <vertAlign val="superscript"/>
        <sz val="10"/>
        <rFont val="Arial"/>
        <family val="2"/>
      </rPr>
      <t>b</t>
    </r>
  </si>
  <si>
    <t>Council's Long Term Financial Plan (LTFP)</t>
  </si>
  <si>
    <t>b. NOTE: In a previous version of this spreadsheet, prior to a 9 November 2022 update this table was incorrectly labelled as  "Infrastructure, property and equipment - (General fund) - historical and forecasts for baseline scenario".</t>
  </si>
  <si>
    <r>
      <t>Net cash flows from operating activities (General fund)</t>
    </r>
    <r>
      <rPr>
        <b/>
        <vertAlign val="superscript"/>
        <sz val="11"/>
        <rFont val="Arial"/>
        <family val="2"/>
      </rPr>
      <t>a</t>
    </r>
  </si>
  <si>
    <t>Cash flow statement and Council's Long Term Financial Plan (LTFP)</t>
  </si>
  <si>
    <t>Net Cash flows from operating activities (baseline scenario)</t>
  </si>
  <si>
    <t>Net Cash flows from operating activities (SV scenario)</t>
  </si>
  <si>
    <t>a. NOTE: This table splits net cash flows from operating activities into baseline and SV scenarios. A version of this spreadsheet, prior to a 9 November 2022 update did not make this distinction.</t>
  </si>
  <si>
    <t>WORKSHEET 8</t>
  </si>
  <si>
    <t>LONG TERM FINANCIAL PLAN - SV SCENARIO AND BASE CASE</t>
  </si>
  <si>
    <t xml:space="preserve">This sheet shows how the council's Long Term Financial Plan reflects the impact of the proposed special variation versus its base case (no special variation).  </t>
  </si>
  <si>
    <r>
      <rPr>
        <b/>
        <sz val="9"/>
        <rFont val="Arial"/>
        <family val="2"/>
      </rPr>
      <t xml:space="preserve">Enter the figures from the most recent Long Term Financial Plan over 10 years </t>
    </r>
    <r>
      <rPr>
        <sz val="9"/>
        <rFont val="Arial"/>
        <family val="2"/>
      </rPr>
      <t>under each of the headings as relevant.  Add rows if necessary.</t>
    </r>
  </si>
  <si>
    <r>
      <t xml:space="preserve">In the last table, please </t>
    </r>
    <r>
      <rPr>
        <b/>
        <sz val="9"/>
        <rFont val="Arial"/>
        <family val="2"/>
      </rPr>
      <t>enter the key assumptions relating to the Long Term Financial Plan</t>
    </r>
    <r>
      <rPr>
        <sz val="9"/>
        <rFont val="Arial"/>
        <family val="2"/>
      </rPr>
      <t>. Please ensure that these figures match the latest version</t>
    </r>
  </si>
  <si>
    <t>of the Long Term Financial Plan provided with the application and that these figures are for the GENERAL FUND ONLY.</t>
  </si>
  <si>
    <t>SCENARIO 1: Proposed additional SV income and expenditure</t>
  </si>
  <si>
    <t>Sum of 10 years</t>
  </si>
  <si>
    <t xml:space="preserve">  Change over 10 years</t>
  </si>
  <si>
    <t>Income from continuing operations</t>
  </si>
  <si>
    <t>Revenue:</t>
  </si>
  <si>
    <t>Rates &amp; Annual Charges</t>
  </si>
  <si>
    <t>Interest &amp; Investment Revenue</t>
  </si>
  <si>
    <t>Grants &amp; Contributions Op Purposes</t>
  </si>
  <si>
    <t>Grants &amp; Contributions Capital Purposes</t>
  </si>
  <si>
    <t>&lt;include additional items here&gt;</t>
  </si>
  <si>
    <t>Other Income (items excluded from ratio analyis)</t>
  </si>
  <si>
    <t>Net share of profit  on joint ventures</t>
  </si>
  <si>
    <t>Net gains from disposal of assets</t>
  </si>
  <si>
    <t>Total Income Continuing Operations</t>
  </si>
  <si>
    <t>Income excluding capital grants and contributions</t>
  </si>
  <si>
    <t>Income excluding capital grants and contributions, net gains from asset disposals, profit on joint ventures and fair value gains</t>
  </si>
  <si>
    <t>Expenses from continuing operations</t>
  </si>
  <si>
    <r>
      <t xml:space="preserve">Other Expenses </t>
    </r>
    <r>
      <rPr>
        <sz val="9"/>
        <rFont val="Arial"/>
        <family val="2"/>
      </rPr>
      <t>(items excluded from ratio analyis)</t>
    </r>
  </si>
  <si>
    <t>Net loss on joint ventures</t>
  </si>
  <si>
    <t>Total expenses continuing operations</t>
  </si>
  <si>
    <t>Total expenses continuing operations excluding net loss from asset disposals, joint ventures and fair value losses</t>
  </si>
  <si>
    <t>Operating results</t>
  </si>
  <si>
    <t>Net operating result before capital grants &amp; contributions</t>
  </si>
  <si>
    <t>Net operating result before capital grants &amp; contributions, gains/losses on asset disposals, gains/losses on joint ventures and fair value adjustments</t>
  </si>
  <si>
    <t>Increase in rates and annual charges</t>
  </si>
  <si>
    <t>$ Increase in rates and annual charges</t>
  </si>
  <si>
    <t>% Increase in rates and annual charges</t>
  </si>
  <si>
    <t>SCENARIO 2: Base case -  no SV income or expenditure</t>
  </si>
  <si>
    <t xml:space="preserve">SCENARIO 3: Hybrid case  - SV expenditure but no SV income </t>
  </si>
  <si>
    <t>Difference between Scenario 1 (with proposed SV income and expenditure) and Scenario 2 (base case - no SV income or expenditure)</t>
  </si>
  <si>
    <t>Key assumptions</t>
  </si>
  <si>
    <t>(please enter assumed % figure for each year)</t>
  </si>
  <si>
    <t>Growth in labour costs</t>
  </si>
  <si>
    <t>Scenario 1: Proposed (with SV)</t>
  </si>
  <si>
    <t>% pa</t>
  </si>
  <si>
    <t>Scenario 2 - Base case (no SV)</t>
  </si>
  <si>
    <t>Growth in employee numbers</t>
  </si>
  <si>
    <t>Growth in assessment numbers</t>
  </si>
  <si>
    <t>Inflation rate applied to Materials &amp; Contracts</t>
  </si>
  <si>
    <t>Planned operating cost savings</t>
  </si>
  <si>
    <t>WORKSHEET 9</t>
  </si>
  <si>
    <t>FINANCIAL RATIOS</t>
  </si>
  <si>
    <t>This worksheet captures financial ratios for five historical years as well as the current and forecast years (0 to 10)</t>
  </si>
  <si>
    <t>The historical ratios are calculated from information provided in Worksheet 7 and two of the forecast ratios are calculated from information entered in Worksheet 8.</t>
  </si>
  <si>
    <t>Please enter the forecast financial ratios in the blue input cells</t>
  </si>
  <si>
    <t xml:space="preserve">Enter the two optional ratios (Asset Maintenance Ratio and Debt Service Ratio) only if they are relevant to your Council's application, otherwise leave blank. </t>
  </si>
  <si>
    <t>Historical ratios</t>
  </si>
  <si>
    <t>Forecast ratios</t>
  </si>
  <si>
    <t>Criteria and measure</t>
  </si>
  <si>
    <t>Definition</t>
  </si>
  <si>
    <t>Scenario</t>
  </si>
  <si>
    <t>1. Sustainability</t>
  </si>
  <si>
    <t>https://yourcouncil.nsw.gov.au/nsw-overview/finances/</t>
  </si>
  <si>
    <t>Operating Performance Ratio</t>
  </si>
  <si>
    <t>Net continuing operating result</t>
  </si>
  <si>
    <t xml:space="preserve">The ratio is calculated by total continuing operating revenue (excludes fair value adjustments, </t>
  </si>
  <si>
    <t>(excl capital grants and contributions)</t>
  </si>
  <si>
    <t>net gain/loss on sale of assets, net share/loss on joint ventures) excluding capital grants and</t>
  </si>
  <si>
    <t>Total continuing operating revenue</t>
  </si>
  <si>
    <t xml:space="preserve"> contributions, less operating expenses, divided by total continuing operating revenue </t>
  </si>
  <si>
    <t>(excl. capital grants and contributions)</t>
  </si>
  <si>
    <r>
      <t>Scenario 3: Hybrid case</t>
    </r>
    <r>
      <rPr>
        <vertAlign val="superscript"/>
        <sz val="9"/>
        <rFont val="Arial"/>
        <family val="2"/>
      </rPr>
      <t>a</t>
    </r>
  </si>
  <si>
    <t>(excluding capital grants and contributions).</t>
  </si>
  <si>
    <t>Own Source Revenue Ratio</t>
  </si>
  <si>
    <t xml:space="preserve">The ratio is calculated by total continuing operating revenue (excludes fair value adjustments, </t>
  </si>
  <si>
    <t>(excl all grants and contributions)</t>
  </si>
  <si>
    <t xml:space="preserve">net gain/loss on sale of assets, net share/loss on joint ventures) less all grants and contributions </t>
  </si>
  <si>
    <t xml:space="preserve">divided by total continuing operating revenue (excludes fair value adjustments, net gain/loss on sale </t>
  </si>
  <si>
    <t>(incl. capital grants and contributions)</t>
  </si>
  <si>
    <t>of assets, net share/loss on joint ventures) inclusive of capital grants and contributions.</t>
  </si>
  <si>
    <t>Please enter forecast ratios</t>
  </si>
  <si>
    <t>https://www.yourcouncil.nsw.gov.au/wp-content/uploads/2021/09/Your-Council-2019-20-Data-Definitions-and-Source.pdf</t>
  </si>
  <si>
    <t>Infrastructure Renewals Ratio</t>
  </si>
  <si>
    <t>Asset renewals (building and infrastructure)</t>
  </si>
  <si>
    <t xml:space="preserve">Calculated by asset renewals (infrastructure, buildings and other structures) divided by depreciation, </t>
  </si>
  <si>
    <t>Depreciation, amortisation and impairment</t>
  </si>
  <si>
    <t xml:space="preserve">impairment, amortisation of infrastructure, buildings, other structures. </t>
  </si>
  <si>
    <t>(building and infrastructure)</t>
  </si>
  <si>
    <t>2. Effective infrastructure and service management</t>
  </si>
  <si>
    <t>Infrastructure Backlog Ratio</t>
  </si>
  <si>
    <t>Estimated cost to bring assets to satisfactory condition</t>
  </si>
  <si>
    <t xml:space="preserve">Calculated by using estimated cost to bring assets (infrastructure, buildings, other structures) to </t>
  </si>
  <si>
    <r>
      <t>Total (WDV)</t>
    </r>
    <r>
      <rPr>
        <vertAlign val="superscript"/>
        <sz val="9"/>
        <rFont val="Arial"/>
        <family val="2"/>
      </rPr>
      <t>b</t>
    </r>
    <r>
      <rPr>
        <sz val="9"/>
        <rFont val="Arial"/>
        <family val="2"/>
      </rPr>
      <t xml:space="preserve"> of infrastructure, buildings, other</t>
    </r>
  </si>
  <si>
    <t xml:space="preserve">a satisfactory condition divided by total written down value of infrastructure, buildings, other </t>
  </si>
  <si>
    <t xml:space="preserve">  structures, depreciable land, and improvement assets</t>
  </si>
  <si>
    <t>structures and depreciable land improvement assets.</t>
  </si>
  <si>
    <t>Asset Maintenance Ratio</t>
  </si>
  <si>
    <t>Optional: Enter forecast ratios only if they are relevant to your council's application. Otherwise leave blank</t>
  </si>
  <si>
    <t>Actual asset maintenance</t>
  </si>
  <si>
    <t>Required asset maintenance</t>
  </si>
  <si>
    <t>Debt Service Ratio</t>
  </si>
  <si>
    <t>Cost of debt service</t>
  </si>
  <si>
    <t>(interest expense and principal repayments)</t>
  </si>
  <si>
    <t>3. Financial data underlying the ratios</t>
  </si>
  <si>
    <t>Depreciation, amortisation and impairment (building and infrastructure)</t>
  </si>
  <si>
    <r>
      <t>Total (WDV)</t>
    </r>
    <r>
      <rPr>
        <vertAlign val="superscript"/>
        <sz val="9"/>
        <rFont val="Arial"/>
        <family val="2"/>
      </rPr>
      <t>b</t>
    </r>
    <r>
      <rPr>
        <sz val="9"/>
        <rFont val="Arial"/>
        <family val="2"/>
      </rPr>
      <t xml:space="preserve"> of infrastructure, buildings, other  structures, depreciable land, and improvement assets</t>
    </r>
  </si>
  <si>
    <t>Notes:</t>
  </si>
  <si>
    <t>a</t>
  </si>
  <si>
    <t>b</t>
  </si>
  <si>
    <t>WDV = written down value</t>
  </si>
  <si>
    <t>Hornsby Park recurrent operations and maintenance</t>
  </si>
  <si>
    <t>Hornsby Park asset renewals</t>
  </si>
  <si>
    <t>Asset management funding gap</t>
  </si>
  <si>
    <t xml:space="preserve">Asset management funding gap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</si>
</sst>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41" formatCode="_-* #,##0_-;\-* #,##0_-;_-* &quot;-&quot;_-;_-@_-"/>
    <numFmt numFmtId="43" formatCode="_-* #,##0.00_-;\-* #,##0.00_-;_-* &quot;-&quot;??_-;_-@_-"/>
    <numFmt numFmtId="164" formatCode="0.0%"/>
    <numFmt numFmtId="165" formatCode="_(* #,##0.00_);_(* \(#,##0.00\);_(* &quot;-&quot;_);_(@_)"/>
    <numFmt numFmtId="166" formatCode="_(* #,##0_);_(* \(#,##0\);_(* &quot;-&quot;??_);_(@_)"/>
    <numFmt numFmtId="167" formatCode="_(* #,##0_);_(* \(#,##0\);_(* &quot;&quot;??_);_(@_)"/>
    <numFmt numFmtId="168" formatCode="_-* #,##0_-;\-* #,##0_-;_-* &quot;-&quot;??_-;_-@_-"/>
    <numFmt numFmtId="169" formatCode="#,##0.0"/>
    <numFmt numFmtId="170" formatCode="#,##0;;&quot;&quot;"/>
    <numFmt numFmtId="171" formatCode="#,##0.0000"/>
    <numFmt numFmtId="172" formatCode="#,##0.000"/>
  </numFmts>
  <fonts count="78" x14ac:knownFonts="1">
    <font>
      <sz val="9"/>
      <name val="Arial"/>
      <family val="2"/>
    </font>
    <font>
      <sz val="9"/>
      <name val="Arial"/>
      <family val="2"/>
    </font>
    <font>
      <sz val="9"/>
      <name val="Arial"/>
      <family val="2"/>
    </font>
    <font>
      <sz val="8"/>
      <name val="Arial Narrow"/>
      <family val="2"/>
    </font>
    <font>
      <sz val="10"/>
      <name val="Arial"/>
      <family val="2"/>
    </font>
    <font>
      <b/>
      <sz val="10"/>
      <name val="Arial"/>
      <family val="2"/>
    </font>
    <font>
      <b/>
      <sz val="14"/>
      <name val="Arial"/>
      <family val="2"/>
    </font>
    <font>
      <b/>
      <sz val="12"/>
      <color indexed="10"/>
      <name val="Arial"/>
      <family val="2"/>
    </font>
    <font>
      <b/>
      <sz val="12"/>
      <name val="Arial"/>
      <family val="2"/>
    </font>
    <font>
      <sz val="10"/>
      <name val="Arial"/>
      <family val="2"/>
    </font>
    <font>
      <b/>
      <sz val="10"/>
      <color indexed="57"/>
      <name val="Arial"/>
      <family val="2"/>
    </font>
    <font>
      <sz val="10"/>
      <color indexed="12"/>
      <name val="Arial"/>
      <family val="2"/>
    </font>
    <font>
      <sz val="9"/>
      <color indexed="14"/>
      <name val="Arial"/>
      <family val="2"/>
    </font>
    <font>
      <sz val="9"/>
      <color indexed="10"/>
      <name val="Arial"/>
      <family val="2"/>
    </font>
    <font>
      <b/>
      <sz val="9"/>
      <color indexed="9"/>
      <name val="Arial"/>
      <family val="2"/>
    </font>
    <font>
      <u/>
      <sz val="9"/>
      <color indexed="12"/>
      <name val="Arial"/>
      <family val="2"/>
    </font>
    <font>
      <sz val="8"/>
      <name val="Arial"/>
      <family val="2"/>
    </font>
    <font>
      <sz val="14"/>
      <name val="Arial"/>
      <family val="2"/>
    </font>
    <font>
      <sz val="12"/>
      <name val="Arial"/>
      <family val="2"/>
    </font>
    <font>
      <b/>
      <u/>
      <sz val="12"/>
      <name val="Arial"/>
      <family val="2"/>
    </font>
    <font>
      <b/>
      <sz val="12"/>
      <color indexed="39"/>
      <name val="Arial"/>
      <family val="2"/>
    </font>
    <font>
      <b/>
      <u/>
      <sz val="10"/>
      <name val="Arial"/>
      <family val="2"/>
    </font>
    <font>
      <b/>
      <sz val="11"/>
      <name val="Arial"/>
      <family val="2"/>
    </font>
    <font>
      <b/>
      <u/>
      <sz val="18"/>
      <name val="Arial"/>
      <family val="2"/>
    </font>
    <font>
      <b/>
      <sz val="8"/>
      <name val="Arial"/>
      <family val="2"/>
    </font>
    <font>
      <sz val="16"/>
      <name val="Arial"/>
      <family val="2"/>
    </font>
    <font>
      <sz val="11"/>
      <name val="Arial"/>
      <family val="2"/>
    </font>
    <font>
      <sz val="9"/>
      <name val="Arial"/>
      <family val="2"/>
    </font>
    <font>
      <b/>
      <sz val="9"/>
      <name val="Arial"/>
      <family val="2"/>
    </font>
    <font>
      <b/>
      <u/>
      <sz val="9"/>
      <name val="Arial"/>
      <family val="2"/>
    </font>
    <font>
      <u/>
      <sz val="9"/>
      <name val="Arial"/>
      <family val="2"/>
    </font>
    <font>
      <i/>
      <sz val="11"/>
      <name val="Arial"/>
      <family val="2"/>
    </font>
    <font>
      <b/>
      <sz val="15"/>
      <name val="Arial"/>
      <family val="2"/>
    </font>
    <font>
      <sz val="9"/>
      <color indexed="81"/>
      <name val="Tahoma"/>
      <family val="2"/>
    </font>
    <font>
      <b/>
      <sz val="9"/>
      <color indexed="81"/>
      <name val="Tahoma"/>
      <family val="2"/>
    </font>
    <font>
      <b/>
      <sz val="18"/>
      <color theme="3"/>
      <name val="Cambria"/>
      <family val="2"/>
      <scheme val="major"/>
    </font>
    <font>
      <sz val="9"/>
      <color rgb="FFFF0000"/>
      <name val="Arial"/>
      <family val="2"/>
    </font>
    <font>
      <b/>
      <sz val="15"/>
      <color rgb="FFFF0000"/>
      <name val="Arial"/>
      <family val="2"/>
    </font>
    <font>
      <sz val="10"/>
      <name val="Arial Narrow"/>
      <family val="2"/>
    </font>
    <font>
      <b/>
      <sz val="10"/>
      <color indexed="10"/>
      <name val="Arial"/>
      <family val="2"/>
    </font>
    <font>
      <b/>
      <sz val="9"/>
      <color indexed="57"/>
      <name val="Arial"/>
      <family val="2"/>
    </font>
    <font>
      <sz val="8"/>
      <color indexed="14"/>
      <name val="Arial"/>
      <family val="2"/>
    </font>
    <font>
      <b/>
      <sz val="9"/>
      <color rgb="FFFF0000"/>
      <name val="Arial"/>
      <family val="2"/>
    </font>
    <font>
      <i/>
      <sz val="9"/>
      <name val="Arial"/>
      <family val="2"/>
    </font>
    <font>
      <i/>
      <sz val="9"/>
      <color rgb="FFFF0000"/>
      <name val="Arial"/>
      <family val="2"/>
    </font>
    <font>
      <sz val="9"/>
      <color indexed="12"/>
      <name val="Arial"/>
      <family val="2"/>
    </font>
    <font>
      <b/>
      <sz val="10"/>
      <color indexed="9"/>
      <name val="Arial"/>
      <family val="2"/>
    </font>
    <font>
      <b/>
      <sz val="9"/>
      <color indexed="18"/>
      <name val="Arial"/>
      <family val="2"/>
    </font>
    <font>
      <sz val="9"/>
      <color theme="0" tint="-0.34998626667073579"/>
      <name val="Arial"/>
      <family val="2"/>
    </font>
    <font>
      <b/>
      <u/>
      <sz val="11"/>
      <name val="Arial"/>
      <family val="2"/>
    </font>
    <font>
      <sz val="8"/>
      <color theme="0" tint="-0.34998626667073579"/>
      <name val="Arial"/>
      <family val="2"/>
    </font>
    <font>
      <b/>
      <sz val="9"/>
      <color indexed="39"/>
      <name val="Arial"/>
      <family val="2"/>
    </font>
    <font>
      <sz val="9"/>
      <color indexed="18"/>
      <name val="Arial"/>
      <family val="2"/>
    </font>
    <font>
      <b/>
      <sz val="9"/>
      <color indexed="10"/>
      <name val="Arial"/>
      <family val="2"/>
    </font>
    <font>
      <b/>
      <sz val="9"/>
      <color theme="1"/>
      <name val="Arial"/>
      <family val="2"/>
    </font>
    <font>
      <b/>
      <sz val="9"/>
      <color theme="9" tint="-0.499984740745262"/>
      <name val="Arial"/>
      <family val="2"/>
    </font>
    <font>
      <b/>
      <i/>
      <sz val="9"/>
      <color theme="9" tint="-0.499984740745262"/>
      <name val="Arial"/>
      <family val="2"/>
    </font>
    <font>
      <sz val="9"/>
      <color theme="0" tint="-0.499984740745262"/>
      <name val="Arial"/>
      <family val="2"/>
    </font>
    <font>
      <i/>
      <sz val="9"/>
      <color theme="9" tint="-0.499984740745262"/>
      <name val="Arial"/>
      <family val="2"/>
    </font>
    <font>
      <i/>
      <sz val="9"/>
      <color indexed="18"/>
      <name val="Arial"/>
      <family val="2"/>
    </font>
    <font>
      <b/>
      <i/>
      <sz val="9"/>
      <name val="Arial"/>
      <family val="2"/>
    </font>
    <font>
      <sz val="9"/>
      <color theme="9" tint="-0.499984740745262"/>
      <name val="Arial"/>
      <family val="2"/>
    </font>
    <font>
      <vertAlign val="superscript"/>
      <sz val="9"/>
      <name val="Arial"/>
      <family val="2"/>
    </font>
    <font>
      <b/>
      <sz val="9"/>
      <color theme="0" tint="-0.499984740745262"/>
      <name val="Arial"/>
      <family val="2"/>
    </font>
    <font>
      <b/>
      <sz val="9"/>
      <color theme="0" tint="-0.34998626667073579"/>
      <name val="Arial"/>
      <family val="2"/>
    </font>
    <font>
      <sz val="9"/>
      <color rgb="FF0000FF"/>
      <name val="Arial"/>
      <family val="2"/>
    </font>
    <font>
      <b/>
      <i/>
      <sz val="9"/>
      <color rgb="FFFF0000"/>
      <name val="Arial"/>
      <family val="2"/>
    </font>
    <font>
      <b/>
      <sz val="9"/>
      <color indexed="12"/>
      <name val="Arial"/>
      <family val="2"/>
    </font>
    <font>
      <i/>
      <sz val="8"/>
      <color indexed="12"/>
      <name val="Arial"/>
      <family val="2"/>
    </font>
    <font>
      <sz val="18"/>
      <name val="Arial"/>
      <family val="2"/>
    </font>
    <font>
      <sz val="9"/>
      <color theme="8" tint="-0.249977111117893"/>
      <name val="Arial"/>
      <family val="2"/>
    </font>
    <font>
      <sz val="9"/>
      <color theme="4"/>
      <name val="Arial"/>
      <family val="2"/>
    </font>
    <font>
      <sz val="9"/>
      <color theme="4" tint="0.249977111117893"/>
      <name val="Arial"/>
      <family val="2"/>
    </font>
    <font>
      <sz val="10"/>
      <color theme="4"/>
      <name val="Arial"/>
      <family val="2"/>
    </font>
    <font>
      <b/>
      <vertAlign val="superscript"/>
      <sz val="9"/>
      <name val="Arial"/>
      <family val="2"/>
    </font>
    <font>
      <b/>
      <vertAlign val="superscript"/>
      <sz val="10"/>
      <name val="Arial"/>
      <family val="2"/>
    </font>
    <font>
      <b/>
      <vertAlign val="superscript"/>
      <sz val="11"/>
      <name val="Arial"/>
      <family val="2"/>
    </font>
    <font>
      <sz val="8"/>
      <color rgb="FF000000"/>
      <name val="Tahoma"/>
      <family val="2"/>
    </font>
  </fonts>
  <fills count="22">
    <fill>
      <patternFill patternType="none"/>
    </fill>
    <fill>
      <patternFill patternType="gray125"/>
    </fill>
    <fill>
      <patternFill patternType="lightGray">
        <fgColor indexed="13"/>
      </patternFill>
    </fill>
    <fill>
      <patternFill patternType="solid">
        <fgColor indexed="41"/>
        <bgColor indexed="64"/>
      </patternFill>
    </fill>
    <fill>
      <patternFill patternType="solid">
        <fgColor indexed="44"/>
        <bgColor indexed="64"/>
      </patternFill>
    </fill>
    <fill>
      <patternFill patternType="solid">
        <fgColor indexed="18"/>
        <bgColor indexed="64"/>
      </patternFill>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indexed="8"/>
        <bgColor indexed="64"/>
      </patternFill>
    </fill>
    <fill>
      <patternFill patternType="solid">
        <fgColor theme="0"/>
        <bgColor rgb="FFFF00FF"/>
      </patternFill>
    </fill>
    <fill>
      <patternFill patternType="solid">
        <fgColor theme="0"/>
        <bgColor rgb="FF00FFFF"/>
      </patternFill>
    </fill>
    <fill>
      <patternFill patternType="solid">
        <fgColor indexed="44"/>
        <bgColor rgb="FF00FFFF"/>
      </patternFill>
    </fill>
    <fill>
      <patternFill patternType="solid">
        <fgColor theme="0" tint="-0.14999847407452621"/>
        <bgColor rgb="FF00FFFF"/>
      </patternFill>
    </fill>
    <fill>
      <patternFill patternType="solid">
        <fgColor theme="0"/>
        <bgColor indexed="8"/>
      </patternFill>
    </fill>
    <fill>
      <patternFill patternType="solid">
        <fgColor indexed="18"/>
        <bgColor rgb="FF00FFFF"/>
      </patternFill>
    </fill>
    <fill>
      <patternFill patternType="solid">
        <fgColor theme="0" tint="-4.9989318521683403E-2"/>
        <bgColor rgb="FF00FFFF"/>
      </patternFill>
    </fill>
    <fill>
      <patternFill patternType="solid">
        <fgColor rgb="FFFFFFFF"/>
        <bgColor rgb="FF00FFFF"/>
      </patternFill>
    </fill>
    <fill>
      <patternFill patternType="solid">
        <fgColor rgb="FFFFFFFF"/>
        <bgColor rgb="FF000000"/>
      </patternFill>
    </fill>
    <fill>
      <patternFill patternType="solid">
        <fgColor rgb="FF92D050"/>
        <bgColor indexed="64"/>
      </patternFill>
    </fill>
    <fill>
      <patternFill patternType="solid">
        <fgColor theme="7" tint="0.79998168889431442"/>
        <bgColor indexed="64"/>
      </patternFill>
    </fill>
  </fills>
  <borders count="12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right style="double">
        <color indexed="10"/>
      </right>
      <top/>
      <bottom style="medium">
        <color indexed="64"/>
      </bottom>
      <diagonal/>
    </border>
    <border>
      <left style="double">
        <color indexed="10"/>
      </left>
      <right/>
      <top/>
      <bottom style="medium">
        <color indexed="64"/>
      </bottom>
      <diagonal/>
    </border>
    <border>
      <left/>
      <right style="double">
        <color rgb="FFFF0000"/>
      </right>
      <top/>
      <bottom/>
      <diagonal/>
    </border>
    <border>
      <left style="hair">
        <color indexed="64"/>
      </left>
      <right/>
      <top style="thin">
        <color indexed="64"/>
      </top>
      <bottom/>
      <diagonal/>
    </border>
    <border>
      <left style="hair">
        <color indexed="64"/>
      </left>
      <right/>
      <top/>
      <bottom/>
      <diagonal/>
    </border>
    <border>
      <left/>
      <right/>
      <top style="medium">
        <color theme="0" tint="-0.34998626667073579"/>
      </top>
      <bottom/>
      <diagonal/>
    </border>
    <border>
      <left/>
      <right/>
      <top/>
      <bottom style="medium">
        <color theme="0" tint="-0.34998626667073579"/>
      </bottom>
      <diagonal/>
    </border>
    <border>
      <left/>
      <right/>
      <top/>
      <bottom style="thin">
        <color theme="0" tint="-0.34998626667073579"/>
      </bottom>
      <diagonal/>
    </border>
    <border>
      <left/>
      <right/>
      <top style="thin">
        <color theme="0" tint="-0.34998626667073579"/>
      </top>
      <bottom/>
      <diagonal/>
    </border>
    <border>
      <left/>
      <right/>
      <top/>
      <bottom style="thin">
        <color theme="0" tint="-0.499984740745262"/>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bottom style="thin">
        <color indexed="64"/>
      </bottom>
      <diagonal/>
    </border>
    <border>
      <left/>
      <right style="medium">
        <color theme="0" tint="-0.34998626667073579"/>
      </right>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thin">
        <color indexed="64"/>
      </top>
      <bottom/>
      <diagonal/>
    </border>
    <border>
      <left style="thin">
        <color indexed="64"/>
      </left>
      <right style="double">
        <color rgb="FFFF0000"/>
      </right>
      <top style="thin">
        <color indexed="64"/>
      </top>
      <bottom style="thin">
        <color indexed="64"/>
      </bottom>
      <diagonal/>
    </border>
    <border>
      <left style="thin">
        <color indexed="64"/>
      </left>
      <right/>
      <top/>
      <bottom style="double">
        <color rgb="FFFF0000"/>
      </bottom>
      <diagonal/>
    </border>
    <border>
      <left/>
      <right style="thin">
        <color indexed="64"/>
      </right>
      <top/>
      <bottom style="double">
        <color rgb="FFFF0000"/>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theme="0" tint="-0.499984740745262"/>
      </top>
      <bottom/>
      <diagonal/>
    </border>
    <border>
      <left/>
      <right style="double">
        <color rgb="FFFF0000"/>
      </right>
      <top style="thin">
        <color theme="0" tint="-0.34998626667073579"/>
      </top>
      <bottom style="double">
        <color theme="0" tint="-0.34998626667073579"/>
      </bottom>
      <diagonal/>
    </border>
    <border>
      <left/>
      <right/>
      <top style="thin">
        <color theme="0" tint="-0.34998626667073579"/>
      </top>
      <bottom style="double">
        <color theme="0" tint="-0.34998626667073579"/>
      </bottom>
      <diagonal/>
    </border>
    <border>
      <left style="double">
        <color rgb="FFFF0000"/>
      </left>
      <right/>
      <top/>
      <bottom style="double">
        <color rgb="FFFF0000"/>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hair">
        <color indexed="64"/>
      </left>
      <right/>
      <top/>
      <bottom style="thin">
        <color indexed="64"/>
      </bottom>
      <diagonal/>
    </border>
    <border>
      <left style="double">
        <color rgb="FFFF0000"/>
      </left>
      <right style="thin">
        <color indexed="64"/>
      </right>
      <top style="thin">
        <color indexed="64"/>
      </top>
      <bottom style="thin">
        <color indexed="64"/>
      </bottom>
      <diagonal/>
    </border>
    <border>
      <left/>
      <right/>
      <top style="thin">
        <color auto="1"/>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style="double">
        <color rgb="FFFF0000"/>
      </right>
      <top style="thin">
        <color indexed="64"/>
      </top>
      <bottom style="double">
        <color indexed="64"/>
      </bottom>
      <diagonal/>
    </border>
    <border>
      <left/>
      <right style="thin">
        <color theme="0" tint="-0.24994659260841701"/>
      </right>
      <top style="medium">
        <color theme="0" tint="-0.34998626667073579"/>
      </top>
      <bottom/>
      <diagonal/>
    </border>
    <border>
      <left style="thin">
        <color theme="0" tint="-0.34998626667073579"/>
      </left>
      <right/>
      <top/>
      <bottom style="medium">
        <color theme="0" tint="-0.34998626667073579"/>
      </bottom>
      <diagonal/>
    </border>
    <border>
      <left/>
      <right style="thin">
        <color indexed="64"/>
      </right>
      <top style="thin">
        <color auto="1"/>
      </top>
      <bottom/>
      <diagonal/>
    </border>
    <border>
      <left style="thin">
        <color theme="0" tint="-0.34998626667073579"/>
      </left>
      <right/>
      <top style="medium">
        <color theme="0" tint="-0.34998626667073579"/>
      </top>
      <bottom/>
      <diagonal/>
    </border>
    <border>
      <left style="thin">
        <color theme="0" tint="-0.34998626667073579"/>
      </left>
      <right/>
      <top/>
      <bottom style="thin">
        <color theme="0" tint="-0.499984740745262"/>
      </bottom>
      <diagonal/>
    </border>
    <border>
      <left style="medium">
        <color theme="0" tint="-0.34998626667073579"/>
      </left>
      <right/>
      <top style="hair">
        <color theme="0" tint="-0.34998626667073579"/>
      </top>
      <bottom/>
      <diagonal/>
    </border>
    <border>
      <left style="medium">
        <color theme="0" tint="-0.34998626667073579"/>
      </left>
      <right/>
      <top/>
      <bottom style="hair">
        <color theme="0" tint="-0.34998626667073579"/>
      </bottom>
      <diagonal/>
    </border>
    <border>
      <left/>
      <right style="medium">
        <color theme="0" tint="-0.34998626667073579"/>
      </right>
      <top style="thin">
        <color theme="0" tint="-0.34998626667073579"/>
      </top>
      <bottom/>
      <diagonal/>
    </border>
    <border>
      <left/>
      <right style="medium">
        <color theme="0" tint="-0.34998626667073579"/>
      </right>
      <top/>
      <bottom style="thin">
        <color theme="0" tint="-0.34998626667073579"/>
      </bottom>
      <diagonal/>
    </border>
    <border>
      <left style="thin">
        <color indexed="64"/>
      </left>
      <right/>
      <top/>
      <bottom style="thin">
        <color theme="0" tint="-0.34998626667073579"/>
      </bottom>
      <diagonal/>
    </border>
    <border>
      <left/>
      <right style="thin">
        <color indexed="64"/>
      </right>
      <top/>
      <bottom style="thin">
        <color theme="0" tint="-0.34998626667073579"/>
      </bottom>
      <diagonal/>
    </border>
    <border>
      <left/>
      <right style="thin">
        <color indexed="64"/>
      </right>
      <top style="double">
        <color rgb="FFFF0000"/>
      </top>
      <bottom style="double">
        <color rgb="FFFF0000"/>
      </bottom>
      <diagonal/>
    </border>
    <border>
      <left/>
      <right/>
      <top style="double">
        <color rgb="FFFF0000"/>
      </top>
      <bottom style="double">
        <color rgb="FFFF0000"/>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uble">
        <color rgb="FFFF0000"/>
      </top>
      <bottom style="double">
        <color rgb="FFFF0000"/>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theme="0" tint="-0.24994659260841701"/>
      </right>
      <top/>
      <bottom/>
      <diagonal/>
    </border>
    <border>
      <left/>
      <right/>
      <top/>
      <bottom style="double">
        <color rgb="FFFF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double">
        <color rgb="FFFF0000"/>
      </left>
      <right/>
      <top/>
      <bottom/>
      <diagonal/>
    </border>
    <border>
      <left style="medium">
        <color theme="0" tint="-0.34998626667073579"/>
      </left>
      <right style="thin">
        <color indexed="64"/>
      </right>
      <top/>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style="thin">
        <color indexed="64"/>
      </top>
      <bottom/>
      <diagonal/>
    </border>
    <border>
      <left/>
      <right style="medium">
        <color rgb="FFFF0000"/>
      </right>
      <top style="thin">
        <color auto="1"/>
      </top>
      <bottom/>
      <diagonal/>
    </border>
    <border>
      <left style="medium">
        <color rgb="FFFF0000"/>
      </left>
      <right/>
      <top/>
      <bottom style="thin">
        <color indexed="64"/>
      </bottom>
      <diagonal/>
    </border>
    <border>
      <left/>
      <right style="medium">
        <color rgb="FFFF0000"/>
      </right>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bottom style="medium">
        <color rgb="FFFF0000"/>
      </bottom>
      <diagonal/>
    </border>
    <border>
      <left/>
      <right/>
      <top/>
      <bottom style="medium">
        <color rgb="FFFF0000"/>
      </bottom>
      <diagonal/>
    </border>
    <border>
      <left style="thin">
        <color indexed="64"/>
      </left>
      <right/>
      <top/>
      <bottom style="medium">
        <color rgb="FFFF0000"/>
      </bottom>
      <diagonal/>
    </border>
    <border>
      <left/>
      <right style="thin">
        <color indexed="64"/>
      </right>
      <top/>
      <bottom style="medium">
        <color rgb="FFFF0000"/>
      </bottom>
      <diagonal/>
    </border>
    <border>
      <left/>
      <right style="medium">
        <color rgb="FFFF0000"/>
      </right>
      <top/>
      <bottom style="medium">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top/>
      <bottom style="hair">
        <color indexed="64"/>
      </bottom>
      <diagonal/>
    </border>
    <border>
      <left/>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theme="0" tint="-0.34998626667073579"/>
      </right>
      <top style="thin">
        <color indexed="64"/>
      </top>
      <bottom/>
      <diagonal/>
    </border>
    <border>
      <left style="thin">
        <color theme="0" tint="-0.34998626667073579"/>
      </left>
      <right/>
      <top style="thin">
        <color auto="1"/>
      </top>
      <bottom/>
      <diagonal/>
    </border>
  </borders>
  <cellStyleXfs count="23">
    <xf numFmtId="0" fontId="0" fillId="0" borderId="0"/>
    <xf numFmtId="43" fontId="1" fillId="0" borderId="0" applyFont="0" applyFill="0" applyBorder="0" applyAlignment="0" applyProtection="0"/>
    <xf numFmtId="0" fontId="42" fillId="7" borderId="0" applyNumberFormat="0" applyBorder="0" applyAlignment="0" applyProtection="0"/>
    <xf numFmtId="164" fontId="1" fillId="2" borderId="0" applyBorder="0" applyAlignment="0">
      <alignment horizontal="left"/>
      <protection locked="0"/>
    </xf>
    <xf numFmtId="169" fontId="1" fillId="2" borderId="0" applyBorder="0" applyAlignment="0">
      <alignment horizontal="right"/>
      <protection locked="0"/>
    </xf>
    <xf numFmtId="0" fontId="15" fillId="0" borderId="0" applyNumberFormat="0" applyFill="0" applyBorder="0" applyAlignment="0" applyProtection="0"/>
    <xf numFmtId="0" fontId="13" fillId="0" borderId="0" applyNumberFormat="0" applyFill="0" applyBorder="0" applyAlignment="0"/>
    <xf numFmtId="4" fontId="41" fillId="0" borderId="0" applyNumberFormat="0" applyFill="0" applyBorder="0" applyAlignment="0">
      <alignment horizontal="left"/>
    </xf>
    <xf numFmtId="0" fontId="40" fillId="0" borderId="0" applyNumberFormat="0" applyFill="0" applyBorder="0" applyAlignment="0" applyProtection="0"/>
    <xf numFmtId="41" fontId="14" fillId="5" borderId="0" applyNumberFormat="0" applyBorder="0" applyAlignment="0"/>
    <xf numFmtId="164" fontId="1" fillId="3" borderId="0" applyBorder="0" applyAlignment="0">
      <protection locked="0"/>
    </xf>
    <xf numFmtId="169" fontId="1" fillId="3" borderId="1" applyBorder="0" applyAlignment="0">
      <alignment horizontal="right"/>
      <protection locked="0"/>
    </xf>
    <xf numFmtId="164" fontId="1" fillId="4" borderId="0" applyBorder="0" applyAlignment="0">
      <alignment horizontal="right"/>
      <protection locked="0"/>
    </xf>
    <xf numFmtId="4" fontId="1" fillId="4" borderId="0" applyBorder="0" applyAlignment="0">
      <alignment horizontal="right"/>
      <protection locked="0"/>
    </xf>
    <xf numFmtId="9" fontId="2" fillId="0" borderId="0" applyFont="0" applyFill="0" applyBorder="0" applyAlignment="0" applyProtection="0"/>
    <xf numFmtId="0" fontId="35" fillId="0" borderId="0" applyNumberFormat="0" applyFill="0" applyBorder="0" applyAlignment="0" applyProtection="0"/>
    <xf numFmtId="41" fontId="1" fillId="0" borderId="0" applyFont="0" applyFill="0" applyBorder="0" applyAlignment="0" applyProtection="0"/>
    <xf numFmtId="3" fontId="45" fillId="0" borderId="0" applyNumberFormat="0" applyFill="0" applyBorder="0" applyAlignment="0" applyProtection="0">
      <protection locked="0"/>
    </xf>
    <xf numFmtId="0" fontId="1" fillId="0" borderId="23" applyNumberFormat="0" applyFont="0" applyFill="0" applyAlignment="0">
      <alignment horizontal="left"/>
    </xf>
    <xf numFmtId="43" fontId="1" fillId="0" borderId="0" applyFont="0" applyFill="0" applyBorder="0" applyAlignment="0" applyProtection="0"/>
    <xf numFmtId="41" fontId="14" fillId="5" borderId="0" applyNumberFormat="0" applyBorder="0" applyAlignment="0"/>
    <xf numFmtId="9" fontId="1" fillId="0" borderId="0" applyFont="0" applyFill="0" applyBorder="0" applyAlignment="0" applyProtection="0"/>
    <xf numFmtId="4" fontId="28" fillId="17" borderId="60" applyNumberFormat="0" applyFont="0" applyBorder="0" applyAlignment="0" applyProtection="0">
      <alignment horizontal="left"/>
    </xf>
  </cellStyleXfs>
  <cellXfs count="1270">
    <xf numFmtId="0" fontId="0" fillId="0" borderId="0" xfId="0"/>
    <xf numFmtId="0" fontId="0" fillId="9" borderId="0" xfId="0" applyFill="1" applyAlignment="1">
      <alignment horizontal="left"/>
    </xf>
    <xf numFmtId="0" fontId="28" fillId="9" borderId="0" xfId="0" applyFont="1" applyFill="1"/>
    <xf numFmtId="0" fontId="0" fillId="9" borderId="0" xfId="0" applyFill="1"/>
    <xf numFmtId="0" fontId="8" fillId="9" borderId="0" xfId="0" applyFont="1" applyFill="1"/>
    <xf numFmtId="0" fontId="1" fillId="6" borderId="0" xfId="0" applyFont="1" applyFill="1" applyAlignment="1">
      <alignment horizontal="left" indent="1"/>
    </xf>
    <xf numFmtId="0" fontId="1" fillId="10" borderId="0" xfId="0" applyFont="1" applyFill="1" applyAlignment="1">
      <alignment wrapText="1"/>
    </xf>
    <xf numFmtId="165" fontId="12" fillId="0" borderId="0" xfId="1" applyNumberFormat="1" applyFont="1" applyFill="1" applyBorder="1" applyAlignment="1">
      <alignment horizontal="left"/>
    </xf>
    <xf numFmtId="165" fontId="41" fillId="0" borderId="0" xfId="7" applyNumberFormat="1" applyBorder="1">
      <alignment horizontal="left"/>
    </xf>
    <xf numFmtId="0" fontId="0" fillId="0" borderId="0" xfId="0" applyAlignment="1">
      <alignment horizontal="left"/>
    </xf>
    <xf numFmtId="9" fontId="42" fillId="7" borderId="0" xfId="2" applyNumberFormat="1" applyBorder="1" applyAlignment="1"/>
    <xf numFmtId="0" fontId="0" fillId="0" borderId="15" xfId="0" applyBorder="1"/>
    <xf numFmtId="0" fontId="12" fillId="0" borderId="14" xfId="0" applyFont="1" applyBorder="1" applyAlignment="1">
      <alignment horizontal="left"/>
    </xf>
    <xf numFmtId="0" fontId="41" fillId="0" borderId="13" xfId="7" applyNumberFormat="1" applyBorder="1" applyAlignment="1">
      <alignment horizontal="left"/>
    </xf>
    <xf numFmtId="0" fontId="0" fillId="0" borderId="12" xfId="0" applyBorder="1"/>
    <xf numFmtId="164" fontId="1" fillId="2" borderId="12" xfId="3" applyBorder="1" applyAlignment="1">
      <alignment horizontal="right"/>
      <protection locked="0"/>
    </xf>
    <xf numFmtId="169" fontId="1" fillId="2" borderId="0" xfId="4" applyBorder="1">
      <alignment horizontal="right"/>
      <protection locked="0"/>
    </xf>
    <xf numFmtId="169" fontId="1" fillId="2" borderId="11" xfId="4" applyBorder="1">
      <alignment horizontal="right"/>
      <protection locked="0"/>
    </xf>
    <xf numFmtId="169" fontId="1" fillId="3" borderId="0" xfId="11" applyBorder="1" applyAlignment="1">
      <alignment horizontal="right"/>
      <protection locked="0"/>
    </xf>
    <xf numFmtId="0" fontId="4" fillId="0" borderId="0" xfId="0" applyFont="1" applyAlignment="1">
      <alignment horizontal="right"/>
    </xf>
    <xf numFmtId="0" fontId="6" fillId="0" borderId="9" xfId="0" applyFont="1" applyBorder="1"/>
    <xf numFmtId="0" fontId="6" fillId="0" borderId="8" xfId="0" applyFont="1" applyBorder="1"/>
    <xf numFmtId="4" fontId="13" fillId="4" borderId="0" xfId="6" applyNumberFormat="1" applyFill="1" applyBorder="1" applyAlignment="1">
      <alignment horizontal="left"/>
    </xf>
    <xf numFmtId="4" fontId="1" fillId="4" borderId="0" xfId="13" applyBorder="1" applyAlignment="1">
      <alignment horizontal="left"/>
      <protection locked="0"/>
    </xf>
    <xf numFmtId="4" fontId="40" fillId="4" borderId="0" xfId="8" applyNumberFormat="1" applyFill="1" applyBorder="1" applyAlignment="1" applyProtection="1">
      <alignment horizontal="left"/>
      <protection locked="0"/>
    </xf>
    <xf numFmtId="0" fontId="0" fillId="0" borderId="0" xfId="0" applyAlignment="1">
      <alignment wrapText="1"/>
    </xf>
    <xf numFmtId="0" fontId="28" fillId="0" borderId="0" xfId="0" applyFont="1"/>
    <xf numFmtId="0" fontId="1" fillId="0" borderId="15" xfId="0" applyFont="1" applyBorder="1" applyAlignment="1">
      <alignment wrapText="1"/>
    </xf>
    <xf numFmtId="0" fontId="0" fillId="0" borderId="22" xfId="0" applyBorder="1"/>
    <xf numFmtId="0" fontId="1" fillId="0" borderId="21" xfId="0" applyFont="1" applyBorder="1" applyAlignment="1">
      <alignment wrapText="1"/>
    </xf>
    <xf numFmtId="0" fontId="1" fillId="0" borderId="14" xfId="0" applyFont="1" applyBorder="1" applyAlignment="1">
      <alignment wrapText="1"/>
    </xf>
    <xf numFmtId="0" fontId="0" fillId="0" borderId="21" xfId="0" applyBorder="1"/>
    <xf numFmtId="0" fontId="0" fillId="0" borderId="14" xfId="0" applyBorder="1"/>
    <xf numFmtId="0" fontId="0" fillId="0" borderId="13" xfId="0" applyBorder="1"/>
    <xf numFmtId="0" fontId="40" fillId="0" borderId="0" xfId="0" applyFont="1"/>
    <xf numFmtId="0" fontId="13" fillId="0" borderId="0" xfId="0" applyFont="1"/>
    <xf numFmtId="0" fontId="13" fillId="0" borderId="11" xfId="6" applyBorder="1" applyAlignment="1"/>
    <xf numFmtId="0" fontId="12" fillId="0" borderId="0" xfId="0" applyFont="1" applyAlignment="1">
      <alignment horizontal="left"/>
    </xf>
    <xf numFmtId="0" fontId="41" fillId="0" borderId="11" xfId="7" applyNumberFormat="1" applyBorder="1" applyAlignment="1">
      <alignment horizontal="left"/>
    </xf>
    <xf numFmtId="0" fontId="40" fillId="0" borderId="11" xfId="8" applyBorder="1" applyAlignment="1"/>
    <xf numFmtId="0" fontId="14" fillId="5" borderId="0" xfId="9" applyNumberFormat="1" applyBorder="1" applyAlignment="1"/>
    <xf numFmtId="0" fontId="14" fillId="5" borderId="11" xfId="9" applyNumberFormat="1" applyBorder="1" applyAlignment="1"/>
    <xf numFmtId="0" fontId="1" fillId="0" borderId="12" xfId="0" applyFont="1" applyBorder="1" applyAlignment="1">
      <alignment wrapText="1"/>
    </xf>
    <xf numFmtId="0" fontId="11" fillId="0" borderId="11" xfId="0" applyFont="1" applyBorder="1"/>
    <xf numFmtId="164" fontId="1" fillId="3" borderId="12" xfId="10" applyBorder="1" applyAlignment="1">
      <alignment horizontal="right"/>
      <protection locked="0"/>
    </xf>
    <xf numFmtId="169" fontId="1" fillId="3" borderId="0" xfId="11" applyBorder="1" applyAlignment="1">
      <alignment wrapText="1"/>
      <protection locked="0"/>
    </xf>
    <xf numFmtId="169" fontId="1" fillId="3" borderId="0" xfId="11" applyBorder="1" applyAlignment="1">
      <alignment horizontal="left"/>
      <protection locked="0"/>
    </xf>
    <xf numFmtId="169" fontId="1" fillId="3" borderId="0" xfId="11" applyBorder="1" applyAlignment="1">
      <protection locked="0"/>
    </xf>
    <xf numFmtId="169" fontId="1" fillId="3" borderId="11" xfId="11" applyBorder="1" applyAlignment="1">
      <alignment horizontal="left"/>
      <protection locked="0"/>
    </xf>
    <xf numFmtId="164" fontId="1" fillId="4" borderId="12" xfId="12" applyBorder="1" applyAlignment="1">
      <protection locked="0"/>
    </xf>
    <xf numFmtId="4" fontId="1" fillId="4" borderId="0" xfId="13" applyBorder="1" applyAlignment="1">
      <alignment wrapText="1"/>
      <protection locked="0"/>
    </xf>
    <xf numFmtId="4" fontId="1" fillId="4" borderId="0" xfId="13" applyBorder="1" applyAlignment="1">
      <protection locked="0"/>
    </xf>
    <xf numFmtId="4" fontId="1" fillId="4" borderId="11" xfId="13" applyBorder="1" applyAlignment="1">
      <alignment horizontal="left"/>
      <protection locked="0"/>
    </xf>
    <xf numFmtId="0" fontId="4" fillId="0" borderId="0" xfId="0" applyFont="1"/>
    <xf numFmtId="0" fontId="4" fillId="0" borderId="10" xfId="0" applyFont="1" applyBorder="1" applyAlignment="1">
      <alignment horizontal="center"/>
    </xf>
    <xf numFmtId="0" fontId="4" fillId="0" borderId="9" xfId="0" applyFont="1" applyBorder="1" applyAlignment="1">
      <alignment horizontal="center"/>
    </xf>
    <xf numFmtId="0" fontId="1" fillId="0" borderId="9" xfId="0" applyFont="1" applyBorder="1" applyAlignment="1">
      <alignment wrapText="1"/>
    </xf>
    <xf numFmtId="0" fontId="8" fillId="0" borderId="9" xfId="0" applyFont="1" applyBorder="1"/>
    <xf numFmtId="0" fontId="1" fillId="0" borderId="0" xfId="0" applyFont="1" applyAlignment="1">
      <alignment wrapText="1"/>
    </xf>
    <xf numFmtId="0" fontId="6" fillId="0" borderId="0" xfId="0" applyFont="1"/>
    <xf numFmtId="0" fontId="22" fillId="0" borderId="0" xfId="0" applyFont="1"/>
    <xf numFmtId="0" fontId="7" fillId="0" borderId="0" xfId="0" applyFont="1"/>
    <xf numFmtId="0" fontId="26" fillId="0" borderId="0" xfId="0" applyFont="1"/>
    <xf numFmtId="0" fontId="39" fillId="0" borderId="0" xfId="0" applyFont="1"/>
    <xf numFmtId="0" fontId="4" fillId="6" borderId="0" xfId="0" applyFont="1" applyFill="1" applyAlignment="1">
      <alignment wrapText="1"/>
    </xf>
    <xf numFmtId="0" fontId="1" fillId="6" borderId="0" xfId="0" applyFont="1" applyFill="1" applyAlignment="1">
      <alignment wrapText="1"/>
    </xf>
    <xf numFmtId="0" fontId="8" fillId="0" borderId="0" xfId="0" applyFont="1"/>
    <xf numFmtId="0" fontId="0" fillId="0" borderId="8" xfId="0" applyBorder="1"/>
    <xf numFmtId="0" fontId="10" fillId="0" borderId="0" xfId="0" applyFont="1"/>
    <xf numFmtId="0" fontId="38" fillId="0" borderId="0" xfId="0" applyFont="1"/>
    <xf numFmtId="0" fontId="5" fillId="0" borderId="0" xfId="0" applyFont="1"/>
    <xf numFmtId="166" fontId="9" fillId="0" borderId="0" xfId="1" applyNumberFormat="1" applyFont="1" applyProtection="1"/>
    <xf numFmtId="0" fontId="0" fillId="0" borderId="0" xfId="0" applyAlignment="1">
      <alignment horizontal="right" vertical="center"/>
    </xf>
    <xf numFmtId="0" fontId="0" fillId="0" borderId="0" xfId="0" applyAlignment="1">
      <alignment horizontal="center" vertical="center"/>
    </xf>
    <xf numFmtId="0" fontId="32" fillId="9" borderId="0" xfId="0" applyFont="1" applyFill="1" applyAlignment="1">
      <alignment horizontal="left" vertical="center"/>
    </xf>
    <xf numFmtId="0" fontId="0" fillId="0" borderId="0" xfId="0" applyAlignment="1">
      <alignment horizontal="right"/>
    </xf>
    <xf numFmtId="0" fontId="43" fillId="9" borderId="0" xfId="0" applyFont="1" applyFill="1"/>
    <xf numFmtId="0" fontId="0" fillId="9" borderId="0" xfId="0" applyFill="1" applyAlignment="1">
      <alignment horizontal="right"/>
    </xf>
    <xf numFmtId="0" fontId="22" fillId="9" borderId="0" xfId="0" applyFont="1" applyFill="1"/>
    <xf numFmtId="0" fontId="0" fillId="8" borderId="0" xfId="0" applyFill="1"/>
    <xf numFmtId="0" fontId="0" fillId="9" borderId="0" xfId="0" applyFill="1" applyAlignment="1">
      <alignment horizontal="center"/>
    </xf>
    <xf numFmtId="0" fontId="4" fillId="9" borderId="0" xfId="0" applyFont="1" applyFill="1"/>
    <xf numFmtId="166" fontId="5" fillId="9" borderId="1" xfId="1" applyNumberFormat="1" applyFont="1" applyFill="1" applyBorder="1" applyAlignment="1" applyProtection="1">
      <alignment horizontal="right"/>
    </xf>
    <xf numFmtId="0" fontId="5" fillId="9" borderId="1" xfId="0" applyFont="1" applyFill="1" applyBorder="1" applyAlignment="1">
      <alignment horizontal="right"/>
    </xf>
    <xf numFmtId="0" fontId="25" fillId="9" borderId="0" xfId="0" applyFont="1" applyFill="1" applyAlignment="1">
      <alignment horizontal="left"/>
    </xf>
    <xf numFmtId="0" fontId="19" fillId="9" borderId="0" xfId="0" applyFont="1" applyFill="1" applyAlignment="1">
      <alignment horizontal="center"/>
    </xf>
    <xf numFmtId="0" fontId="23" fillId="9" borderId="0" xfId="0" applyFont="1" applyFill="1" applyAlignment="1">
      <alignment horizontal="center"/>
    </xf>
    <xf numFmtId="166" fontId="4" fillId="9" borderId="0" xfId="1" applyNumberFormat="1" applyFont="1" applyFill="1" applyBorder="1" applyAlignment="1" applyProtection="1">
      <alignment horizontal="center"/>
    </xf>
    <xf numFmtId="166" fontId="4" fillId="9" borderId="0" xfId="1" applyNumberFormat="1" applyFont="1" applyFill="1" applyBorder="1" applyAlignment="1" applyProtection="1"/>
    <xf numFmtId="0" fontId="17" fillId="9" borderId="0" xfId="0" applyFont="1" applyFill="1"/>
    <xf numFmtId="0" fontId="0" fillId="9" borderId="0" xfId="0" applyFill="1" applyAlignment="1">
      <alignment vertical="top"/>
    </xf>
    <xf numFmtId="0" fontId="0" fillId="0" borderId="0" xfId="0" applyAlignment="1">
      <alignment vertical="top"/>
    </xf>
    <xf numFmtId="0" fontId="28" fillId="9" borderId="3" xfId="0" applyFont="1" applyFill="1" applyBorder="1"/>
    <xf numFmtId="0" fontId="0" fillId="9" borderId="1" xfId="0" applyFill="1" applyBorder="1"/>
    <xf numFmtId="0" fontId="5" fillId="9" borderId="1" xfId="0" applyFont="1" applyFill="1" applyBorder="1"/>
    <xf numFmtId="167" fontId="4" fillId="9" borderId="1" xfId="1" applyNumberFormat="1" applyFont="1" applyFill="1" applyBorder="1" applyAlignment="1" applyProtection="1"/>
    <xf numFmtId="0" fontId="0" fillId="9" borderId="3" xfId="0" applyFill="1" applyBorder="1"/>
    <xf numFmtId="0" fontId="0" fillId="9" borderId="5" xfId="0" applyFill="1" applyBorder="1"/>
    <xf numFmtId="0" fontId="0" fillId="9" borderId="6" xfId="0" applyFill="1" applyBorder="1"/>
    <xf numFmtId="166" fontId="4" fillId="9" borderId="0" xfId="1" applyNumberFormat="1" applyFont="1" applyFill="1" applyAlignment="1" applyProtection="1"/>
    <xf numFmtId="166" fontId="4" fillId="0" borderId="0" xfId="1" applyNumberFormat="1" applyFont="1" applyAlignment="1" applyProtection="1"/>
    <xf numFmtId="0" fontId="19" fillId="9" borderId="0" xfId="0" applyFont="1" applyFill="1"/>
    <xf numFmtId="0" fontId="23" fillId="9" borderId="0" xfId="0" applyFont="1" applyFill="1" applyAlignment="1">
      <alignment horizontal="left"/>
    </xf>
    <xf numFmtId="0" fontId="19" fillId="9" borderId="0" xfId="0" applyFont="1" applyFill="1" applyAlignment="1">
      <alignment horizontal="left"/>
    </xf>
    <xf numFmtId="0" fontId="21" fillId="9" borderId="0" xfId="0" applyFont="1" applyFill="1" applyAlignment="1">
      <alignment horizontal="left"/>
    </xf>
    <xf numFmtId="0" fontId="28" fillId="9" borderId="4" xfId="0" applyFont="1" applyFill="1" applyBorder="1" applyAlignment="1">
      <alignment horizontal="center" vertical="center" wrapText="1"/>
    </xf>
    <xf numFmtId="0" fontId="28" fillId="9" borderId="4" xfId="1" applyNumberFormat="1" applyFont="1" applyFill="1" applyBorder="1" applyAlignment="1" applyProtection="1">
      <alignment horizontal="center" vertical="center" wrapText="1"/>
    </xf>
    <xf numFmtId="10" fontId="28" fillId="9" borderId="4" xfId="14" applyNumberFormat="1" applyFont="1" applyFill="1" applyBorder="1" applyAlignment="1" applyProtection="1">
      <alignment vertical="center"/>
    </xf>
    <xf numFmtId="171" fontId="28" fillId="9" borderId="4" xfId="14" applyNumberFormat="1" applyFont="1" applyFill="1" applyBorder="1" applyAlignment="1" applyProtection="1">
      <alignment vertical="center"/>
    </xf>
    <xf numFmtId="2" fontId="28" fillId="9" borderId="4" xfId="14" applyNumberFormat="1" applyFont="1" applyFill="1" applyBorder="1" applyAlignment="1" applyProtection="1">
      <alignment vertical="center"/>
    </xf>
    <xf numFmtId="3" fontId="28" fillId="9" borderId="4" xfId="14" applyNumberFormat="1" applyFont="1" applyFill="1" applyBorder="1" applyAlignment="1" applyProtection="1">
      <alignment vertical="center"/>
    </xf>
    <xf numFmtId="0" fontId="28" fillId="9" borderId="0" xfId="0" applyFont="1" applyFill="1" applyAlignment="1">
      <alignment horizontal="left"/>
    </xf>
    <xf numFmtId="0" fontId="28" fillId="9" borderId="0" xfId="0" applyFont="1" applyFill="1" applyAlignment="1">
      <alignment horizontal="right"/>
    </xf>
    <xf numFmtId="3" fontId="28" fillId="9" borderId="4" xfId="1" applyNumberFormat="1" applyFont="1" applyFill="1" applyBorder="1" applyAlignment="1" applyProtection="1"/>
    <xf numFmtId="0" fontId="28" fillId="9" borderId="1" xfId="0" applyFont="1" applyFill="1" applyBorder="1" applyAlignment="1">
      <alignment horizontal="right"/>
    </xf>
    <xf numFmtId="0" fontId="28" fillId="9" borderId="1" xfId="0" applyFont="1" applyFill="1" applyBorder="1"/>
    <xf numFmtId="167" fontId="0" fillId="9" borderId="1" xfId="1" applyNumberFormat="1" applyFont="1" applyFill="1" applyBorder="1" applyAlignment="1" applyProtection="1"/>
    <xf numFmtId="166" fontId="28" fillId="9" borderId="1" xfId="1" applyNumberFormat="1" applyFont="1" applyFill="1" applyBorder="1" applyAlignment="1" applyProtection="1">
      <alignment horizontal="right"/>
    </xf>
    <xf numFmtId="166" fontId="0" fillId="9" borderId="0" xfId="1" applyNumberFormat="1" applyFont="1" applyFill="1" applyBorder="1" applyAlignment="1" applyProtection="1"/>
    <xf numFmtId="0" fontId="29" fillId="9" borderId="0" xfId="0" applyFont="1" applyFill="1" applyAlignment="1">
      <alignment horizontal="left"/>
    </xf>
    <xf numFmtId="0" fontId="29" fillId="9" borderId="0" xfId="0" applyFont="1" applyFill="1" applyAlignment="1">
      <alignment horizontal="center"/>
    </xf>
    <xf numFmtId="166" fontId="0" fillId="9" borderId="0" xfId="1" applyNumberFormat="1" applyFont="1" applyFill="1" applyBorder="1" applyAlignment="1" applyProtection="1">
      <alignment horizontal="center"/>
    </xf>
    <xf numFmtId="0" fontId="29" fillId="9" borderId="0" xfId="0" applyFont="1" applyFill="1"/>
    <xf numFmtId="167" fontId="0" fillId="9" borderId="0" xfId="1" applyNumberFormat="1" applyFont="1" applyFill="1" applyBorder="1" applyAlignment="1" applyProtection="1"/>
    <xf numFmtId="166" fontId="28" fillId="9" borderId="0" xfId="1" applyNumberFormat="1" applyFont="1" applyFill="1" applyBorder="1" applyAlignment="1" applyProtection="1">
      <alignment horizontal="right"/>
    </xf>
    <xf numFmtId="0" fontId="28" fillId="9" borderId="16" xfId="0" applyFont="1" applyFill="1" applyBorder="1" applyAlignment="1">
      <alignment horizontal="left" vertical="center"/>
    </xf>
    <xf numFmtId="0" fontId="28" fillId="9" borderId="18" xfId="0" applyFont="1" applyFill="1" applyBorder="1" applyAlignment="1">
      <alignment horizontal="center" vertical="center"/>
    </xf>
    <xf numFmtId="0" fontId="28" fillId="9" borderId="7" xfId="0" applyFont="1" applyFill="1" applyBorder="1" applyAlignment="1">
      <alignment horizontal="center" vertical="center"/>
    </xf>
    <xf numFmtId="166" fontId="0" fillId="9" borderId="0" xfId="1" applyNumberFormat="1" applyFont="1" applyFill="1" applyAlignment="1" applyProtection="1"/>
    <xf numFmtId="0" fontId="18" fillId="9" borderId="0" xfId="0" applyFont="1" applyFill="1"/>
    <xf numFmtId="166" fontId="24" fillId="9" borderId="0" xfId="1" applyNumberFormat="1" applyFont="1" applyFill="1" applyBorder="1" applyAlignment="1" applyProtection="1">
      <alignment horizontal="center"/>
    </xf>
    <xf numFmtId="167" fontId="16" fillId="9" borderId="0" xfId="1" applyNumberFormat="1" applyFont="1" applyFill="1" applyBorder="1" applyAlignment="1" applyProtection="1">
      <alignment horizontal="center"/>
    </xf>
    <xf numFmtId="166" fontId="28" fillId="9" borderId="0" xfId="1" applyNumberFormat="1" applyFont="1" applyFill="1" applyBorder="1" applyAlignment="1" applyProtection="1">
      <alignment horizontal="center"/>
    </xf>
    <xf numFmtId="4" fontId="0" fillId="9" borderId="0" xfId="0" applyNumberFormat="1" applyFill="1"/>
    <xf numFmtId="0" fontId="8" fillId="9" borderId="0" xfId="0" applyFont="1" applyFill="1" applyAlignment="1">
      <alignment horizontal="center"/>
    </xf>
    <xf numFmtId="0" fontId="0" fillId="9" borderId="2" xfId="0" applyFill="1" applyBorder="1"/>
    <xf numFmtId="0" fontId="18" fillId="9" borderId="0" xfId="0" applyFont="1" applyFill="1" applyAlignment="1">
      <alignment horizontal="left"/>
    </xf>
    <xf numFmtId="0" fontId="8" fillId="9" borderId="0" xfId="0" applyFont="1" applyFill="1" applyAlignment="1">
      <alignment horizontal="left"/>
    </xf>
    <xf numFmtId="0" fontId="20" fillId="9" borderId="0" xfId="0" applyFont="1" applyFill="1" applyAlignment="1" applyProtection="1">
      <alignment horizontal="center"/>
      <protection locked="0"/>
    </xf>
    <xf numFmtId="0" fontId="0" fillId="9" borderId="17" xfId="0" applyFill="1" applyBorder="1"/>
    <xf numFmtId="43" fontId="0" fillId="12" borderId="4" xfId="1" applyFont="1" applyFill="1" applyBorder="1" applyAlignment="1" applyProtection="1"/>
    <xf numFmtId="0" fontId="0" fillId="12" borderId="17" xfId="0" applyFill="1" applyBorder="1"/>
    <xf numFmtId="0" fontId="18" fillId="0" borderId="0" xfId="0" applyFont="1"/>
    <xf numFmtId="0" fontId="18" fillId="9" borderId="0" xfId="0" applyFont="1" applyFill="1" applyAlignment="1">
      <alignment horizontal="right"/>
    </xf>
    <xf numFmtId="0" fontId="18" fillId="0" borderId="0" xfId="0" applyFont="1" applyAlignment="1">
      <alignment horizontal="right"/>
    </xf>
    <xf numFmtId="0" fontId="18" fillId="0" borderId="0" xfId="0" applyFont="1" applyAlignment="1">
      <alignment horizontal="left"/>
    </xf>
    <xf numFmtId="2" fontId="28" fillId="12" borderId="4" xfId="1" applyNumberFormat="1" applyFont="1" applyFill="1" applyBorder="1" applyAlignment="1" applyProtection="1">
      <alignment horizontal="center"/>
    </xf>
    <xf numFmtId="2" fontId="28" fillId="12" borderId="16" xfId="1" applyNumberFormat="1" applyFont="1" applyFill="1" applyBorder="1" applyAlignment="1" applyProtection="1">
      <alignment horizontal="center"/>
    </xf>
    <xf numFmtId="0" fontId="28" fillId="9" borderId="4" xfId="0" applyFont="1" applyFill="1" applyBorder="1"/>
    <xf numFmtId="0" fontId="28" fillId="9" borderId="1" xfId="0" applyFont="1" applyFill="1" applyBorder="1" applyAlignment="1">
      <alignment horizontal="center" vertical="center"/>
    </xf>
    <xf numFmtId="10" fontId="0" fillId="9" borderId="0" xfId="14" applyNumberFormat="1" applyFont="1" applyFill="1" applyBorder="1" applyAlignment="1" applyProtection="1"/>
    <xf numFmtId="0" fontId="28" fillId="9" borderId="0" xfId="0" applyFont="1" applyFill="1" applyAlignment="1">
      <alignment horizontal="center"/>
    </xf>
    <xf numFmtId="3" fontId="0" fillId="12" borderId="17" xfId="0" applyNumberFormat="1" applyFill="1" applyBorder="1" applyAlignment="1">
      <alignment horizontal="right"/>
    </xf>
    <xf numFmtId="3" fontId="0" fillId="9" borderId="5" xfId="0" applyNumberFormat="1" applyFill="1" applyBorder="1" applyAlignment="1">
      <alignment horizontal="right"/>
    </xf>
    <xf numFmtId="10" fontId="0" fillId="12" borderId="17" xfId="0" applyNumberFormat="1" applyFill="1" applyBorder="1" applyAlignment="1">
      <alignment horizontal="right"/>
    </xf>
    <xf numFmtId="3" fontId="0" fillId="9" borderId="17" xfId="0" applyNumberFormat="1" applyFill="1" applyBorder="1" applyAlignment="1">
      <alignment horizontal="right"/>
    </xf>
    <xf numFmtId="3" fontId="0" fillId="4" borderId="4" xfId="13" applyNumberFormat="1" applyFont="1" applyBorder="1" applyAlignment="1">
      <protection locked="0"/>
    </xf>
    <xf numFmtId="10" fontId="0" fillId="0" borderId="4" xfId="14" applyNumberFormat="1" applyFont="1" applyFill="1" applyBorder="1" applyAlignment="1" applyProtection="1">
      <alignment horizontal="center"/>
    </xf>
    <xf numFmtId="164" fontId="1" fillId="4" borderId="0" xfId="12" applyBorder="1" applyAlignment="1">
      <protection locked="0"/>
    </xf>
    <xf numFmtId="1" fontId="28" fillId="4" borderId="0" xfId="13" applyNumberFormat="1" applyFont="1" applyBorder="1" applyAlignment="1">
      <protection locked="0"/>
    </xf>
    <xf numFmtId="0" fontId="27" fillId="0" borderId="0" xfId="0" applyFont="1"/>
    <xf numFmtId="0" fontId="0" fillId="9" borderId="3" xfId="0" applyFill="1" applyBorder="1" applyAlignment="1">
      <alignment horizontal="left"/>
    </xf>
    <xf numFmtId="0" fontId="0" fillId="9" borderId="6" xfId="0" applyFill="1" applyBorder="1" applyAlignment="1">
      <alignment horizontal="left"/>
    </xf>
    <xf numFmtId="4" fontId="0" fillId="4" borderId="17" xfId="13" applyFont="1" applyBorder="1" applyAlignment="1">
      <protection locked="0"/>
    </xf>
    <xf numFmtId="0" fontId="19" fillId="9" borderId="0" xfId="0" applyFont="1" applyFill="1" applyAlignment="1" applyProtection="1">
      <alignment horizontal="center"/>
      <protection locked="0"/>
    </xf>
    <xf numFmtId="0" fontId="18" fillId="9" borderId="0" xfId="0" applyFont="1" applyFill="1" applyProtection="1">
      <protection locked="0"/>
    </xf>
    <xf numFmtId="0" fontId="8" fillId="9" borderId="0" xfId="0" applyFont="1" applyFill="1" applyAlignment="1" applyProtection="1">
      <alignment horizontal="center"/>
      <protection locked="0"/>
    </xf>
    <xf numFmtId="3" fontId="1" fillId="4" borderId="0" xfId="13" applyNumberFormat="1" applyBorder="1" applyAlignment="1">
      <alignment horizontal="right"/>
      <protection locked="0"/>
    </xf>
    <xf numFmtId="0" fontId="0" fillId="0" borderId="16" xfId="0" applyBorder="1" applyAlignment="1">
      <alignment horizontal="center"/>
    </xf>
    <xf numFmtId="0" fontId="0" fillId="0" borderId="0" xfId="0" applyAlignment="1">
      <alignment horizontal="center"/>
    </xf>
    <xf numFmtId="0" fontId="28" fillId="9" borderId="16" xfId="0" applyFont="1" applyFill="1" applyBorder="1"/>
    <xf numFmtId="0" fontId="22" fillId="9" borderId="0" xfId="0" applyFont="1" applyFill="1" applyAlignment="1">
      <alignment horizontal="center"/>
    </xf>
    <xf numFmtId="0" fontId="47" fillId="9" borderId="0" xfId="0" applyFont="1" applyFill="1"/>
    <xf numFmtId="0" fontId="0" fillId="9" borderId="18" xfId="0" applyFill="1" applyBorder="1"/>
    <xf numFmtId="0" fontId="28" fillId="9" borderId="0" xfId="0" applyFont="1" applyFill="1" applyAlignment="1">
      <alignment horizontal="center" wrapText="1"/>
    </xf>
    <xf numFmtId="0" fontId="55" fillId="9" borderId="0" xfId="0" applyFont="1" applyFill="1" applyAlignment="1">
      <alignment horizontal="center"/>
    </xf>
    <xf numFmtId="0" fontId="55" fillId="9" borderId="0" xfId="0" applyFont="1" applyFill="1"/>
    <xf numFmtId="166" fontId="4" fillId="0" borderId="0" xfId="1" applyNumberFormat="1" applyFont="1" applyBorder="1" applyAlignment="1" applyProtection="1"/>
    <xf numFmtId="0" fontId="28" fillId="9" borderId="4" xfId="0" applyFont="1" applyFill="1" applyBorder="1" applyAlignment="1">
      <alignment horizontal="center" wrapText="1"/>
    </xf>
    <xf numFmtId="0" fontId="22" fillId="8" borderId="16" xfId="0" applyFont="1" applyFill="1" applyBorder="1" applyAlignment="1">
      <alignment horizontal="left"/>
    </xf>
    <xf numFmtId="0" fontId="0" fillId="8" borderId="18" xfId="0" applyFill="1" applyBorder="1"/>
    <xf numFmtId="0" fontId="28" fillId="8" borderId="18" xfId="0" applyFont="1" applyFill="1" applyBorder="1" applyAlignment="1">
      <alignment horizontal="center"/>
    </xf>
    <xf numFmtId="0" fontId="28" fillId="8" borderId="7" xfId="0" applyFont="1" applyFill="1" applyBorder="1" applyAlignment="1">
      <alignment horizontal="center"/>
    </xf>
    <xf numFmtId="0" fontId="0" fillId="8" borderId="5" xfId="0" applyFill="1" applyBorder="1" applyAlignment="1">
      <alignment horizontal="left"/>
    </xf>
    <xf numFmtId="0" fontId="0" fillId="8" borderId="1" xfId="0" applyFill="1" applyBorder="1"/>
    <xf numFmtId="0" fontId="28" fillId="8" borderId="1" xfId="0" applyFont="1" applyFill="1" applyBorder="1" applyAlignment="1">
      <alignment horizontal="center"/>
    </xf>
    <xf numFmtId="0" fontId="28" fillId="8" borderId="6" xfId="0" applyFont="1" applyFill="1" applyBorder="1" applyAlignment="1">
      <alignment horizontal="center"/>
    </xf>
    <xf numFmtId="0" fontId="28" fillId="8" borderId="18" xfId="0" applyFont="1" applyFill="1" applyBorder="1" applyAlignment="1">
      <alignment horizontal="left"/>
    </xf>
    <xf numFmtId="5" fontId="0" fillId="9" borderId="0" xfId="0" applyNumberFormat="1" applyFill="1"/>
    <xf numFmtId="0" fontId="51" fillId="9" borderId="0" xfId="0" applyFont="1" applyFill="1" applyAlignment="1">
      <alignment horizontal="center"/>
    </xf>
    <xf numFmtId="0" fontId="28" fillId="9" borderId="0" xfId="0" applyFont="1" applyFill="1" applyAlignment="1">
      <alignment horizontal="center" vertical="center"/>
    </xf>
    <xf numFmtId="0" fontId="0" fillId="9" borderId="0" xfId="0" applyFill="1" applyAlignment="1">
      <alignment horizontal="center" vertical="center"/>
    </xf>
    <xf numFmtId="3" fontId="0" fillId="9" borderId="0" xfId="0" applyNumberFormat="1" applyFill="1"/>
    <xf numFmtId="0" fontId="42" fillId="9" borderId="0" xfId="2" applyFill="1" applyBorder="1" applyAlignment="1" applyProtection="1"/>
    <xf numFmtId="166" fontId="28" fillId="9" borderId="0" xfId="1" applyNumberFormat="1" applyFont="1" applyFill="1" applyBorder="1" applyAlignment="1" applyProtection="1"/>
    <xf numFmtId="0" fontId="0" fillId="9" borderId="0" xfId="0" applyFill="1" applyAlignment="1">
      <alignment vertical="center"/>
    </xf>
    <xf numFmtId="0" fontId="18" fillId="9" borderId="0" xfId="0" applyFont="1" applyFill="1" applyAlignment="1">
      <alignment horizontal="center" vertical="center"/>
    </xf>
    <xf numFmtId="0" fontId="28" fillId="9" borderId="6" xfId="0" applyFont="1" applyFill="1" applyBorder="1"/>
    <xf numFmtId="0" fontId="0" fillId="9" borderId="7" xfId="0" applyFill="1" applyBorder="1"/>
    <xf numFmtId="0" fontId="0" fillId="9" borderId="0" xfId="0" applyFill="1" applyAlignment="1">
      <alignment horizontal="left" vertical="center"/>
    </xf>
    <xf numFmtId="0" fontId="26" fillId="9" borderId="0" xfId="0" applyFont="1" applyFill="1" applyAlignment="1">
      <alignment horizontal="center" vertical="center"/>
    </xf>
    <xf numFmtId="0" fontId="0" fillId="12" borderId="0" xfId="0" applyFill="1" applyAlignment="1">
      <alignment horizontal="center" vertical="center"/>
    </xf>
    <xf numFmtId="0" fontId="45" fillId="9" borderId="0" xfId="17" applyNumberFormat="1" applyFill="1" applyBorder="1" applyAlignment="1" applyProtection="1">
      <alignment horizontal="center" vertical="center"/>
    </xf>
    <xf numFmtId="0" fontId="28" fillId="8" borderId="18" xfId="0" applyFont="1" applyFill="1" applyBorder="1" applyProtection="1">
      <protection locked="0"/>
    </xf>
    <xf numFmtId="0" fontId="0" fillId="8" borderId="18" xfId="0" applyFill="1" applyBorder="1" applyProtection="1">
      <protection locked="0"/>
    </xf>
    <xf numFmtId="0" fontId="0" fillId="9" borderId="0" xfId="0" applyFill="1" applyProtection="1">
      <protection locked="0"/>
    </xf>
    <xf numFmtId="3" fontId="1" fillId="13" borderId="0" xfId="13" applyNumberFormat="1" applyFill="1" applyBorder="1" applyAlignment="1">
      <alignment horizontal="right"/>
      <protection locked="0"/>
    </xf>
    <xf numFmtId="3" fontId="0" fillId="12" borderId="20" xfId="0" applyNumberFormat="1" applyFill="1" applyBorder="1" applyAlignment="1">
      <alignment horizontal="right"/>
    </xf>
    <xf numFmtId="3" fontId="0" fillId="12" borderId="2" xfId="0" applyNumberFormat="1" applyFill="1" applyBorder="1" applyAlignment="1">
      <alignment horizontal="right"/>
    </xf>
    <xf numFmtId="0" fontId="0" fillId="9" borderId="31" xfId="0" applyFill="1" applyBorder="1"/>
    <xf numFmtId="0" fontId="0" fillId="9" borderId="26" xfId="0" applyFill="1" applyBorder="1"/>
    <xf numFmtId="0" fontId="0" fillId="9" borderId="32" xfId="0" applyFill="1" applyBorder="1"/>
    <xf numFmtId="0" fontId="0" fillId="9" borderId="33" xfId="0" applyFill="1" applyBorder="1"/>
    <xf numFmtId="0" fontId="51" fillId="9" borderId="34" xfId="0" applyFont="1" applyFill="1" applyBorder="1" applyAlignment="1">
      <alignment horizontal="center"/>
    </xf>
    <xf numFmtId="0" fontId="0" fillId="9" borderId="34" xfId="0" applyFill="1" applyBorder="1"/>
    <xf numFmtId="0" fontId="18" fillId="9" borderId="33" xfId="0" applyFont="1" applyFill="1" applyBorder="1"/>
    <xf numFmtId="0" fontId="19" fillId="9" borderId="34" xfId="0" applyFont="1" applyFill="1" applyBorder="1" applyAlignment="1">
      <alignment horizontal="center"/>
    </xf>
    <xf numFmtId="0" fontId="18" fillId="9" borderId="34" xfId="0" applyFont="1" applyFill="1" applyBorder="1"/>
    <xf numFmtId="0" fontId="28" fillId="9" borderId="34" xfId="0" applyFont="1" applyFill="1" applyBorder="1" applyAlignment="1">
      <alignment horizontal="center"/>
    </xf>
    <xf numFmtId="5" fontId="0" fillId="9" borderId="34" xfId="0" applyNumberFormat="1" applyFill="1" applyBorder="1"/>
    <xf numFmtId="0" fontId="28" fillId="9" borderId="34" xfId="0" applyFont="1" applyFill="1" applyBorder="1" applyAlignment="1">
      <alignment horizontal="center" wrapText="1"/>
    </xf>
    <xf numFmtId="0" fontId="28" fillId="9" borderId="33" xfId="0" applyFont="1" applyFill="1" applyBorder="1"/>
    <xf numFmtId="0" fontId="0" fillId="9" borderId="35" xfId="0" applyFill="1" applyBorder="1"/>
    <xf numFmtId="4" fontId="0" fillId="9" borderId="27" xfId="0" applyNumberFormat="1" applyFill="1" applyBorder="1"/>
    <xf numFmtId="0" fontId="28" fillId="9" borderId="36" xfId="0" applyFont="1" applyFill="1" applyBorder="1" applyAlignment="1">
      <alignment horizontal="center" wrapText="1"/>
    </xf>
    <xf numFmtId="4" fontId="28" fillId="9" borderId="39" xfId="0" applyNumberFormat="1" applyFont="1" applyFill="1" applyBorder="1" applyAlignment="1">
      <alignment horizontal="left" vertical="top"/>
    </xf>
    <xf numFmtId="0" fontId="28" fillId="9" borderId="40" xfId="0" applyFont="1" applyFill="1" applyBorder="1" applyAlignment="1">
      <alignment horizontal="left" vertical="top"/>
    </xf>
    <xf numFmtId="0" fontId="28" fillId="9" borderId="41" xfId="0" applyFont="1" applyFill="1" applyBorder="1" applyAlignment="1">
      <alignment horizontal="left" vertical="top"/>
    </xf>
    <xf numFmtId="0" fontId="0" fillId="9" borderId="26" xfId="0" applyFill="1" applyBorder="1" applyAlignment="1">
      <alignment horizontal="left"/>
    </xf>
    <xf numFmtId="0" fontId="28" fillId="9" borderId="34" xfId="0" applyFont="1" applyFill="1" applyBorder="1"/>
    <xf numFmtId="0" fontId="0" fillId="9" borderId="36" xfId="0" applyFill="1" applyBorder="1"/>
    <xf numFmtId="0" fontId="4" fillId="9" borderId="26" xfId="0" applyFont="1" applyFill="1" applyBorder="1"/>
    <xf numFmtId="166" fontId="0" fillId="9" borderId="26" xfId="1" applyNumberFormat="1" applyFont="1" applyFill="1" applyBorder="1" applyAlignment="1" applyProtection="1"/>
    <xf numFmtId="166" fontId="28" fillId="9" borderId="26" xfId="1" applyNumberFormat="1" applyFont="1" applyFill="1" applyBorder="1" applyAlignment="1" applyProtection="1">
      <alignment horizontal="center"/>
    </xf>
    <xf numFmtId="3" fontId="0" fillId="9" borderId="32" xfId="0" applyNumberFormat="1" applyFill="1" applyBorder="1"/>
    <xf numFmtId="3" fontId="0" fillId="9" borderId="34" xfId="0" applyNumberFormat="1" applyFill="1" applyBorder="1"/>
    <xf numFmtId="0" fontId="0" fillId="9" borderId="34" xfId="0" applyFill="1" applyBorder="1" applyAlignment="1">
      <alignment horizontal="left"/>
    </xf>
    <xf numFmtId="0" fontId="28" fillId="9" borderId="33" xfId="0" applyFont="1" applyFill="1" applyBorder="1" applyAlignment="1">
      <alignment horizontal="center"/>
    </xf>
    <xf numFmtId="0" fontId="0" fillId="9" borderId="33" xfId="0" applyFill="1" applyBorder="1" applyAlignment="1">
      <alignment vertical="top"/>
    </xf>
    <xf numFmtId="0" fontId="0" fillId="9" borderId="34" xfId="0" applyFill="1" applyBorder="1" applyAlignment="1">
      <alignment vertical="top"/>
    </xf>
    <xf numFmtId="0" fontId="0" fillId="9" borderId="37" xfId="0" applyFill="1" applyBorder="1"/>
    <xf numFmtId="167" fontId="0" fillId="9" borderId="38" xfId="1" applyNumberFormat="1" applyFont="1" applyFill="1" applyBorder="1" applyAlignment="1" applyProtection="1"/>
    <xf numFmtId="0" fontId="0" fillId="9" borderId="42" xfId="0" applyFill="1" applyBorder="1" applyAlignment="1">
      <alignment horizontal="left"/>
    </xf>
    <xf numFmtId="0" fontId="0" fillId="9" borderId="33" xfId="0" applyFill="1" applyBorder="1" applyAlignment="1">
      <alignment horizontal="left"/>
    </xf>
    <xf numFmtId="167" fontId="4" fillId="9" borderId="34" xfId="1" applyNumberFormat="1" applyFont="1" applyFill="1" applyBorder="1" applyAlignment="1" applyProtection="1"/>
    <xf numFmtId="0" fontId="0" fillId="9" borderId="27" xfId="0" applyFill="1" applyBorder="1"/>
    <xf numFmtId="0" fontId="28" fillId="14" borderId="18" xfId="0" applyFont="1" applyFill="1" applyBorder="1" applyAlignment="1">
      <alignment horizontal="left"/>
    </xf>
    <xf numFmtId="2" fontId="28" fillId="9" borderId="0" xfId="0" applyNumberFormat="1" applyFont="1" applyFill="1"/>
    <xf numFmtId="3" fontId="0" fillId="9" borderId="2" xfId="0" applyNumberFormat="1" applyFill="1" applyBorder="1"/>
    <xf numFmtId="4" fontId="0" fillId="9" borderId="0" xfId="0" applyNumberFormat="1" applyFill="1" applyAlignment="1">
      <alignment horizontal="right"/>
    </xf>
    <xf numFmtId="43" fontId="0" fillId="12" borderId="43" xfId="18" applyNumberFormat="1" applyFont="1" applyFill="1" applyBorder="1" applyAlignment="1">
      <alignment horizontal="right"/>
    </xf>
    <xf numFmtId="43" fontId="0" fillId="12" borderId="4" xfId="1" applyFont="1" applyFill="1" applyBorder="1" applyAlignment="1" applyProtection="1">
      <alignment horizontal="right"/>
    </xf>
    <xf numFmtId="10" fontId="0" fillId="9" borderId="0" xfId="14" applyNumberFormat="1" applyFont="1" applyFill="1" applyBorder="1" applyAlignment="1" applyProtection="1">
      <alignment horizontal="right"/>
    </xf>
    <xf numFmtId="0" fontId="28" fillId="9" borderId="2" xfId="0" applyFont="1" applyFill="1" applyBorder="1"/>
    <xf numFmtId="0" fontId="2" fillId="0" borderId="0" xfId="0" applyFont="1"/>
    <xf numFmtId="10" fontId="0" fillId="9" borderId="2" xfId="14" applyNumberFormat="1" applyFont="1" applyFill="1" applyBorder="1"/>
    <xf numFmtId="10" fontId="0" fillId="9" borderId="0" xfId="14" applyNumberFormat="1" applyFont="1" applyFill="1" applyBorder="1"/>
    <xf numFmtId="10" fontId="0" fillId="9" borderId="3" xfId="14" applyNumberFormat="1" applyFont="1" applyFill="1" applyBorder="1"/>
    <xf numFmtId="3" fontId="0" fillId="4" borderId="20" xfId="13" applyNumberFormat="1" applyFont="1" applyBorder="1" applyAlignment="1">
      <protection locked="0"/>
    </xf>
    <xf numFmtId="2" fontId="28" fillId="9" borderId="34" xfId="0" applyNumberFormat="1" applyFont="1" applyFill="1" applyBorder="1"/>
    <xf numFmtId="0" fontId="28" fillId="9" borderId="33" xfId="0" applyFont="1" applyFill="1" applyBorder="1" applyAlignment="1">
      <alignment horizontal="center" wrapText="1"/>
    </xf>
    <xf numFmtId="0" fontId="0" fillId="8" borderId="7" xfId="0" applyFill="1" applyBorder="1"/>
    <xf numFmtId="3" fontId="0" fillId="11" borderId="0" xfId="0" applyNumberFormat="1" applyFill="1" applyAlignment="1">
      <alignment horizontal="center"/>
    </xf>
    <xf numFmtId="0" fontId="8" fillId="9" borderId="0" xfId="0" applyFont="1" applyFill="1" applyAlignment="1">
      <alignment horizontal="center" vertical="center"/>
    </xf>
    <xf numFmtId="0" fontId="45" fillId="9" borderId="17" xfId="17" applyNumberFormat="1" applyFill="1" applyBorder="1" applyProtection="1"/>
    <xf numFmtId="0" fontId="45" fillId="9" borderId="20" xfId="17" applyNumberFormat="1" applyFill="1" applyBorder="1" applyProtection="1"/>
    <xf numFmtId="0" fontId="0" fillId="9" borderId="46" xfId="0" applyFill="1" applyBorder="1" applyAlignment="1">
      <alignment horizontal="left" vertical="center"/>
    </xf>
    <xf numFmtId="0" fontId="8" fillId="9" borderId="29" xfId="0" applyFont="1" applyFill="1" applyBorder="1" applyAlignment="1">
      <alignment horizontal="center" vertical="center"/>
    </xf>
    <xf numFmtId="0" fontId="0" fillId="9" borderId="47" xfId="0" applyFill="1" applyBorder="1" applyAlignment="1">
      <alignment horizontal="center" vertical="center"/>
    </xf>
    <xf numFmtId="0" fontId="0" fillId="9" borderId="48" xfId="0" applyFill="1" applyBorder="1" applyAlignment="1">
      <alignment horizontal="left" vertical="center"/>
    </xf>
    <xf numFmtId="0" fontId="0" fillId="9" borderId="49" xfId="0" applyFill="1" applyBorder="1" applyAlignment="1">
      <alignment horizontal="center" vertical="center"/>
    </xf>
    <xf numFmtId="0" fontId="0" fillId="9" borderId="50" xfId="0" applyFill="1" applyBorder="1" applyAlignment="1">
      <alignment horizontal="left" vertical="center"/>
    </xf>
    <xf numFmtId="0" fontId="26" fillId="9" borderId="28" xfId="0" applyFont="1" applyFill="1" applyBorder="1" applyAlignment="1">
      <alignment horizontal="center" vertical="center"/>
    </xf>
    <xf numFmtId="0" fontId="0" fillId="9" borderId="51" xfId="0" applyFill="1" applyBorder="1" applyAlignment="1">
      <alignment horizontal="center" vertical="center"/>
    </xf>
    <xf numFmtId="0" fontId="28" fillId="9" borderId="5" xfId="0" applyFont="1" applyFill="1" applyBorder="1"/>
    <xf numFmtId="3" fontId="0" fillId="9" borderId="17" xfId="0" applyNumberFormat="1" applyFill="1" applyBorder="1"/>
    <xf numFmtId="4" fontId="0" fillId="4" borderId="0" xfId="13" applyFont="1" applyBorder="1" applyAlignment="1">
      <protection locked="0"/>
    </xf>
    <xf numFmtId="4" fontId="0" fillId="4" borderId="3" xfId="13" applyFont="1" applyBorder="1" applyAlignment="1">
      <protection locked="0"/>
    </xf>
    <xf numFmtId="0" fontId="0" fillId="9" borderId="20" xfId="0" applyFill="1" applyBorder="1"/>
    <xf numFmtId="0" fontId="0" fillId="12" borderId="20" xfId="0" applyFill="1" applyBorder="1"/>
    <xf numFmtId="4" fontId="0" fillId="4" borderId="2" xfId="13" applyFont="1" applyBorder="1" applyAlignment="1">
      <protection locked="0"/>
    </xf>
    <xf numFmtId="0" fontId="0" fillId="9" borderId="34" xfId="0" applyFill="1" applyBorder="1" applyAlignment="1">
      <alignment horizontal="center" vertical="center"/>
    </xf>
    <xf numFmtId="4" fontId="28" fillId="9" borderId="40" xfId="0" applyNumberFormat="1" applyFont="1" applyFill="1" applyBorder="1" applyAlignment="1">
      <alignment horizontal="left" vertical="top"/>
    </xf>
    <xf numFmtId="0" fontId="0" fillId="9" borderId="5" xfId="0" applyFill="1" applyBorder="1" applyAlignment="1">
      <alignment wrapText="1"/>
    </xf>
    <xf numFmtId="0" fontId="0" fillId="9" borderId="2" xfId="0" applyFill="1" applyBorder="1" applyProtection="1">
      <protection locked="0"/>
    </xf>
    <xf numFmtId="0" fontId="0" fillId="9" borderId="3" xfId="0" applyFill="1" applyBorder="1" applyProtection="1">
      <protection locked="0"/>
    </xf>
    <xf numFmtId="0" fontId="0" fillId="9" borderId="5" xfId="0" applyFill="1" applyBorder="1" applyProtection="1">
      <protection locked="0"/>
    </xf>
    <xf numFmtId="0" fontId="0" fillId="9" borderId="1" xfId="0" applyFill="1" applyBorder="1" applyProtection="1">
      <protection locked="0"/>
    </xf>
    <xf numFmtId="0" fontId="0" fillId="9" borderId="6" xfId="0" applyFill="1" applyBorder="1" applyProtection="1">
      <protection locked="0"/>
    </xf>
    <xf numFmtId="0" fontId="28" fillId="12" borderId="0" xfId="0" applyFont="1" applyFill="1" applyAlignment="1">
      <alignment horizontal="left" vertical="center"/>
    </xf>
    <xf numFmtId="4" fontId="0" fillId="12" borderId="29" xfId="0" applyNumberFormat="1" applyFill="1" applyBorder="1" applyAlignment="1">
      <alignment horizontal="center" vertical="center"/>
    </xf>
    <xf numFmtId="3" fontId="0" fillId="12" borderId="0" xfId="0" applyNumberFormat="1" applyFill="1" applyAlignment="1">
      <alignment horizontal="center" vertical="center"/>
    </xf>
    <xf numFmtId="3" fontId="0" fillId="12" borderId="28" xfId="0" applyNumberFormat="1" applyFill="1" applyBorder="1" applyAlignment="1">
      <alignment horizontal="center"/>
    </xf>
    <xf numFmtId="0" fontId="28" fillId="12" borderId="17" xfId="0" applyFont="1" applyFill="1" applyBorder="1" applyAlignment="1">
      <alignment horizontal="center"/>
    </xf>
    <xf numFmtId="3" fontId="0" fillId="13" borderId="20" xfId="13" applyNumberFormat="1" applyFont="1" applyFill="1" applyBorder="1" applyAlignment="1">
      <protection locked="0"/>
    </xf>
    <xf numFmtId="3" fontId="0" fillId="12" borderId="20" xfId="0" applyNumberFormat="1" applyFill="1" applyBorder="1" applyAlignment="1" applyProtection="1">
      <alignment horizontal="right"/>
      <protection locked="0"/>
    </xf>
    <xf numFmtId="3" fontId="0" fillId="12" borderId="17" xfId="0" applyNumberFormat="1" applyFill="1" applyBorder="1" applyAlignment="1" applyProtection="1">
      <alignment horizontal="right"/>
      <protection locked="0"/>
    </xf>
    <xf numFmtId="3" fontId="28" fillId="12" borderId="20" xfId="0" applyNumberFormat="1" applyFont="1" applyFill="1" applyBorder="1" applyAlignment="1">
      <alignment horizontal="right"/>
    </xf>
    <xf numFmtId="4" fontId="0" fillId="9" borderId="2" xfId="0" applyNumberFormat="1" applyFill="1" applyBorder="1"/>
    <xf numFmtId="4" fontId="0" fillId="9" borderId="3" xfId="0" applyNumberFormat="1" applyFill="1" applyBorder="1"/>
    <xf numFmtId="4" fontId="0" fillId="9" borderId="5" xfId="0" applyNumberFormat="1" applyFill="1" applyBorder="1" applyAlignment="1">
      <alignment wrapText="1"/>
    </xf>
    <xf numFmtId="4" fontId="0" fillId="9" borderId="1" xfId="0" applyNumberFormat="1" applyFill="1" applyBorder="1"/>
    <xf numFmtId="4" fontId="0" fillId="9" borderId="6" xfId="0" applyNumberFormat="1" applyFill="1" applyBorder="1"/>
    <xf numFmtId="3" fontId="0" fillId="12" borderId="17" xfId="0" applyNumberFormat="1" applyFill="1" applyBorder="1"/>
    <xf numFmtId="0" fontId="28" fillId="9" borderId="6" xfId="0" applyFont="1" applyFill="1" applyBorder="1" applyAlignment="1">
      <alignment horizontal="left"/>
    </xf>
    <xf numFmtId="4" fontId="45" fillId="9" borderId="3" xfId="17" applyNumberFormat="1" applyFill="1" applyBorder="1" applyAlignment="1" applyProtection="1">
      <alignment horizontal="left"/>
    </xf>
    <xf numFmtId="4" fontId="45" fillId="9" borderId="6" xfId="17" applyNumberFormat="1" applyFill="1" applyBorder="1" applyAlignment="1" applyProtection="1">
      <alignment horizontal="left"/>
    </xf>
    <xf numFmtId="4" fontId="45" fillId="9" borderId="0" xfId="17" applyNumberFormat="1" applyFill="1" applyBorder="1" applyAlignment="1" applyProtection="1">
      <alignment horizontal="left"/>
    </xf>
    <xf numFmtId="3" fontId="0" fillId="9" borderId="1" xfId="0" applyNumberFormat="1" applyFill="1" applyBorder="1" applyAlignment="1">
      <alignment horizontal="left"/>
    </xf>
    <xf numFmtId="4" fontId="28" fillId="9" borderId="2" xfId="0" applyNumberFormat="1" applyFont="1" applyFill="1" applyBorder="1" applyAlignment="1">
      <alignment horizontal="left"/>
    </xf>
    <xf numFmtId="2" fontId="28" fillId="12" borderId="17" xfId="0" applyNumberFormat="1" applyFont="1" applyFill="1" applyBorder="1" applyAlignment="1">
      <alignment horizontal="center" vertical="center"/>
    </xf>
    <xf numFmtId="0" fontId="28" fillId="9" borderId="5" xfId="0" applyFont="1" applyFill="1" applyBorder="1" applyAlignment="1">
      <alignment horizontal="right"/>
    </xf>
    <xf numFmtId="0" fontId="28" fillId="9" borderId="1" xfId="0" applyFont="1" applyFill="1" applyBorder="1" applyAlignment="1">
      <alignment horizontal="left"/>
    </xf>
    <xf numFmtId="4" fontId="45" fillId="9" borderId="1" xfId="17" applyNumberFormat="1" applyFill="1" applyBorder="1" applyAlignment="1" applyProtection="1">
      <alignment horizontal="left"/>
    </xf>
    <xf numFmtId="4" fontId="28" fillId="9" borderId="0" xfId="0" applyNumberFormat="1" applyFont="1" applyFill="1" applyAlignment="1">
      <alignment horizontal="left"/>
    </xf>
    <xf numFmtId="4" fontId="28" fillId="9" borderId="1" xfId="0" applyNumberFormat="1" applyFont="1" applyFill="1" applyBorder="1" applyAlignment="1">
      <alignment horizontal="left"/>
    </xf>
    <xf numFmtId="0" fontId="16" fillId="9" borderId="0" xfId="0" applyFont="1" applyFill="1" applyAlignment="1">
      <alignment horizontal="left"/>
    </xf>
    <xf numFmtId="10" fontId="0" fillId="12" borderId="3" xfId="0" applyNumberFormat="1" applyFill="1" applyBorder="1" applyAlignment="1">
      <alignment horizontal="right"/>
    </xf>
    <xf numFmtId="10" fontId="28" fillId="12" borderId="3" xfId="0" applyNumberFormat="1" applyFont="1" applyFill="1" applyBorder="1" applyAlignment="1">
      <alignment horizontal="right"/>
    </xf>
    <xf numFmtId="3" fontId="0" fillId="4" borderId="20" xfId="13" applyNumberFormat="1" applyFont="1" applyBorder="1" applyAlignment="1">
      <alignment horizontal="right"/>
      <protection locked="0"/>
    </xf>
    <xf numFmtId="3" fontId="0" fillId="4" borderId="2" xfId="13" applyNumberFormat="1" applyFont="1" applyBorder="1" applyAlignment="1">
      <alignment horizontal="right"/>
      <protection locked="0"/>
    </xf>
    <xf numFmtId="3" fontId="0" fillId="9" borderId="0" xfId="0" applyNumberFormat="1" applyFill="1" applyAlignment="1">
      <alignment horizontal="left"/>
    </xf>
    <xf numFmtId="3" fontId="0" fillId="9" borderId="2" xfId="0" applyNumberFormat="1" applyFill="1" applyBorder="1" applyAlignment="1">
      <alignment horizontal="right"/>
    </xf>
    <xf numFmtId="10" fontId="0" fillId="9" borderId="20" xfId="0" applyNumberFormat="1" applyFill="1" applyBorder="1" applyAlignment="1">
      <alignment horizontal="right"/>
    </xf>
    <xf numFmtId="3" fontId="0" fillId="12" borderId="0" xfId="0" applyNumberFormat="1" applyFill="1" applyAlignment="1">
      <alignment horizontal="right"/>
    </xf>
    <xf numFmtId="0" fontId="0" fillId="8" borderId="0" xfId="0" applyFill="1" applyProtection="1">
      <protection locked="0"/>
    </xf>
    <xf numFmtId="0" fontId="0" fillId="8" borderId="7" xfId="0" applyFill="1" applyBorder="1" applyProtection="1">
      <protection locked="0"/>
    </xf>
    <xf numFmtId="0" fontId="28" fillId="8" borderId="0" xfId="0" applyFont="1" applyFill="1" applyAlignment="1">
      <alignment horizontal="left"/>
    </xf>
    <xf numFmtId="0" fontId="28" fillId="9" borderId="5" xfId="0" applyFont="1" applyFill="1" applyBorder="1" applyAlignment="1">
      <alignment horizontal="left"/>
    </xf>
    <xf numFmtId="0" fontId="28" fillId="9" borderId="6" xfId="0" applyFont="1" applyFill="1" applyBorder="1" applyAlignment="1">
      <alignment horizontal="center" vertical="center"/>
    </xf>
    <xf numFmtId="0" fontId="28" fillId="9" borderId="17" xfId="0" applyFont="1" applyFill="1" applyBorder="1" applyAlignment="1">
      <alignment horizontal="right"/>
    </xf>
    <xf numFmtId="3" fontId="28" fillId="12" borderId="2" xfId="0" applyNumberFormat="1" applyFont="1" applyFill="1" applyBorder="1" applyAlignment="1">
      <alignment horizontal="right"/>
    </xf>
    <xf numFmtId="10" fontId="0" fillId="9" borderId="3" xfId="0" applyNumberFormat="1" applyFill="1" applyBorder="1" applyAlignment="1">
      <alignment horizontal="right"/>
    </xf>
    <xf numFmtId="0" fontId="0" fillId="8" borderId="3" xfId="0" applyFill="1" applyBorder="1" applyProtection="1">
      <protection locked="0"/>
    </xf>
    <xf numFmtId="4" fontId="0" fillId="12" borderId="2" xfId="0" applyNumberFormat="1" applyFill="1" applyBorder="1" applyAlignment="1">
      <alignment horizontal="left"/>
    </xf>
    <xf numFmtId="4" fontId="28" fillId="12" borderId="2" xfId="0" applyNumberFormat="1" applyFont="1" applyFill="1" applyBorder="1" applyAlignment="1">
      <alignment horizontal="left"/>
    </xf>
    <xf numFmtId="4" fontId="0" fillId="12" borderId="5" xfId="0" applyNumberFormat="1" applyFill="1" applyBorder="1" applyAlignment="1">
      <alignment horizontal="left"/>
    </xf>
    <xf numFmtId="10" fontId="0" fillId="9" borderId="17" xfId="0" applyNumberFormat="1" applyFill="1" applyBorder="1" applyAlignment="1">
      <alignment horizontal="right"/>
    </xf>
    <xf numFmtId="10" fontId="0" fillId="12" borderId="5" xfId="0" applyNumberFormat="1" applyFill="1" applyBorder="1" applyAlignment="1">
      <alignment horizontal="right"/>
    </xf>
    <xf numFmtId="10" fontId="0" fillId="9" borderId="6" xfId="0" applyNumberFormat="1" applyFill="1" applyBorder="1" applyAlignment="1">
      <alignment horizontal="right"/>
    </xf>
    <xf numFmtId="3" fontId="0" fillId="9" borderId="6" xfId="0" applyNumberFormat="1" applyFill="1" applyBorder="1" applyAlignment="1">
      <alignment horizontal="right"/>
    </xf>
    <xf numFmtId="10" fontId="0" fillId="9" borderId="0" xfId="0" applyNumberFormat="1" applyFill="1" applyAlignment="1">
      <alignment horizontal="right"/>
    </xf>
    <xf numFmtId="0" fontId="0" fillId="9" borderId="34" xfId="0" applyFill="1" applyBorder="1" applyAlignment="1">
      <alignment horizontal="right"/>
    </xf>
    <xf numFmtId="0" fontId="0" fillId="9" borderId="0" xfId="0" applyFill="1" applyAlignment="1">
      <alignment horizontal="right" vertical="center"/>
    </xf>
    <xf numFmtId="3" fontId="28" fillId="12" borderId="0" xfId="0" applyNumberFormat="1" applyFont="1" applyFill="1" applyAlignment="1">
      <alignment horizontal="right"/>
    </xf>
    <xf numFmtId="3" fontId="0" fillId="9" borderId="1" xfId="0" applyNumberFormat="1" applyFill="1" applyBorder="1" applyAlignment="1">
      <alignment horizontal="right"/>
    </xf>
    <xf numFmtId="10" fontId="0" fillId="9" borderId="1" xfId="0" applyNumberFormat="1" applyFill="1" applyBorder="1" applyAlignment="1">
      <alignment horizontal="right"/>
    </xf>
    <xf numFmtId="3" fontId="0" fillId="9" borderId="3" xfId="0" applyNumberFormat="1" applyFill="1" applyBorder="1" applyAlignment="1">
      <alignment horizontal="right"/>
    </xf>
    <xf numFmtId="4" fontId="0" fillId="11" borderId="3" xfId="0" applyNumberFormat="1" applyFill="1" applyBorder="1" applyAlignment="1">
      <alignment horizontal="right"/>
    </xf>
    <xf numFmtId="4" fontId="28" fillId="9" borderId="0" xfId="0" applyNumberFormat="1" applyFont="1" applyFill="1" applyAlignment="1" applyProtection="1">
      <alignment horizontal="right"/>
      <protection locked="0"/>
    </xf>
    <xf numFmtId="4" fontId="0" fillId="9" borderId="2" xfId="0" applyNumberFormat="1" applyFill="1" applyBorder="1" applyAlignment="1">
      <alignment horizontal="left"/>
    </xf>
    <xf numFmtId="10" fontId="0" fillId="11" borderId="3" xfId="14" applyNumberFormat="1" applyFont="1" applyFill="1" applyBorder="1" applyAlignment="1" applyProtection="1">
      <alignment horizontal="right"/>
    </xf>
    <xf numFmtId="10" fontId="0" fillId="4" borderId="20" xfId="14" applyNumberFormat="1" applyFont="1" applyFill="1" applyBorder="1" applyAlignment="1" applyProtection="1">
      <alignment horizontal="right"/>
      <protection locked="0"/>
    </xf>
    <xf numFmtId="10" fontId="0" fillId="4" borderId="17" xfId="14" applyNumberFormat="1" applyFont="1" applyFill="1" applyBorder="1" applyAlignment="1" applyProtection="1">
      <alignment horizontal="right"/>
      <protection locked="0"/>
    </xf>
    <xf numFmtId="4" fontId="45" fillId="12" borderId="2" xfId="17" applyNumberFormat="1" applyFill="1" applyBorder="1" applyAlignment="1" applyProtection="1">
      <alignment horizontal="left"/>
    </xf>
    <xf numFmtId="0" fontId="0" fillId="9" borderId="27" xfId="0" applyFill="1" applyBorder="1" applyAlignment="1">
      <alignment horizontal="right"/>
    </xf>
    <xf numFmtId="0" fontId="0" fillId="9" borderId="36" xfId="0" applyFill="1" applyBorder="1" applyAlignment="1">
      <alignment horizontal="right"/>
    </xf>
    <xf numFmtId="10" fontId="0" fillId="9" borderId="0" xfId="14" applyNumberFormat="1" applyFont="1" applyFill="1" applyAlignment="1">
      <alignment horizontal="right"/>
    </xf>
    <xf numFmtId="10" fontId="0" fillId="9" borderId="0" xfId="14" applyNumberFormat="1" applyFont="1" applyFill="1" applyAlignment="1">
      <alignment horizontal="center"/>
    </xf>
    <xf numFmtId="2" fontId="28" fillId="12" borderId="6" xfId="0" applyNumberFormat="1" applyFont="1" applyFill="1" applyBorder="1" applyAlignment="1">
      <alignment horizontal="center" vertical="center"/>
    </xf>
    <xf numFmtId="169" fontId="0" fillId="9" borderId="3" xfId="0" applyNumberFormat="1" applyFill="1" applyBorder="1" applyAlignment="1" applyProtection="1">
      <alignment horizontal="right"/>
      <protection locked="0"/>
    </xf>
    <xf numFmtId="169" fontId="0" fillId="9" borderId="6" xfId="0" applyNumberFormat="1" applyFill="1" applyBorder="1" applyAlignment="1" applyProtection="1">
      <alignment horizontal="right"/>
      <protection locked="0"/>
    </xf>
    <xf numFmtId="4" fontId="0" fillId="9" borderId="0" xfId="0" applyNumberFormat="1" applyFill="1" applyAlignment="1">
      <alignment horizontal="left"/>
    </xf>
    <xf numFmtId="0" fontId="18" fillId="9" borderId="31" xfId="0" applyFont="1" applyFill="1" applyBorder="1"/>
    <xf numFmtId="0" fontId="18" fillId="9" borderId="26" xfId="0" applyFont="1" applyFill="1" applyBorder="1" applyAlignment="1">
      <alignment horizontal="left"/>
    </xf>
    <xf numFmtId="0" fontId="18" fillId="9" borderId="32" xfId="0" applyFont="1" applyFill="1" applyBorder="1" applyAlignment="1">
      <alignment horizontal="left"/>
    </xf>
    <xf numFmtId="0" fontId="51" fillId="9" borderId="0" xfId="0" applyFont="1" applyFill="1" applyAlignment="1">
      <alignment horizontal="left" vertical="top"/>
    </xf>
    <xf numFmtId="0" fontId="18" fillId="9" borderId="33" xfId="0" applyFont="1" applyFill="1" applyBorder="1" applyAlignment="1">
      <alignment horizontal="left"/>
    </xf>
    <xf numFmtId="0" fontId="52" fillId="9" borderId="0" xfId="0" applyFont="1" applyFill="1" applyAlignment="1">
      <alignment horizontal="left"/>
    </xf>
    <xf numFmtId="166" fontId="0" fillId="9" borderId="0" xfId="1" applyNumberFormat="1" applyFont="1" applyFill="1" applyBorder="1" applyAlignment="1" applyProtection="1">
      <alignment horizontal="left"/>
    </xf>
    <xf numFmtId="166" fontId="0" fillId="9" borderId="0" xfId="1" applyNumberFormat="1" applyFont="1" applyFill="1" applyBorder="1" applyProtection="1"/>
    <xf numFmtId="166" fontId="28" fillId="9" borderId="18" xfId="0" applyNumberFormat="1" applyFont="1" applyFill="1" applyBorder="1"/>
    <xf numFmtId="10" fontId="0" fillId="9" borderId="0" xfId="0" applyNumberFormat="1" applyFill="1"/>
    <xf numFmtId="10" fontId="28" fillId="9" borderId="18" xfId="0" applyNumberFormat="1" applyFont="1" applyFill="1" applyBorder="1" applyAlignment="1">
      <alignment horizontal="right"/>
    </xf>
    <xf numFmtId="0" fontId="45" fillId="9" borderId="0" xfId="0" applyFont="1" applyFill="1"/>
    <xf numFmtId="3" fontId="0" fillId="9" borderId="18" xfId="0" applyNumberFormat="1" applyFill="1" applyBorder="1"/>
    <xf numFmtId="166" fontId="28" fillId="9" borderId="19" xfId="0" applyNumberFormat="1" applyFont="1" applyFill="1" applyBorder="1"/>
    <xf numFmtId="0" fontId="36" fillId="9" borderId="0" xfId="0" applyFont="1" applyFill="1"/>
    <xf numFmtId="0" fontId="18" fillId="9" borderId="37" xfId="0" applyFont="1" applyFill="1" applyBorder="1"/>
    <xf numFmtId="0" fontId="0" fillId="9" borderId="38" xfId="0" applyFill="1" applyBorder="1"/>
    <xf numFmtId="168" fontId="36" fillId="9" borderId="0" xfId="1" applyNumberFormat="1" applyFont="1" applyFill="1"/>
    <xf numFmtId="0" fontId="28" fillId="9" borderId="26" xfId="0" applyFont="1" applyFill="1" applyBorder="1" applyAlignment="1">
      <alignment horizontal="right"/>
    </xf>
    <xf numFmtId="0" fontId="0" fillId="9" borderId="30" xfId="0" applyFill="1" applyBorder="1"/>
    <xf numFmtId="0" fontId="28" fillId="9" borderId="30" xfId="0" applyFont="1" applyFill="1" applyBorder="1" applyAlignment="1">
      <alignment horizontal="right"/>
    </xf>
    <xf numFmtId="0" fontId="0" fillId="9" borderId="30" xfId="0" applyFill="1" applyBorder="1" applyAlignment="1">
      <alignment horizontal="center"/>
    </xf>
    <xf numFmtId="0" fontId="0" fillId="9" borderId="25" xfId="0" applyFill="1" applyBorder="1"/>
    <xf numFmtId="3" fontId="30" fillId="9" borderId="0" xfId="18" applyNumberFormat="1" applyFont="1" applyFill="1" applyBorder="1" applyAlignment="1"/>
    <xf numFmtId="3" fontId="0" fillId="9" borderId="23" xfId="18" applyNumberFormat="1" applyFont="1" applyFill="1" applyAlignment="1"/>
    <xf numFmtId="10" fontId="28" fillId="9" borderId="0" xfId="14" quotePrefix="1" applyNumberFormat="1" applyFont="1" applyFill="1" applyBorder="1" applyAlignment="1" applyProtection="1"/>
    <xf numFmtId="3" fontId="28" fillId="9" borderId="0" xfId="18" applyNumberFormat="1" applyFont="1" applyFill="1" applyBorder="1" applyAlignment="1"/>
    <xf numFmtId="10" fontId="1" fillId="9" borderId="0" xfId="14" quotePrefix="1" applyNumberFormat="1" applyFont="1" applyFill="1" applyBorder="1" applyAlignment="1" applyProtection="1"/>
    <xf numFmtId="3" fontId="1" fillId="9" borderId="0" xfId="18" applyNumberFormat="1" applyFont="1" applyFill="1" applyBorder="1" applyAlignment="1"/>
    <xf numFmtId="3" fontId="0" fillId="9" borderId="25" xfId="0" quotePrefix="1" applyNumberFormat="1" applyFill="1" applyBorder="1"/>
    <xf numFmtId="0" fontId="28" fillId="9" borderId="27" xfId="0" applyFont="1" applyFill="1" applyBorder="1"/>
    <xf numFmtId="3" fontId="0" fillId="9" borderId="27" xfId="0" applyNumberFormat="1" applyFill="1" applyBorder="1"/>
    <xf numFmtId="0" fontId="41" fillId="9" borderId="0" xfId="7" applyNumberFormat="1" applyFill="1" applyBorder="1" applyAlignment="1">
      <alignment horizontal="center"/>
    </xf>
    <xf numFmtId="0" fontId="41" fillId="9" borderId="0" xfId="7" applyNumberFormat="1" applyFill="1" applyBorder="1" applyAlignment="1"/>
    <xf numFmtId="0" fontId="0" fillId="9" borderId="24" xfId="0" applyFill="1" applyBorder="1"/>
    <xf numFmtId="164" fontId="0" fillId="9" borderId="25" xfId="14" quotePrefix="1" applyNumberFormat="1" applyFont="1" applyFill="1" applyBorder="1" applyAlignment="1" applyProtection="1"/>
    <xf numFmtId="3" fontId="0" fillId="9" borderId="0" xfId="18" applyNumberFormat="1" applyFont="1" applyFill="1" applyBorder="1" applyAlignment="1"/>
    <xf numFmtId="10" fontId="28" fillId="9" borderId="0" xfId="14" applyNumberFormat="1" applyFont="1" applyFill="1" applyBorder="1" applyAlignment="1"/>
    <xf numFmtId="3" fontId="41" fillId="9" borderId="0" xfId="7" applyNumberFormat="1" applyFill="1" applyBorder="1" applyAlignment="1">
      <alignment horizontal="center"/>
    </xf>
    <xf numFmtId="10" fontId="0" fillId="9" borderId="0" xfId="14" applyNumberFormat="1" applyFont="1" applyFill="1" applyBorder="1" applyAlignment="1"/>
    <xf numFmtId="10" fontId="41" fillId="9" borderId="0" xfId="14" applyNumberFormat="1" applyFont="1" applyFill="1" applyBorder="1" applyAlignment="1">
      <alignment horizontal="center"/>
    </xf>
    <xf numFmtId="0" fontId="8" fillId="9" borderId="0" xfId="0" applyFont="1" applyFill="1" applyAlignment="1">
      <alignment horizontal="right"/>
    </xf>
    <xf numFmtId="0" fontId="28" fillId="9" borderId="2" xfId="0" applyFont="1" applyFill="1" applyBorder="1" applyAlignment="1">
      <alignment horizontal="left"/>
    </xf>
    <xf numFmtId="0" fontId="0" fillId="9" borderId="1" xfId="0" applyFill="1" applyBorder="1" applyAlignment="1">
      <alignment horizontal="left"/>
    </xf>
    <xf numFmtId="0" fontId="30" fillId="9" borderId="0" xfId="0" applyFont="1" applyFill="1" applyAlignment="1">
      <alignment horizontal="center"/>
    </xf>
    <xf numFmtId="0" fontId="49" fillId="9" borderId="0" xfId="0" applyFont="1" applyFill="1" applyAlignment="1">
      <alignment horizontal="left"/>
    </xf>
    <xf numFmtId="0" fontId="44" fillId="9" borderId="0" xfId="0" applyFont="1" applyFill="1"/>
    <xf numFmtId="0" fontId="50" fillId="9" borderId="28" xfId="0" applyFont="1" applyFill="1" applyBorder="1"/>
    <xf numFmtId="0" fontId="0" fillId="9" borderId="28" xfId="0" applyFill="1" applyBorder="1"/>
    <xf numFmtId="0" fontId="28" fillId="9" borderId="29" xfId="0" applyFont="1" applyFill="1" applyBorder="1"/>
    <xf numFmtId="0" fontId="0" fillId="9" borderId="29" xfId="0" applyFill="1" applyBorder="1"/>
    <xf numFmtId="0" fontId="0" fillId="9" borderId="1" xfId="0" applyFill="1" applyBorder="1" applyAlignment="1">
      <alignment horizontal="right"/>
    </xf>
    <xf numFmtId="0" fontId="28" fillId="9" borderId="0" xfId="18" applyFont="1" applyFill="1" applyBorder="1" applyAlignment="1"/>
    <xf numFmtId="0" fontId="45" fillId="9" borderId="0" xfId="0" applyFont="1" applyFill="1" applyAlignment="1">
      <alignment horizontal="left"/>
    </xf>
    <xf numFmtId="0" fontId="28" fillId="9" borderId="29" xfId="0" applyFont="1" applyFill="1" applyBorder="1" applyAlignment="1">
      <alignment horizontal="right"/>
    </xf>
    <xf numFmtId="0" fontId="45" fillId="9" borderId="0" xfId="17" applyNumberFormat="1" applyFill="1" applyBorder="1" applyAlignment="1" applyProtection="1">
      <alignment horizontal="right"/>
    </xf>
    <xf numFmtId="10" fontId="28" fillId="9" borderId="0" xfId="14" applyNumberFormat="1" applyFont="1" applyFill="1" applyBorder="1" applyAlignment="1" applyProtection="1">
      <alignment horizontal="right"/>
    </xf>
    <xf numFmtId="10" fontId="1" fillId="9" borderId="23" xfId="18" applyNumberFormat="1" applyFont="1" applyFill="1" applyAlignment="1">
      <alignment horizontal="right"/>
    </xf>
    <xf numFmtId="10" fontId="28" fillId="9" borderId="23" xfId="18" applyNumberFormat="1" applyFont="1" applyFill="1" applyAlignment="1">
      <alignment horizontal="right"/>
    </xf>
    <xf numFmtId="0" fontId="50" fillId="9" borderId="0" xfId="0" applyFont="1" applyFill="1" applyAlignment="1">
      <alignment horizontal="right"/>
    </xf>
    <xf numFmtId="166" fontId="0" fillId="9" borderId="27" xfId="1" applyNumberFormat="1" applyFont="1" applyFill="1" applyBorder="1" applyAlignment="1" applyProtection="1"/>
    <xf numFmtId="0" fontId="56" fillId="9" borderId="0" xfId="0" applyFont="1" applyFill="1"/>
    <xf numFmtId="0" fontId="0" fillId="9" borderId="52" xfId="0" applyFill="1" applyBorder="1"/>
    <xf numFmtId="0" fontId="28" fillId="9" borderId="52" xfId="0" applyFont="1" applyFill="1" applyBorder="1" applyAlignment="1">
      <alignment horizontal="right"/>
    </xf>
    <xf numFmtId="0" fontId="28" fillId="9" borderId="28" xfId="0" applyFont="1" applyFill="1" applyBorder="1"/>
    <xf numFmtId="0" fontId="0" fillId="9" borderId="2" xfId="0" applyFill="1" applyBorder="1" applyAlignment="1">
      <alignment horizontal="left"/>
    </xf>
    <xf numFmtId="0" fontId="36" fillId="0" borderId="0" xfId="0" applyFont="1"/>
    <xf numFmtId="0" fontId="59" fillId="9" borderId="0" xfId="0" applyFont="1" applyFill="1" applyAlignment="1">
      <alignment horizontal="left"/>
    </xf>
    <xf numFmtId="0" fontId="30" fillId="9" borderId="0" xfId="0" applyFont="1" applyFill="1" applyAlignment="1">
      <alignment horizontal="left"/>
    </xf>
    <xf numFmtId="0" fontId="53" fillId="9" borderId="0" xfId="0" applyFont="1" applyFill="1" applyAlignment="1">
      <alignment horizontal="left"/>
    </xf>
    <xf numFmtId="0" fontId="60" fillId="9" borderId="0" xfId="0" applyFont="1" applyFill="1" applyAlignment="1">
      <alignment horizontal="left"/>
    </xf>
    <xf numFmtId="0" fontId="26" fillId="9" borderId="0" xfId="0" applyFont="1" applyFill="1" applyAlignment="1">
      <alignment horizontal="center"/>
    </xf>
    <xf numFmtId="0" fontId="26" fillId="9" borderId="0" xfId="0" applyFont="1" applyFill="1" applyAlignment="1">
      <alignment horizontal="left"/>
    </xf>
    <xf numFmtId="0" fontId="58" fillId="9" borderId="5" xfId="0" applyFont="1" applyFill="1" applyBorder="1" applyAlignment="1">
      <alignment horizontal="left" vertical="center"/>
    </xf>
    <xf numFmtId="0" fontId="5" fillId="9" borderId="2" xfId="0" applyFont="1" applyFill="1" applyBorder="1" applyAlignment="1">
      <alignment horizontal="center"/>
    </xf>
    <xf numFmtId="0" fontId="58" fillId="9" borderId="0" xfId="0" applyFont="1" applyFill="1" applyAlignment="1">
      <alignment horizontal="left"/>
    </xf>
    <xf numFmtId="0" fontId="24" fillId="9" borderId="0" xfId="0" applyFont="1" applyFill="1" applyAlignment="1">
      <alignment horizontal="left"/>
    </xf>
    <xf numFmtId="166" fontId="0" fillId="9" borderId="0" xfId="0" applyNumberFormat="1" applyFill="1"/>
    <xf numFmtId="0" fontId="8" fillId="9" borderId="34" xfId="0" applyFont="1" applyFill="1" applyBorder="1" applyAlignment="1">
      <alignment horizontal="center"/>
    </xf>
    <xf numFmtId="0" fontId="30" fillId="9" borderId="34" xfId="0" applyFont="1" applyFill="1" applyBorder="1" applyAlignment="1">
      <alignment horizontal="center"/>
    </xf>
    <xf numFmtId="3" fontId="28" fillId="9" borderId="53" xfId="18" applyNumberFormat="1" applyFont="1" applyFill="1" applyBorder="1" applyAlignment="1"/>
    <xf numFmtId="0" fontId="24" fillId="9" borderId="0" xfId="0" applyFont="1" applyFill="1" applyAlignment="1">
      <alignment horizontal="right"/>
    </xf>
    <xf numFmtId="0" fontId="16" fillId="9" borderId="0" xfId="0" applyFont="1" applyFill="1" applyAlignment="1">
      <alignment horizontal="right"/>
    </xf>
    <xf numFmtId="2" fontId="28" fillId="9" borderId="4" xfId="14" applyNumberFormat="1" applyFont="1" applyFill="1" applyBorder="1" applyAlignment="1" applyProtection="1">
      <alignment horizontal="right" vertical="center"/>
    </xf>
    <xf numFmtId="10" fontId="0" fillId="9" borderId="4" xfId="14" applyNumberFormat="1" applyFont="1" applyFill="1" applyBorder="1" applyAlignment="1" applyProtection="1">
      <alignment horizontal="right" vertical="center"/>
    </xf>
    <xf numFmtId="0" fontId="8" fillId="12" borderId="0" xfId="0" applyFont="1" applyFill="1" applyAlignment="1">
      <alignment horizontal="center"/>
    </xf>
    <xf numFmtId="0" fontId="0" fillId="12" borderId="0" xfId="0" applyFill="1" applyAlignment="1">
      <alignment horizontal="left"/>
    </xf>
    <xf numFmtId="3" fontId="28" fillId="12" borderId="4" xfId="1" applyNumberFormat="1" applyFont="1" applyFill="1" applyBorder="1" applyAlignment="1" applyProtection="1"/>
    <xf numFmtId="167" fontId="46" fillId="16" borderId="16" xfId="9" applyNumberFormat="1" applyFont="1" applyFill="1" applyBorder="1" applyAlignment="1"/>
    <xf numFmtId="3" fontId="28" fillId="9" borderId="4" xfId="14" applyNumberFormat="1" applyFont="1" applyFill="1" applyBorder="1" applyAlignment="1" applyProtection="1">
      <alignment horizontal="right" vertical="center"/>
    </xf>
    <xf numFmtId="3" fontId="28" fillId="9" borderId="4" xfId="1" applyNumberFormat="1" applyFont="1" applyFill="1" applyBorder="1" applyAlignment="1" applyProtection="1">
      <alignment horizontal="right"/>
    </xf>
    <xf numFmtId="10" fontId="0" fillId="9" borderId="0" xfId="14" applyNumberFormat="1" applyFont="1" applyFill="1" applyBorder="1" applyAlignment="1">
      <alignment horizontal="right"/>
    </xf>
    <xf numFmtId="3" fontId="0" fillId="9" borderId="0" xfId="0" applyNumberFormat="1" applyFill="1" applyAlignment="1">
      <alignment horizontal="right"/>
    </xf>
    <xf numFmtId="3" fontId="0" fillId="9" borderId="0" xfId="18" applyNumberFormat="1" applyFont="1" applyFill="1" applyBorder="1" applyAlignment="1">
      <alignment horizontal="right"/>
    </xf>
    <xf numFmtId="0" fontId="0" fillId="15" borderId="0" xfId="0" applyFill="1" applyAlignment="1">
      <alignment horizontal="left"/>
    </xf>
    <xf numFmtId="0" fontId="0" fillId="9" borderId="5" xfId="0" applyFill="1" applyBorder="1" applyAlignment="1">
      <alignment horizontal="left"/>
    </xf>
    <xf numFmtId="0" fontId="0" fillId="9" borderId="28" xfId="0" applyFill="1" applyBorder="1" applyAlignment="1">
      <alignment horizontal="right"/>
    </xf>
    <xf numFmtId="10" fontId="0" fillId="9" borderId="23" xfId="18" applyNumberFormat="1" applyFont="1" applyFill="1" applyAlignment="1">
      <alignment horizontal="right"/>
    </xf>
    <xf numFmtId="0" fontId="61" fillId="9" borderId="0" xfId="0" applyFont="1" applyFill="1" applyAlignment="1">
      <alignment horizontal="left"/>
    </xf>
    <xf numFmtId="0" fontId="15" fillId="9" borderId="0" xfId="5" applyFill="1" applyBorder="1" applyAlignment="1" applyProtection="1">
      <alignment horizontal="left" vertical="center"/>
    </xf>
    <xf numFmtId="0" fontId="22" fillId="9" borderId="0" xfId="0" applyFont="1" applyFill="1" applyAlignment="1">
      <alignment horizontal="left"/>
    </xf>
    <xf numFmtId="0" fontId="0" fillId="9" borderId="32" xfId="0" applyFill="1" applyBorder="1" applyAlignment="1">
      <alignment horizontal="left"/>
    </xf>
    <xf numFmtId="0" fontId="28" fillId="9" borderId="26" xfId="0" applyFont="1" applyFill="1" applyBorder="1" applyAlignment="1">
      <alignment horizontal="center"/>
    </xf>
    <xf numFmtId="0" fontId="58" fillId="9" borderId="1" xfId="0" applyFont="1" applyFill="1" applyBorder="1" applyAlignment="1">
      <alignment horizontal="left" vertical="center"/>
    </xf>
    <xf numFmtId="0" fontId="58" fillId="9" borderId="6" xfId="0" applyFont="1" applyFill="1" applyBorder="1" applyAlignment="1">
      <alignment horizontal="left" vertical="center"/>
    </xf>
    <xf numFmtId="0" fontId="61" fillId="9" borderId="1" xfId="0" applyFont="1" applyFill="1" applyBorder="1" applyAlignment="1">
      <alignment horizontal="left" vertical="center"/>
    </xf>
    <xf numFmtId="0" fontId="61" fillId="9" borderId="6" xfId="0" applyFont="1" applyFill="1" applyBorder="1" applyAlignment="1">
      <alignment horizontal="left" vertical="center"/>
    </xf>
    <xf numFmtId="0" fontId="58" fillId="9" borderId="1" xfId="0" applyFont="1" applyFill="1" applyBorder="1" applyAlignment="1">
      <alignment horizontal="center" vertical="center"/>
    </xf>
    <xf numFmtId="0" fontId="0" fillId="9" borderId="31" xfId="0" applyFill="1" applyBorder="1" applyAlignment="1">
      <alignment horizontal="left"/>
    </xf>
    <xf numFmtId="0" fontId="0" fillId="9" borderId="35" xfId="0" applyFill="1" applyBorder="1" applyAlignment="1">
      <alignment horizontal="left"/>
    </xf>
    <xf numFmtId="0" fontId="0" fillId="9" borderId="27" xfId="0" applyFill="1" applyBorder="1" applyAlignment="1">
      <alignment horizontal="left"/>
    </xf>
    <xf numFmtId="0" fontId="0" fillId="9" borderId="36" xfId="0" applyFill="1" applyBorder="1" applyAlignment="1">
      <alignment horizontal="left"/>
    </xf>
    <xf numFmtId="0" fontId="28" fillId="9" borderId="26" xfId="0" applyFont="1" applyFill="1" applyBorder="1" applyAlignment="1">
      <alignment horizontal="left"/>
    </xf>
    <xf numFmtId="0" fontId="28" fillId="9" borderId="32" xfId="0" applyFont="1" applyFill="1" applyBorder="1" applyAlignment="1">
      <alignment horizontal="left"/>
    </xf>
    <xf numFmtId="0" fontId="28" fillId="9" borderId="34" xfId="0" applyFont="1" applyFill="1" applyBorder="1" applyAlignment="1">
      <alignment horizontal="left"/>
    </xf>
    <xf numFmtId="0" fontId="0" fillId="9" borderId="33" xfId="0" applyFill="1" applyBorder="1" applyAlignment="1">
      <alignment horizontal="left" vertical="center"/>
    </xf>
    <xf numFmtId="0" fontId="0" fillId="9" borderId="34" xfId="0" applyFill="1" applyBorder="1" applyAlignment="1">
      <alignment horizontal="left" vertical="center"/>
    </xf>
    <xf numFmtId="0" fontId="36" fillId="9" borderId="34" xfId="0" applyFont="1" applyFill="1" applyBorder="1" applyAlignment="1">
      <alignment horizontal="left"/>
    </xf>
    <xf numFmtId="0" fontId="36" fillId="9" borderId="33" xfId="0" applyFont="1" applyFill="1" applyBorder="1" applyAlignment="1">
      <alignment horizontal="left"/>
    </xf>
    <xf numFmtId="0" fontId="0" fillId="15" borderId="27" xfId="0" applyFill="1" applyBorder="1" applyAlignment="1">
      <alignment horizontal="left"/>
    </xf>
    <xf numFmtId="0" fontId="28" fillId="9" borderId="27" xfId="0" applyFont="1" applyFill="1" applyBorder="1" applyAlignment="1">
      <alignment horizontal="left"/>
    </xf>
    <xf numFmtId="0" fontId="8" fillId="9" borderId="26" xfId="0" applyFont="1" applyFill="1" applyBorder="1" applyAlignment="1">
      <alignment horizontal="center"/>
    </xf>
    <xf numFmtId="15" fontId="43" fillId="9" borderId="27" xfId="0" applyNumberFormat="1" applyFont="1" applyFill="1" applyBorder="1" applyAlignment="1">
      <alignment horizontal="left"/>
    </xf>
    <xf numFmtId="18" fontId="43" fillId="9" borderId="27" xfId="0" applyNumberFormat="1" applyFont="1" applyFill="1" applyBorder="1" applyAlignment="1">
      <alignment horizontal="left"/>
    </xf>
    <xf numFmtId="0" fontId="43" fillId="9" borderId="27" xfId="0" applyFont="1" applyFill="1" applyBorder="1" applyAlignment="1">
      <alignment horizontal="left"/>
    </xf>
    <xf numFmtId="0" fontId="22" fillId="9" borderId="26" xfId="0" applyFont="1" applyFill="1" applyBorder="1" applyAlignment="1">
      <alignment horizontal="left"/>
    </xf>
    <xf numFmtId="4" fontId="15" fillId="4" borderId="0" xfId="5" applyNumberFormat="1" applyFill="1" applyBorder="1" applyAlignment="1" applyProtection="1">
      <protection locked="0"/>
    </xf>
    <xf numFmtId="0" fontId="22" fillId="8" borderId="18" xfId="0" applyFont="1" applyFill="1" applyBorder="1" applyAlignment="1">
      <alignment horizontal="left"/>
    </xf>
    <xf numFmtId="0" fontId="28" fillId="8" borderId="7" xfId="0" applyFont="1" applyFill="1" applyBorder="1" applyAlignment="1">
      <alignment horizontal="left"/>
    </xf>
    <xf numFmtId="0" fontId="28" fillId="8" borderId="5" xfId="0" applyFont="1" applyFill="1" applyBorder="1"/>
    <xf numFmtId="0" fontId="28" fillId="8" borderId="1" xfId="0" applyFont="1" applyFill="1" applyBorder="1"/>
    <xf numFmtId="0" fontId="0" fillId="8" borderId="6" xfId="0" applyFill="1" applyBorder="1"/>
    <xf numFmtId="0" fontId="43" fillId="9" borderId="2" xfId="0" applyFont="1" applyFill="1" applyBorder="1"/>
    <xf numFmtId="0" fontId="28" fillId="9" borderId="4" xfId="0" applyFont="1" applyFill="1" applyBorder="1" applyAlignment="1">
      <alignment horizontal="right"/>
    </xf>
    <xf numFmtId="3" fontId="1" fillId="4" borderId="20" xfId="13" applyNumberFormat="1" applyBorder="1" applyAlignment="1">
      <protection locked="0"/>
    </xf>
    <xf numFmtId="3" fontId="28" fillId="9" borderId="20" xfId="0" applyNumberFormat="1" applyFont="1" applyFill="1" applyBorder="1"/>
    <xf numFmtId="3" fontId="43" fillId="9" borderId="20" xfId="0" applyNumberFormat="1" applyFont="1" applyFill="1" applyBorder="1"/>
    <xf numFmtId="3" fontId="0" fillId="9" borderId="20" xfId="0" applyNumberFormat="1" applyFill="1" applyBorder="1"/>
    <xf numFmtId="0" fontId="0" fillId="0" borderId="20" xfId="0" applyBorder="1"/>
    <xf numFmtId="0" fontId="41" fillId="9" borderId="2" xfId="7" applyNumberFormat="1" applyFill="1" applyBorder="1" applyAlignment="1"/>
    <xf numFmtId="3" fontId="41" fillId="9" borderId="20" xfId="7" applyNumberFormat="1" applyFill="1" applyBorder="1" applyAlignment="1"/>
    <xf numFmtId="0" fontId="28" fillId="9" borderId="0" xfId="0" applyFont="1" applyFill="1" applyAlignment="1">
      <alignment horizontal="left" vertical="top"/>
    </xf>
    <xf numFmtId="4" fontId="28" fillId="9" borderId="48" xfId="0" applyNumberFormat="1" applyFont="1" applyFill="1" applyBorder="1" applyAlignment="1">
      <alignment horizontal="left" vertical="top"/>
    </xf>
    <xf numFmtId="0" fontId="0" fillId="9" borderId="1" xfId="0" applyFill="1" applyBorder="1" applyAlignment="1">
      <alignment horizontal="center"/>
    </xf>
    <xf numFmtId="10" fontId="1" fillId="4" borderId="20" xfId="12" applyNumberFormat="1" applyBorder="1" applyAlignment="1">
      <protection locked="0"/>
    </xf>
    <xf numFmtId="164" fontId="0" fillId="9" borderId="0" xfId="14" applyNumberFormat="1" applyFont="1" applyFill="1" applyBorder="1"/>
    <xf numFmtId="0" fontId="0" fillId="9" borderId="34" xfId="0" applyFill="1" applyBorder="1" applyAlignment="1" applyProtection="1">
      <alignment horizontal="right"/>
      <protection locked="0"/>
    </xf>
    <xf numFmtId="2" fontId="28" fillId="12" borderId="1" xfId="0" applyNumberFormat="1" applyFont="1" applyFill="1" applyBorder="1" applyAlignment="1">
      <alignment horizontal="center" vertical="center"/>
    </xf>
    <xf numFmtId="0" fontId="28" fillId="9" borderId="0" xfId="0" applyFont="1" applyFill="1" applyAlignment="1">
      <alignment vertical="center"/>
    </xf>
    <xf numFmtId="164" fontId="0" fillId="9" borderId="3" xfId="14" applyNumberFormat="1" applyFont="1" applyFill="1" applyBorder="1"/>
    <xf numFmtId="3" fontId="28" fillId="12" borderId="4" xfId="0" applyNumberFormat="1" applyFont="1" applyFill="1" applyBorder="1"/>
    <xf numFmtId="4" fontId="0" fillId="4" borderId="4" xfId="13" applyFont="1" applyBorder="1" applyAlignment="1">
      <alignment horizontal="right"/>
      <protection locked="0"/>
    </xf>
    <xf numFmtId="3" fontId="0" fillId="4" borderId="4" xfId="13" applyNumberFormat="1" applyFont="1" applyBorder="1" applyAlignment="1">
      <alignment horizontal="right"/>
      <protection locked="0"/>
    </xf>
    <xf numFmtId="3" fontId="28" fillId="9" borderId="4" xfId="0" applyNumberFormat="1" applyFont="1" applyFill="1" applyBorder="1"/>
    <xf numFmtId="2" fontId="28" fillId="12" borderId="5" xfId="0" applyNumberFormat="1" applyFont="1" applyFill="1" applyBorder="1" applyAlignment="1">
      <alignment horizontal="center" vertical="center"/>
    </xf>
    <xf numFmtId="164" fontId="0" fillId="9" borderId="2" xfId="14" applyNumberFormat="1" applyFont="1" applyFill="1" applyBorder="1"/>
    <xf numFmtId="0" fontId="28" fillId="9" borderId="2" xfId="0" applyFont="1" applyFill="1" applyBorder="1" applyAlignment="1">
      <alignment horizontal="center"/>
    </xf>
    <xf numFmtId="0" fontId="28" fillId="9" borderId="3" xfId="0" applyFont="1" applyFill="1" applyBorder="1" applyAlignment="1">
      <alignment horizontal="center"/>
    </xf>
    <xf numFmtId="0" fontId="28" fillId="9" borderId="18" xfId="0" applyFont="1" applyFill="1" applyBorder="1" applyAlignment="1">
      <alignment horizontal="center"/>
    </xf>
    <xf numFmtId="0" fontId="8" fillId="9" borderId="0" xfId="0" applyFont="1" applyFill="1" applyAlignment="1">
      <alignment horizontal="left" vertical="center"/>
    </xf>
    <xf numFmtId="0" fontId="42" fillId="9" borderId="0" xfId="0" applyFont="1" applyFill="1"/>
    <xf numFmtId="0" fontId="48" fillId="9" borderId="0" xfId="0" applyFont="1" applyFill="1"/>
    <xf numFmtId="0" fontId="28" fillId="9" borderId="2" xfId="0" applyFont="1" applyFill="1" applyBorder="1" applyAlignment="1">
      <alignment horizontal="left" vertical="center"/>
    </xf>
    <xf numFmtId="0" fontId="0" fillId="9" borderId="2" xfId="0" applyFill="1" applyBorder="1" applyAlignment="1">
      <alignment horizontal="left" vertical="center"/>
    </xf>
    <xf numFmtId="0" fontId="28" fillId="9" borderId="5" xfId="0" applyFont="1" applyFill="1" applyBorder="1" applyAlignment="1">
      <alignment horizontal="left" vertical="center"/>
    </xf>
    <xf numFmtId="0" fontId="37" fillId="9" borderId="0" xfId="0" applyFont="1" applyFill="1" applyAlignment="1">
      <alignment horizontal="left" vertical="center"/>
    </xf>
    <xf numFmtId="0" fontId="45" fillId="9" borderId="0" xfId="17" applyNumberFormat="1" applyFill="1" applyBorder="1" applyProtection="1"/>
    <xf numFmtId="0" fontId="0" fillId="9" borderId="0" xfId="18" applyFont="1" applyFill="1" applyBorder="1" applyAlignment="1"/>
    <xf numFmtId="0" fontId="1" fillId="9" borderId="23" xfId="18" applyFill="1" applyAlignment="1"/>
    <xf numFmtId="1" fontId="1" fillId="9" borderId="23" xfId="18" applyNumberFormat="1" applyFill="1" applyAlignment="1"/>
    <xf numFmtId="1" fontId="0" fillId="9" borderId="0" xfId="0" applyNumberFormat="1" applyFill="1"/>
    <xf numFmtId="10" fontId="1" fillId="9" borderId="23" xfId="14" applyNumberFormat="1" applyFont="1" applyFill="1" applyBorder="1" applyAlignment="1"/>
    <xf numFmtId="0" fontId="1" fillId="9" borderId="0" xfId="18" applyFill="1" applyBorder="1" applyAlignment="1"/>
    <xf numFmtId="10" fontId="1" fillId="9" borderId="0" xfId="14" applyNumberFormat="1" applyFont="1" applyFill="1" applyBorder="1" applyAlignment="1"/>
    <xf numFmtId="0" fontId="45" fillId="9" borderId="1" xfId="17" applyNumberFormat="1" applyFill="1" applyBorder="1" applyAlignment="1" applyProtection="1">
      <alignment horizontal="right"/>
    </xf>
    <xf numFmtId="0" fontId="5" fillId="9" borderId="0" xfId="0" applyFont="1" applyFill="1"/>
    <xf numFmtId="4" fontId="41" fillId="9" borderId="0" xfId="7" applyNumberFormat="1" applyFill="1" applyAlignment="1"/>
    <xf numFmtId="3" fontId="1" fillId="4" borderId="2" xfId="13" applyNumberFormat="1" applyBorder="1" applyAlignment="1">
      <protection locked="0"/>
    </xf>
    <xf numFmtId="0" fontId="0" fillId="9" borderId="5" xfId="0" applyFill="1" applyBorder="1" applyAlignment="1">
      <alignment horizontal="right"/>
    </xf>
    <xf numFmtId="0" fontId="45" fillId="9" borderId="17" xfId="17" applyNumberFormat="1" applyFill="1" applyBorder="1" applyAlignment="1" applyProtection="1"/>
    <xf numFmtId="4" fontId="1" fillId="4" borderId="1" xfId="13" applyBorder="1" applyAlignment="1">
      <protection locked="0"/>
    </xf>
    <xf numFmtId="0" fontId="28" fillId="9" borderId="3" xfId="0" applyFont="1" applyFill="1" applyBorder="1" applyAlignment="1">
      <alignment horizontal="right"/>
    </xf>
    <xf numFmtId="3" fontId="28" fillId="9" borderId="2" xfId="0" quotePrefix="1" applyNumberFormat="1" applyFont="1" applyFill="1" applyBorder="1"/>
    <xf numFmtId="10" fontId="28" fillId="9" borderId="3" xfId="14" quotePrefix="1" applyNumberFormat="1" applyFont="1" applyFill="1" applyBorder="1" applyAlignment="1" applyProtection="1"/>
    <xf numFmtId="10" fontId="1" fillId="9" borderId="3" xfId="14" quotePrefix="1" applyNumberFormat="1" applyFont="1" applyFill="1" applyBorder="1" applyAlignment="1" applyProtection="1"/>
    <xf numFmtId="3" fontId="0" fillId="9" borderId="58" xfId="0" quotePrefix="1" applyNumberFormat="1" applyFill="1" applyBorder="1"/>
    <xf numFmtId="10" fontId="0" fillId="9" borderId="6" xfId="0" applyNumberFormat="1" applyFill="1" applyBorder="1"/>
    <xf numFmtId="10" fontId="0" fillId="9" borderId="3" xfId="14" applyNumberFormat="1" applyFont="1" applyFill="1" applyBorder="1" applyAlignment="1">
      <alignment horizontal="right"/>
    </xf>
    <xf numFmtId="3" fontId="0" fillId="9" borderId="3" xfId="18" applyNumberFormat="1" applyFont="1" applyFill="1" applyBorder="1" applyAlignment="1">
      <alignment horizontal="right"/>
    </xf>
    <xf numFmtId="0" fontId="0" fillId="9" borderId="26" xfId="0" applyFill="1" applyBorder="1" applyAlignment="1">
      <alignment horizontal="right"/>
    </xf>
    <xf numFmtId="0" fontId="28" fillId="9" borderId="40" xfId="0" applyFont="1" applyFill="1" applyBorder="1" applyAlignment="1">
      <alignment horizontal="right" vertical="top"/>
    </xf>
    <xf numFmtId="0" fontId="19" fillId="9" borderId="0" xfId="0" applyFont="1" applyFill="1" applyAlignment="1">
      <alignment horizontal="right"/>
    </xf>
    <xf numFmtId="0" fontId="22" fillId="9" borderId="0" xfId="0" applyFont="1" applyFill="1" applyAlignment="1">
      <alignment horizontal="right"/>
    </xf>
    <xf numFmtId="0" fontId="0" fillId="8" borderId="18" xfId="0" applyFill="1" applyBorder="1" applyAlignment="1">
      <alignment horizontal="right"/>
    </xf>
    <xf numFmtId="43" fontId="0" fillId="12" borderId="20" xfId="1" applyFont="1" applyFill="1" applyBorder="1" applyAlignment="1" applyProtection="1">
      <alignment horizontal="right"/>
    </xf>
    <xf numFmtId="43" fontId="0" fillId="12" borderId="17" xfId="1" applyFont="1" applyFill="1" applyBorder="1" applyAlignment="1" applyProtection="1">
      <alignment horizontal="right"/>
    </xf>
    <xf numFmtId="43" fontId="0" fillId="12" borderId="23" xfId="18" applyNumberFormat="1" applyFont="1" applyFill="1" applyAlignment="1">
      <alignment horizontal="right"/>
    </xf>
    <xf numFmtId="0" fontId="0" fillId="8" borderId="1" xfId="0" applyFill="1" applyBorder="1" applyAlignment="1">
      <alignment horizontal="right"/>
    </xf>
    <xf numFmtId="0" fontId="28" fillId="8" borderId="1" xfId="0" applyFont="1" applyFill="1" applyBorder="1" applyAlignment="1">
      <alignment horizontal="right"/>
    </xf>
    <xf numFmtId="4" fontId="0" fillId="9" borderId="27" xfId="0" applyNumberFormat="1" applyFill="1" applyBorder="1" applyAlignment="1">
      <alignment horizontal="right"/>
    </xf>
    <xf numFmtId="0" fontId="0" fillId="8" borderId="2" xfId="0" applyFill="1" applyBorder="1"/>
    <xf numFmtId="0" fontId="0" fillId="8" borderId="3" xfId="0" applyFill="1" applyBorder="1"/>
    <xf numFmtId="0" fontId="0" fillId="9" borderId="2" xfId="0" applyFill="1" applyBorder="1" applyAlignment="1">
      <alignment horizontal="right"/>
    </xf>
    <xf numFmtId="0" fontId="0" fillId="9" borderId="3" xfId="0" applyFill="1" applyBorder="1" applyAlignment="1">
      <alignment horizontal="right"/>
    </xf>
    <xf numFmtId="3" fontId="0" fillId="9" borderId="3" xfId="0" applyNumberFormat="1" applyFill="1" applyBorder="1"/>
    <xf numFmtId="3" fontId="41" fillId="9" borderId="2" xfId="7" applyNumberFormat="1" applyFill="1" applyBorder="1" applyAlignment="1"/>
    <xf numFmtId="3" fontId="41" fillId="9" borderId="0" xfId="7" applyNumberFormat="1" applyFill="1" applyBorder="1" applyAlignment="1"/>
    <xf numFmtId="0" fontId="64" fillId="9" borderId="6" xfId="0" applyFont="1" applyFill="1" applyBorder="1" applyAlignment="1">
      <alignment horizontal="right"/>
    </xf>
    <xf numFmtId="3" fontId="28" fillId="9" borderId="0" xfId="0" applyNumberFormat="1" applyFont="1" applyFill="1"/>
    <xf numFmtId="10" fontId="41" fillId="9" borderId="3" xfId="14" applyNumberFormat="1" applyFont="1" applyFill="1" applyBorder="1" applyAlignment="1"/>
    <xf numFmtId="0" fontId="0" fillId="8" borderId="20" xfId="0" applyFill="1" applyBorder="1"/>
    <xf numFmtId="0" fontId="28" fillId="8" borderId="1" xfId="0" applyFont="1" applyFill="1" applyBorder="1" applyAlignment="1">
      <alignment horizontal="left"/>
    </xf>
    <xf numFmtId="0" fontId="28" fillId="8" borderId="6" xfId="0" applyFont="1" applyFill="1" applyBorder="1" applyAlignment="1">
      <alignment horizontal="left"/>
    </xf>
    <xf numFmtId="3" fontId="0" fillId="9" borderId="20" xfId="0" applyNumberFormat="1" applyFill="1" applyBorder="1" applyAlignment="1">
      <alignment horizontal="right"/>
    </xf>
    <xf numFmtId="0" fontId="41" fillId="9" borderId="5" xfId="7" applyNumberFormat="1" applyFill="1" applyBorder="1" applyAlignment="1"/>
    <xf numFmtId="4" fontId="0" fillId="4" borderId="20" xfId="13" applyFont="1" applyBorder="1" applyAlignment="1">
      <protection locked="0"/>
    </xf>
    <xf numFmtId="4" fontId="0" fillId="4" borderId="20" xfId="13" applyFont="1" applyBorder="1" applyAlignment="1">
      <alignment horizontal="right"/>
      <protection locked="0"/>
    </xf>
    <xf numFmtId="4" fontId="0" fillId="4" borderId="2" xfId="13" applyFont="1" applyBorder="1" applyAlignment="1">
      <alignment horizontal="right"/>
      <protection locked="0"/>
    </xf>
    <xf numFmtId="4" fontId="0" fillId="4" borderId="17" xfId="13" applyFont="1" applyBorder="1" applyAlignment="1">
      <alignment horizontal="right"/>
      <protection locked="0"/>
    </xf>
    <xf numFmtId="4" fontId="0" fillId="4" borderId="5" xfId="13" applyFont="1" applyBorder="1" applyAlignment="1">
      <alignment horizontal="right"/>
      <protection locked="0"/>
    </xf>
    <xf numFmtId="43" fontId="0" fillId="12" borderId="59" xfId="1" applyFont="1" applyFill="1" applyBorder="1" applyAlignment="1" applyProtection="1">
      <alignment horizontal="right"/>
    </xf>
    <xf numFmtId="0" fontId="0" fillId="9" borderId="20" xfId="0" applyFill="1" applyBorder="1" applyAlignment="1">
      <alignment horizontal="center" vertical="center"/>
    </xf>
    <xf numFmtId="4" fontId="0" fillId="4" borderId="20" xfId="13" applyFont="1" applyBorder="1" applyAlignment="1">
      <alignment vertical="center"/>
      <protection locked="0"/>
    </xf>
    <xf numFmtId="3" fontId="0" fillId="4" borderId="20" xfId="13" applyNumberFormat="1" applyFont="1" applyBorder="1" applyAlignment="1">
      <alignment vertical="center"/>
      <protection locked="0"/>
    </xf>
    <xf numFmtId="171" fontId="0" fillId="4" borderId="20" xfId="13" applyNumberFormat="1" applyFont="1" applyBorder="1" applyAlignment="1">
      <alignment vertical="center"/>
      <protection locked="0"/>
    </xf>
    <xf numFmtId="10" fontId="0" fillId="9" borderId="20" xfId="14" applyNumberFormat="1" applyFont="1" applyFill="1" applyBorder="1" applyAlignment="1" applyProtection="1">
      <alignment horizontal="right" vertical="center"/>
    </xf>
    <xf numFmtId="3" fontId="0" fillId="9" borderId="20" xfId="1" applyNumberFormat="1" applyFont="1" applyFill="1" applyBorder="1" applyAlignment="1" applyProtection="1">
      <alignment horizontal="right" vertical="center"/>
    </xf>
    <xf numFmtId="169" fontId="0" fillId="4" borderId="20" xfId="13" applyNumberFormat="1" applyFont="1" applyBorder="1" applyAlignment="1">
      <alignment vertical="center"/>
      <protection locked="0"/>
    </xf>
    <xf numFmtId="10" fontId="28" fillId="9" borderId="20" xfId="14" applyNumberFormat="1" applyFont="1" applyFill="1" applyBorder="1" applyAlignment="1" applyProtection="1">
      <alignment vertical="center"/>
    </xf>
    <xf numFmtId="0" fontId="0" fillId="9" borderId="17" xfId="0" applyFill="1" applyBorder="1" applyAlignment="1">
      <alignment horizontal="center" vertical="center"/>
    </xf>
    <xf numFmtId="4" fontId="0" fillId="4" borderId="17" xfId="13" applyFont="1" applyBorder="1" applyAlignment="1">
      <alignment vertical="center"/>
      <protection locked="0"/>
    </xf>
    <xf numFmtId="3" fontId="0" fillId="4" borderId="17" xfId="13" applyNumberFormat="1" applyFont="1" applyBorder="1" applyAlignment="1">
      <alignment vertical="center"/>
      <protection locked="0"/>
    </xf>
    <xf numFmtId="171" fontId="0" fillId="4" borderId="17" xfId="13" applyNumberFormat="1" applyFont="1" applyBorder="1" applyAlignment="1">
      <alignment vertical="center"/>
      <protection locked="0"/>
    </xf>
    <xf numFmtId="10" fontId="0" fillId="9" borderId="17" xfId="14" applyNumberFormat="1" applyFont="1" applyFill="1" applyBorder="1" applyAlignment="1" applyProtection="1">
      <alignment horizontal="right" vertical="center"/>
    </xf>
    <xf numFmtId="3" fontId="0" fillId="9" borderId="17" xfId="1" applyNumberFormat="1" applyFont="1" applyFill="1" applyBorder="1" applyAlignment="1" applyProtection="1">
      <alignment horizontal="right" vertical="center"/>
    </xf>
    <xf numFmtId="4" fontId="0" fillId="4" borderId="2" xfId="13" applyFont="1" applyBorder="1" applyAlignment="1">
      <alignment vertical="justify"/>
      <protection locked="0"/>
    </xf>
    <xf numFmtId="4" fontId="0" fillId="4" borderId="0" xfId="13" applyFont="1" applyBorder="1" applyAlignment="1">
      <alignment vertical="justify"/>
      <protection locked="0"/>
    </xf>
    <xf numFmtId="4" fontId="0" fillId="4" borderId="3" xfId="13" applyFont="1" applyBorder="1" applyAlignment="1">
      <alignment vertical="justify"/>
      <protection locked="0"/>
    </xf>
    <xf numFmtId="4" fontId="0" fillId="4" borderId="20" xfId="13" applyFont="1" applyBorder="1" applyAlignment="1">
      <alignment horizontal="center" vertical="top"/>
      <protection locked="0"/>
    </xf>
    <xf numFmtId="3" fontId="0" fillId="4" borderId="20" xfId="13" applyNumberFormat="1" applyFont="1" applyBorder="1" applyAlignment="1">
      <alignment horizontal="center" vertical="top"/>
      <protection locked="0"/>
    </xf>
    <xf numFmtId="167" fontId="0" fillId="9" borderId="3" xfId="1" applyNumberFormat="1" applyFont="1" applyFill="1" applyBorder="1" applyAlignment="1" applyProtection="1">
      <alignment horizontal="right"/>
    </xf>
    <xf numFmtId="4" fontId="0" fillId="4" borderId="5" xfId="13" applyFont="1" applyBorder="1" applyAlignment="1">
      <alignment vertical="justify"/>
      <protection locked="0"/>
    </xf>
    <xf numFmtId="4" fontId="0" fillId="4" borderId="1" xfId="13" applyFont="1" applyBorder="1" applyAlignment="1">
      <alignment vertical="justify"/>
      <protection locked="0"/>
    </xf>
    <xf numFmtId="4" fontId="0" fillId="4" borderId="6" xfId="13" applyFont="1" applyBorder="1" applyAlignment="1">
      <alignment vertical="justify"/>
      <protection locked="0"/>
    </xf>
    <xf numFmtId="4" fontId="0" fillId="4" borderId="17" xfId="13" applyFont="1" applyBorder="1" applyAlignment="1">
      <alignment horizontal="center" vertical="top"/>
      <protection locked="0"/>
    </xf>
    <xf numFmtId="3" fontId="0" fillId="4" borderId="17" xfId="13" applyNumberFormat="1" applyFont="1" applyBorder="1" applyAlignment="1">
      <alignment horizontal="center" vertical="top"/>
      <protection locked="0"/>
    </xf>
    <xf numFmtId="167" fontId="0" fillId="9" borderId="6" xfId="1" applyNumberFormat="1" applyFont="1" applyFill="1" applyBorder="1" applyAlignment="1" applyProtection="1">
      <alignment horizontal="right"/>
    </xf>
    <xf numFmtId="10" fontId="0" fillId="12" borderId="20" xfId="14" applyNumberFormat="1" applyFont="1" applyFill="1" applyBorder="1" applyAlignment="1" applyProtection="1">
      <alignment horizontal="right" vertical="center"/>
    </xf>
    <xf numFmtId="3" fontId="0" fillId="12" borderId="20" xfId="1" applyNumberFormat="1" applyFont="1" applyFill="1" applyBorder="1" applyAlignment="1" applyProtection="1">
      <alignment horizontal="right" vertical="center"/>
    </xf>
    <xf numFmtId="10" fontId="0" fillId="12" borderId="17" xfId="14" applyNumberFormat="1" applyFont="1" applyFill="1" applyBorder="1" applyAlignment="1" applyProtection="1">
      <alignment horizontal="right" vertical="center"/>
    </xf>
    <xf numFmtId="3" fontId="0" fillId="12" borderId="17" xfId="1" applyNumberFormat="1" applyFont="1" applyFill="1" applyBorder="1" applyAlignment="1" applyProtection="1">
      <alignment horizontal="right" vertical="center"/>
    </xf>
    <xf numFmtId="0" fontId="0" fillId="0" borderId="0" xfId="0" applyAlignment="1">
      <alignment horizontal="left" vertical="center"/>
    </xf>
    <xf numFmtId="0" fontId="42" fillId="9" borderId="0" xfId="2" applyFill="1" applyBorder="1" applyAlignment="1">
      <alignment horizontal="left"/>
    </xf>
    <xf numFmtId="0" fontId="42" fillId="9" borderId="0" xfId="2" applyFill="1" applyBorder="1" applyAlignment="1" applyProtection="1">
      <alignment horizontal="left"/>
    </xf>
    <xf numFmtId="4" fontId="28" fillId="4" borderId="4" xfId="13" applyFont="1" applyBorder="1" applyAlignment="1">
      <alignment horizontal="left"/>
      <protection locked="0"/>
    </xf>
    <xf numFmtId="4" fontId="0" fillId="4" borderId="4" xfId="13" applyFont="1" applyBorder="1" applyAlignment="1">
      <protection locked="0"/>
    </xf>
    <xf numFmtId="0" fontId="0" fillId="12" borderId="0" xfId="0" applyFill="1"/>
    <xf numFmtId="0" fontId="28" fillId="12" borderId="0" xfId="0" applyFont="1" applyFill="1"/>
    <xf numFmtId="0" fontId="0" fillId="12" borderId="5" xfId="0" applyFill="1" applyBorder="1"/>
    <xf numFmtId="0" fontId="63" fillId="12" borderId="5" xfId="0" applyFont="1" applyFill="1" applyBorder="1" applyAlignment="1">
      <alignment horizontal="right"/>
    </xf>
    <xf numFmtId="0" fontId="63" fillId="12" borderId="1" xfId="0" applyFont="1" applyFill="1" applyBorder="1" applyAlignment="1">
      <alignment horizontal="right"/>
    </xf>
    <xf numFmtId="0" fontId="63" fillId="12" borderId="6" xfId="0" applyFont="1" applyFill="1" applyBorder="1" applyAlignment="1">
      <alignment horizontal="right"/>
    </xf>
    <xf numFmtId="0" fontId="28" fillId="12" borderId="5" xfId="0" applyFont="1" applyFill="1" applyBorder="1" applyAlignment="1">
      <alignment horizontal="right"/>
    </xf>
    <xf numFmtId="0" fontId="28" fillId="12" borderId="1" xfId="0" applyFont="1" applyFill="1" applyBorder="1" applyAlignment="1">
      <alignment horizontal="right"/>
    </xf>
    <xf numFmtId="0" fontId="0" fillId="12" borderId="56" xfId="0" applyFill="1" applyBorder="1" applyAlignment="1">
      <alignment horizontal="center"/>
    </xf>
    <xf numFmtId="0" fontId="0" fillId="12" borderId="57" xfId="0" applyFill="1" applyBorder="1" applyAlignment="1">
      <alignment horizontal="center"/>
    </xf>
    <xf numFmtId="0" fontId="29" fillId="12" borderId="2" xfId="0" applyFont="1" applyFill="1" applyBorder="1"/>
    <xf numFmtId="0" fontId="0" fillId="12" borderId="2" xfId="0" applyFill="1" applyBorder="1"/>
    <xf numFmtId="0" fontId="43" fillId="12" borderId="2" xfId="0" applyFont="1" applyFill="1" applyBorder="1"/>
    <xf numFmtId="0" fontId="28" fillId="12" borderId="2" xfId="0" applyFont="1" applyFill="1" applyBorder="1"/>
    <xf numFmtId="3" fontId="28" fillId="12" borderId="2" xfId="0" quotePrefix="1" applyNumberFormat="1" applyFont="1" applyFill="1" applyBorder="1"/>
    <xf numFmtId="10" fontId="28" fillId="12" borderId="3" xfId="14" quotePrefix="1" applyNumberFormat="1" applyFont="1" applyFill="1" applyBorder="1" applyAlignment="1" applyProtection="1"/>
    <xf numFmtId="3" fontId="41" fillId="12" borderId="0" xfId="7" applyNumberFormat="1" applyFill="1" applyBorder="1" applyAlignment="1">
      <alignment horizontal="right"/>
    </xf>
    <xf numFmtId="3" fontId="0" fillId="12" borderId="2" xfId="0" quotePrefix="1" applyNumberFormat="1" applyFill="1" applyBorder="1"/>
    <xf numFmtId="10" fontId="1" fillId="12" borderId="3" xfId="14" quotePrefix="1" applyNumberFormat="1" applyFont="1" applyFill="1" applyBorder="1" applyAlignment="1" applyProtection="1"/>
    <xf numFmtId="3" fontId="41" fillId="12" borderId="1" xfId="7" applyNumberFormat="1" applyFill="1" applyBorder="1" applyAlignment="1">
      <alignment horizontal="right"/>
    </xf>
    <xf numFmtId="0" fontId="0" fillId="12" borderId="24" xfId="0" applyFill="1" applyBorder="1" applyAlignment="1">
      <alignment horizontal="right"/>
    </xf>
    <xf numFmtId="0" fontId="28" fillId="12" borderId="6" xfId="0" applyFont="1" applyFill="1" applyBorder="1" applyAlignment="1">
      <alignment horizontal="right"/>
    </xf>
    <xf numFmtId="0" fontId="0" fillId="12" borderId="30" xfId="0" applyFill="1" applyBorder="1" applyAlignment="1">
      <alignment horizontal="center"/>
    </xf>
    <xf numFmtId="10" fontId="0" fillId="12" borderId="0" xfId="14" applyNumberFormat="1" applyFont="1" applyFill="1" applyBorder="1" applyAlignment="1">
      <alignment horizontal="right"/>
    </xf>
    <xf numFmtId="10" fontId="0" fillId="12" borderId="3" xfId="14" applyNumberFormat="1" applyFont="1" applyFill="1" applyBorder="1" applyAlignment="1">
      <alignment horizontal="right"/>
    </xf>
    <xf numFmtId="10" fontId="0" fillId="12" borderId="3" xfId="0" applyNumberFormat="1" applyFill="1" applyBorder="1"/>
    <xf numFmtId="3" fontId="0" fillId="12" borderId="3" xfId="0" applyNumberFormat="1" applyFill="1" applyBorder="1" applyAlignment="1">
      <alignment horizontal="right"/>
    </xf>
    <xf numFmtId="3" fontId="28" fillId="12" borderId="25" xfId="0" quotePrefix="1" applyNumberFormat="1" applyFont="1" applyFill="1" applyBorder="1"/>
    <xf numFmtId="10" fontId="28" fillId="12" borderId="3" xfId="14" applyNumberFormat="1" applyFont="1" applyFill="1" applyBorder="1" applyAlignment="1"/>
    <xf numFmtId="3" fontId="0" fillId="12" borderId="0" xfId="18" applyNumberFormat="1" applyFont="1" applyFill="1" applyBorder="1" applyAlignment="1">
      <alignment horizontal="right"/>
    </xf>
    <xf numFmtId="3" fontId="0" fillId="12" borderId="3" xfId="18" applyNumberFormat="1" applyFont="1" applyFill="1" applyBorder="1" applyAlignment="1">
      <alignment horizontal="right"/>
    </xf>
    <xf numFmtId="3" fontId="0" fillId="12" borderId="25" xfId="0" quotePrefix="1" applyNumberFormat="1" applyFill="1" applyBorder="1"/>
    <xf numFmtId="10" fontId="0" fillId="12" borderId="3" xfId="14" applyNumberFormat="1" applyFont="1" applyFill="1" applyBorder="1" applyAlignment="1"/>
    <xf numFmtId="43" fontId="0" fillId="12" borderId="2" xfId="0" applyNumberFormat="1" applyFill="1" applyBorder="1" applyAlignment="1">
      <alignment horizontal="right"/>
    </xf>
    <xf numFmtId="43" fontId="0" fillId="12" borderId="0" xfId="0" applyNumberFormat="1" applyFill="1" applyAlignment="1">
      <alignment horizontal="right"/>
    </xf>
    <xf numFmtId="43" fontId="0" fillId="12" borderId="3" xfId="0" applyNumberFormat="1" applyFill="1" applyBorder="1" applyAlignment="1">
      <alignment horizontal="right"/>
    </xf>
    <xf numFmtId="3" fontId="0" fillId="12" borderId="2" xfId="0" applyNumberFormat="1" applyFill="1" applyBorder="1"/>
    <xf numFmtId="3" fontId="0" fillId="12" borderId="0" xfId="0" applyNumberFormat="1" applyFill="1"/>
    <xf numFmtId="3" fontId="0" fillId="12" borderId="3" xfId="0" applyNumberFormat="1" applyFill="1" applyBorder="1"/>
    <xf numFmtId="3" fontId="0" fillId="12" borderId="20" xfId="0" applyNumberFormat="1" applyFill="1" applyBorder="1"/>
    <xf numFmtId="3" fontId="41" fillId="12" borderId="2" xfId="7" applyNumberFormat="1" applyFill="1" applyBorder="1" applyAlignment="1"/>
    <xf numFmtId="3" fontId="41" fillId="12" borderId="0" xfId="7" applyNumberFormat="1" applyFill="1" applyBorder="1" applyAlignment="1"/>
    <xf numFmtId="3" fontId="41" fillId="12" borderId="20" xfId="7" applyNumberFormat="1" applyFill="1" applyBorder="1" applyAlignment="1"/>
    <xf numFmtId="4" fontId="0" fillId="12" borderId="2" xfId="0" applyNumberFormat="1" applyFill="1" applyBorder="1"/>
    <xf numFmtId="3" fontId="41" fillId="12" borderId="3" xfId="7" applyNumberFormat="1" applyFill="1" applyBorder="1" applyAlignment="1"/>
    <xf numFmtId="0" fontId="28" fillId="12" borderId="17" xfId="0" applyFont="1" applyFill="1" applyBorder="1" applyAlignment="1">
      <alignment horizontal="right"/>
    </xf>
    <xf numFmtId="0" fontId="28" fillId="14" borderId="2" xfId="0" applyFont="1" applyFill="1" applyBorder="1"/>
    <xf numFmtId="0" fontId="63" fillId="12" borderId="2" xfId="0" applyFont="1" applyFill="1" applyBorder="1" applyAlignment="1">
      <alignment horizontal="right"/>
    </xf>
    <xf numFmtId="0" fontId="63" fillId="12" borderId="0" xfId="0" applyFont="1" applyFill="1" applyAlignment="1">
      <alignment horizontal="right"/>
    </xf>
    <xf numFmtId="0" fontId="63" fillId="12" borderId="3" xfId="0" applyFont="1" applyFill="1" applyBorder="1" applyAlignment="1">
      <alignment horizontal="right"/>
    </xf>
    <xf numFmtId="0" fontId="28" fillId="12" borderId="2" xfId="0" applyFont="1" applyFill="1" applyBorder="1" applyAlignment="1">
      <alignment horizontal="right"/>
    </xf>
    <xf numFmtId="0" fontId="28" fillId="12" borderId="0" xfId="0" applyFont="1" applyFill="1" applyAlignment="1">
      <alignment horizontal="right"/>
    </xf>
    <xf numFmtId="0" fontId="28" fillId="12" borderId="3" xfId="0" applyFont="1" applyFill="1" applyBorder="1" applyAlignment="1">
      <alignment horizontal="right"/>
    </xf>
    <xf numFmtId="3" fontId="0" fillId="12" borderId="1" xfId="0" applyNumberFormat="1" applyFill="1" applyBorder="1" applyAlignment="1">
      <alignment horizontal="center"/>
    </xf>
    <xf numFmtId="3" fontId="0" fillId="12" borderId="6" xfId="0" applyNumberFormat="1" applyFill="1" applyBorder="1" applyAlignment="1">
      <alignment horizontal="center"/>
    </xf>
    <xf numFmtId="10" fontId="0" fillId="12" borderId="3" xfId="14" applyNumberFormat="1" applyFont="1" applyFill="1" applyBorder="1"/>
    <xf numFmtId="4" fontId="28" fillId="12" borderId="2" xfId="0" applyNumberFormat="1" applyFont="1" applyFill="1" applyBorder="1"/>
    <xf numFmtId="3" fontId="28" fillId="12" borderId="2" xfId="0" applyNumberFormat="1" applyFont="1" applyFill="1" applyBorder="1"/>
    <xf numFmtId="3" fontId="28" fillId="12" borderId="0" xfId="0" applyNumberFormat="1" applyFont="1" applyFill="1"/>
    <xf numFmtId="3" fontId="28" fillId="12" borderId="3" xfId="0" applyNumberFormat="1" applyFont="1" applyFill="1" applyBorder="1"/>
    <xf numFmtId="10" fontId="28" fillId="12" borderId="3" xfId="14" applyNumberFormat="1" applyFont="1" applyFill="1" applyBorder="1"/>
    <xf numFmtId="10" fontId="41" fillId="12" borderId="3" xfId="14" applyNumberFormat="1" applyFont="1" applyFill="1" applyBorder="1" applyAlignment="1"/>
    <xf numFmtId="10" fontId="0" fillId="12" borderId="0" xfId="14" applyNumberFormat="1" applyFont="1" applyFill="1" applyBorder="1"/>
    <xf numFmtId="0" fontId="28" fillId="12" borderId="0" xfId="0" applyFont="1" applyFill="1" applyAlignment="1">
      <alignment horizontal="left"/>
    </xf>
    <xf numFmtId="0" fontId="0" fillId="12" borderId="1" xfId="0" applyFill="1" applyBorder="1" applyAlignment="1">
      <alignment horizontal="left"/>
    </xf>
    <xf numFmtId="164" fontId="0" fillId="12" borderId="0" xfId="14" applyNumberFormat="1" applyFont="1" applyFill="1" applyBorder="1"/>
    <xf numFmtId="164" fontId="0" fillId="12" borderId="3" xfId="14" applyNumberFormat="1" applyFont="1" applyFill="1" applyBorder="1"/>
    <xf numFmtId="3" fontId="28" fillId="12" borderId="0" xfId="0" applyNumberFormat="1" applyFont="1" applyFill="1" applyAlignment="1">
      <alignment horizontal="left"/>
    </xf>
    <xf numFmtId="164" fontId="0" fillId="12" borderId="2" xfId="14" applyNumberFormat="1" applyFont="1" applyFill="1" applyBorder="1"/>
    <xf numFmtId="0" fontId="28" fillId="14" borderId="0" xfId="0" applyFont="1" applyFill="1" applyProtection="1">
      <protection locked="0"/>
    </xf>
    <xf numFmtId="0" fontId="28" fillId="12" borderId="1" xfId="0" applyFont="1" applyFill="1" applyBorder="1" applyAlignment="1">
      <alignment horizontal="center" vertical="center"/>
    </xf>
    <xf numFmtId="0" fontId="28" fillId="12" borderId="6" xfId="0" applyFont="1" applyFill="1" applyBorder="1" applyAlignment="1">
      <alignment horizontal="center" vertical="center"/>
    </xf>
    <xf numFmtId="3" fontId="0" fillId="13" borderId="20" xfId="13" applyNumberFormat="1" applyFont="1" applyFill="1" applyBorder="1" applyAlignment="1">
      <alignment horizontal="right"/>
      <protection locked="0"/>
    </xf>
    <xf numFmtId="4" fontId="0" fillId="12" borderId="0" xfId="0" applyNumberFormat="1" applyFill="1" applyAlignment="1">
      <alignment horizontal="left"/>
    </xf>
    <xf numFmtId="4" fontId="0" fillId="12" borderId="1" xfId="0" applyNumberFormat="1" applyFill="1" applyBorder="1" applyAlignment="1">
      <alignment horizontal="left"/>
    </xf>
    <xf numFmtId="164" fontId="0" fillId="12" borderId="0" xfId="0" applyNumberFormat="1" applyFill="1"/>
    <xf numFmtId="3" fontId="28" fillId="12" borderId="39" xfId="0" applyNumberFormat="1" applyFont="1" applyFill="1" applyBorder="1" applyAlignment="1">
      <alignment horizontal="left" vertical="top"/>
    </xf>
    <xf numFmtId="2" fontId="28" fillId="12" borderId="5" xfId="0" applyNumberFormat="1" applyFont="1" applyFill="1" applyBorder="1" applyAlignment="1">
      <alignment horizontal="center"/>
    </xf>
    <xf numFmtId="2" fontId="28" fillId="12" borderId="1" xfId="0" applyNumberFormat="1" applyFont="1" applyFill="1" applyBorder="1" applyAlignment="1">
      <alignment horizontal="center"/>
    </xf>
    <xf numFmtId="2" fontId="28" fillId="12" borderId="6" xfId="0" applyNumberFormat="1" applyFont="1" applyFill="1" applyBorder="1" applyAlignment="1">
      <alignment horizontal="center"/>
    </xf>
    <xf numFmtId="4" fontId="0" fillId="12" borderId="2" xfId="0" applyNumberFormat="1" applyFill="1" applyBorder="1" applyAlignment="1">
      <alignment horizontal="right"/>
    </xf>
    <xf numFmtId="4" fontId="0" fillId="12" borderId="0" xfId="0" applyNumberFormat="1" applyFill="1" applyAlignment="1">
      <alignment horizontal="right"/>
    </xf>
    <xf numFmtId="4" fontId="0" fillId="12" borderId="3" xfId="0" applyNumberFormat="1" applyFill="1" applyBorder="1" applyAlignment="1">
      <alignment horizontal="right"/>
    </xf>
    <xf numFmtId="10" fontId="0" fillId="12" borderId="0" xfId="14" applyNumberFormat="1" applyFont="1" applyFill="1" applyBorder="1" applyAlignment="1" applyProtection="1">
      <alignment horizontal="right"/>
    </xf>
    <xf numFmtId="4" fontId="0" fillId="12" borderId="5" xfId="0" applyNumberFormat="1" applyFill="1" applyBorder="1" applyAlignment="1">
      <alignment horizontal="right"/>
    </xf>
    <xf numFmtId="4" fontId="0" fillId="12" borderId="1" xfId="0" applyNumberFormat="1" applyFill="1" applyBorder="1" applyAlignment="1">
      <alignment horizontal="right"/>
    </xf>
    <xf numFmtId="4" fontId="0" fillId="12" borderId="6" xfId="0" applyNumberFormat="1" applyFill="1" applyBorder="1" applyAlignment="1">
      <alignment horizontal="right"/>
    </xf>
    <xf numFmtId="4" fontId="28" fillId="12" borderId="5" xfId="0" applyNumberFormat="1" applyFont="1" applyFill="1" applyBorder="1" applyAlignment="1">
      <alignment horizontal="right"/>
    </xf>
    <xf numFmtId="4" fontId="28" fillId="12" borderId="1" xfId="0" applyNumberFormat="1" applyFont="1" applyFill="1" applyBorder="1" applyAlignment="1">
      <alignment horizontal="right"/>
    </xf>
    <xf numFmtId="4" fontId="28" fillId="12" borderId="6" xfId="0" applyNumberFormat="1" applyFont="1" applyFill="1" applyBorder="1" applyAlignment="1">
      <alignment horizontal="right"/>
    </xf>
    <xf numFmtId="2" fontId="28" fillId="12" borderId="5" xfId="0" applyNumberFormat="1" applyFont="1" applyFill="1" applyBorder="1" applyAlignment="1">
      <alignment horizontal="right"/>
    </xf>
    <xf numFmtId="2" fontId="28" fillId="12" borderId="6" xfId="0" applyNumberFormat="1" applyFont="1" applyFill="1" applyBorder="1" applyAlignment="1">
      <alignment horizontal="right"/>
    </xf>
    <xf numFmtId="3" fontId="0" fillId="12" borderId="44" xfId="0" applyNumberFormat="1" applyFill="1" applyBorder="1"/>
    <xf numFmtId="3" fontId="0" fillId="12" borderId="45" xfId="0" applyNumberFormat="1" applyFill="1" applyBorder="1"/>
    <xf numFmtId="3" fontId="28" fillId="12" borderId="5" xfId="0" applyNumberFormat="1" applyFont="1" applyFill="1" applyBorder="1"/>
    <xf numFmtId="3" fontId="28" fillId="12" borderId="6" xfId="0" applyNumberFormat="1" applyFont="1" applyFill="1" applyBorder="1"/>
    <xf numFmtId="4" fontId="0" fillId="4" borderId="3" xfId="13" applyFont="1" applyBorder="1" applyAlignment="1">
      <alignment horizontal="left"/>
      <protection locked="0"/>
    </xf>
    <xf numFmtId="4" fontId="0" fillId="4" borderId="6" xfId="13" applyFont="1" applyBorder="1" applyAlignment="1">
      <alignment horizontal="left"/>
      <protection locked="0"/>
    </xf>
    <xf numFmtId="4" fontId="0" fillId="4" borderId="6" xfId="13" applyFont="1" applyBorder="1" applyAlignment="1">
      <protection locked="0"/>
    </xf>
    <xf numFmtId="4" fontId="0" fillId="4" borderId="2" xfId="13" applyFont="1" applyBorder="1" applyAlignment="1">
      <alignment horizontal="left"/>
      <protection locked="0"/>
    </xf>
    <xf numFmtId="4" fontId="0" fillId="4" borderId="5" xfId="13" applyFont="1" applyBorder="1" applyAlignment="1">
      <alignment horizontal="left"/>
      <protection locked="0"/>
    </xf>
    <xf numFmtId="4" fontId="0" fillId="4" borderId="5" xfId="13" applyFont="1" applyBorder="1" applyAlignment="1">
      <protection locked="0"/>
    </xf>
    <xf numFmtId="0" fontId="28" fillId="12" borderId="0" xfId="0" applyFont="1" applyFill="1" applyAlignment="1">
      <alignment horizontal="center" vertical="center"/>
    </xf>
    <xf numFmtId="0" fontId="28" fillId="12" borderId="2" xfId="0" applyFont="1" applyFill="1" applyBorder="1" applyAlignment="1">
      <alignment horizontal="center"/>
    </xf>
    <xf numFmtId="0" fontId="28" fillId="12" borderId="0" xfId="0" applyFont="1" applyFill="1" applyAlignment="1">
      <alignment horizontal="center"/>
    </xf>
    <xf numFmtId="0" fontId="28" fillId="12" borderId="3" xfId="0" applyFont="1" applyFill="1" applyBorder="1" applyAlignment="1">
      <alignment horizontal="center"/>
    </xf>
    <xf numFmtId="164" fontId="1" fillId="4" borderId="3" xfId="12" applyBorder="1" applyAlignment="1">
      <protection locked="0"/>
    </xf>
    <xf numFmtId="0" fontId="22" fillId="9" borderId="60" xfId="0" applyFont="1" applyFill="1" applyBorder="1" applyAlignment="1">
      <alignment horizontal="left"/>
    </xf>
    <xf numFmtId="0" fontId="0" fillId="9" borderId="60" xfId="0" applyFill="1" applyBorder="1" applyAlignment="1">
      <alignment horizontal="left"/>
    </xf>
    <xf numFmtId="0" fontId="45" fillId="9" borderId="1" xfId="17" applyNumberFormat="1" applyFill="1" applyBorder="1" applyAlignment="1" applyProtection="1">
      <alignment horizontal="left"/>
    </xf>
    <xf numFmtId="4" fontId="0" fillId="4" borderId="60" xfId="13" applyFont="1" applyBorder="1" applyAlignment="1">
      <alignment vertical="justify"/>
      <protection locked="0"/>
    </xf>
    <xf numFmtId="167" fontId="0" fillId="12" borderId="3" xfId="1" applyNumberFormat="1" applyFont="1" applyFill="1" applyBorder="1" applyAlignment="1" applyProtection="1">
      <alignment horizontal="right"/>
    </xf>
    <xf numFmtId="167" fontId="0" fillId="12" borderId="6" xfId="1" applyNumberFormat="1" applyFont="1" applyFill="1" applyBorder="1" applyAlignment="1" applyProtection="1">
      <alignment horizontal="right"/>
    </xf>
    <xf numFmtId="0" fontId="45" fillId="9" borderId="0" xfId="17" applyNumberFormat="1" applyFill="1" applyBorder="1" applyAlignment="1" applyProtection="1"/>
    <xf numFmtId="0" fontId="54" fillId="9" borderId="0" xfId="17" applyNumberFormat="1" applyFont="1" applyFill="1" applyBorder="1" applyAlignment="1" applyProtection="1"/>
    <xf numFmtId="164" fontId="0" fillId="4" borderId="4" xfId="12" applyFont="1" applyBorder="1" applyAlignment="1">
      <alignment horizontal="right"/>
      <protection locked="0"/>
    </xf>
    <xf numFmtId="0" fontId="42" fillId="9" borderId="0" xfId="2" applyFill="1" applyAlignment="1" applyProtection="1">
      <alignment vertical="top"/>
    </xf>
    <xf numFmtId="0" fontId="19" fillId="9" borderId="0" xfId="0" applyFont="1" applyFill="1" applyAlignment="1">
      <alignment horizontal="center" vertical="center"/>
    </xf>
    <xf numFmtId="0" fontId="28" fillId="12" borderId="2" xfId="0" applyFont="1" applyFill="1" applyBorder="1" applyAlignment="1">
      <alignment horizontal="left"/>
    </xf>
    <xf numFmtId="0" fontId="28" fillId="8" borderId="0" xfId="0" applyFont="1" applyFill="1"/>
    <xf numFmtId="0" fontId="22" fillId="8" borderId="16" xfId="0" applyFont="1" applyFill="1" applyBorder="1"/>
    <xf numFmtId="0" fontId="28" fillId="8" borderId="18" xfId="0" applyFont="1" applyFill="1" applyBorder="1"/>
    <xf numFmtId="4" fontId="28" fillId="9" borderId="0" xfId="0" applyNumberFormat="1" applyFont="1" applyFill="1" applyAlignment="1">
      <alignment horizontal="right"/>
    </xf>
    <xf numFmtId="169" fontId="0" fillId="9" borderId="3" xfId="0" applyNumberFormat="1" applyFill="1" applyBorder="1" applyAlignment="1">
      <alignment horizontal="right"/>
    </xf>
    <xf numFmtId="0" fontId="0" fillId="9" borderId="26" xfId="0" applyFill="1" applyBorder="1" applyAlignment="1">
      <alignment horizontal="center"/>
    </xf>
    <xf numFmtId="0" fontId="0" fillId="9" borderId="32" xfId="0" applyFill="1" applyBorder="1" applyAlignment="1">
      <alignment horizontal="right"/>
    </xf>
    <xf numFmtId="0" fontId="51" fillId="9" borderId="0" xfId="0" applyFont="1" applyFill="1" applyAlignment="1">
      <alignment horizontal="right"/>
    </xf>
    <xf numFmtId="0" fontId="18" fillId="9" borderId="34" xfId="0" applyFont="1" applyFill="1" applyBorder="1" applyAlignment="1">
      <alignment horizontal="right"/>
    </xf>
    <xf numFmtId="0" fontId="18" fillId="9" borderId="0" xfId="0" applyFont="1" applyFill="1" applyAlignment="1">
      <alignment horizontal="center"/>
    </xf>
    <xf numFmtId="0" fontId="28" fillId="8" borderId="2" xfId="0" applyFont="1" applyFill="1" applyBorder="1"/>
    <xf numFmtId="0" fontId="28" fillId="14" borderId="0" xfId="0" applyFont="1" applyFill="1"/>
    <xf numFmtId="0" fontId="0" fillId="12" borderId="2" xfId="0" applyFill="1" applyBorder="1" applyAlignment="1">
      <alignment horizontal="left"/>
    </xf>
    <xf numFmtId="0" fontId="0" fillId="9" borderId="16" xfId="0" applyFill="1" applyBorder="1"/>
    <xf numFmtId="0" fontId="0" fillId="0" borderId="16" xfId="0" applyBorder="1"/>
    <xf numFmtId="0" fontId="28" fillId="9" borderId="18" xfId="0" applyFont="1" applyFill="1" applyBorder="1"/>
    <xf numFmtId="0" fontId="0" fillId="0" borderId="18" xfId="0" applyBorder="1"/>
    <xf numFmtId="0" fontId="22" fillId="9" borderId="2" xfId="0" applyFont="1" applyFill="1" applyBorder="1"/>
    <xf numFmtId="0" fontId="28" fillId="8" borderId="16" xfId="0" applyFont="1" applyFill="1" applyBorder="1"/>
    <xf numFmtId="164" fontId="0" fillId="12" borderId="2" xfId="14" applyNumberFormat="1" applyFont="1" applyFill="1" applyBorder="1" applyProtection="1"/>
    <xf numFmtId="164" fontId="0" fillId="12" borderId="0" xfId="14" applyNumberFormat="1" applyFont="1" applyFill="1" applyBorder="1" applyProtection="1"/>
    <xf numFmtId="164" fontId="0" fillId="12" borderId="3" xfId="14" applyNumberFormat="1" applyFont="1" applyFill="1" applyBorder="1" applyProtection="1"/>
    <xf numFmtId="164" fontId="0" fillId="12" borderId="2" xfId="0" applyNumberFormat="1" applyFill="1" applyBorder="1"/>
    <xf numFmtId="164" fontId="0" fillId="12" borderId="3" xfId="0" applyNumberFormat="1" applyFill="1" applyBorder="1"/>
    <xf numFmtId="164" fontId="0" fillId="9" borderId="2" xfId="0" applyNumberFormat="1" applyFill="1" applyBorder="1"/>
    <xf numFmtId="164" fontId="0" fillId="9" borderId="0" xfId="0" applyNumberFormat="1" applyFill="1"/>
    <xf numFmtId="164" fontId="0" fillId="9" borderId="3" xfId="0" applyNumberFormat="1" applyFill="1" applyBorder="1"/>
    <xf numFmtId="164" fontId="0" fillId="9" borderId="0" xfId="14" applyNumberFormat="1" applyFont="1" applyFill="1" applyBorder="1" applyProtection="1"/>
    <xf numFmtId="164" fontId="0" fillId="9" borderId="3" xfId="14" applyNumberFormat="1" applyFont="1" applyFill="1" applyBorder="1" applyProtection="1"/>
    <xf numFmtId="0" fontId="0" fillId="0" borderId="2" xfId="0" applyBorder="1"/>
    <xf numFmtId="0" fontId="0" fillId="0" borderId="3" xfId="0" applyBorder="1"/>
    <xf numFmtId="0" fontId="24" fillId="9" borderId="0" xfId="0" applyFont="1" applyFill="1"/>
    <xf numFmtId="0" fontId="16" fillId="9" borderId="0" xfId="0" applyFont="1" applyFill="1"/>
    <xf numFmtId="0" fontId="16" fillId="12" borderId="0" xfId="0" applyFont="1" applyFill="1"/>
    <xf numFmtId="3" fontId="28" fillId="12" borderId="20" xfId="0" applyNumberFormat="1" applyFont="1" applyFill="1" applyBorder="1"/>
    <xf numFmtId="3" fontId="0" fillId="4" borderId="2" xfId="13" applyNumberFormat="1" applyFont="1" applyBorder="1" applyAlignment="1">
      <protection locked="0"/>
    </xf>
    <xf numFmtId="0" fontId="0" fillId="8" borderId="0" xfId="0" applyFill="1" applyAlignment="1" applyProtection="1">
      <alignment horizontal="right"/>
      <protection locked="0"/>
    </xf>
    <xf numFmtId="0" fontId="0" fillId="9" borderId="20" xfId="0" applyFill="1" applyBorder="1" applyAlignment="1">
      <alignment horizontal="right"/>
    </xf>
    <xf numFmtId="0" fontId="0" fillId="8" borderId="0" xfId="0" applyFill="1" applyAlignment="1">
      <alignment horizontal="right"/>
    </xf>
    <xf numFmtId="0" fontId="28" fillId="8" borderId="0" xfId="0" applyFont="1" applyFill="1" applyAlignment="1">
      <alignment horizontal="right"/>
    </xf>
    <xf numFmtId="0" fontId="18" fillId="9" borderId="26" xfId="0" applyFont="1" applyFill="1" applyBorder="1"/>
    <xf numFmtId="0" fontId="18" fillId="9" borderId="32" xfId="0" applyFont="1" applyFill="1" applyBorder="1"/>
    <xf numFmtId="0" fontId="20" fillId="9" borderId="0" xfId="0" applyFont="1" applyFill="1" applyAlignment="1">
      <alignment horizontal="left"/>
    </xf>
    <xf numFmtId="0" fontId="20" fillId="9" borderId="0" xfId="0" applyFont="1" applyFill="1" applyAlignment="1">
      <alignment horizontal="center"/>
    </xf>
    <xf numFmtId="0" fontId="28" fillId="9" borderId="4" xfId="0" applyFont="1" applyFill="1" applyBorder="1" applyAlignment="1">
      <alignment horizontal="center"/>
    </xf>
    <xf numFmtId="3" fontId="1" fillId="12" borderId="23" xfId="18" applyNumberFormat="1" applyFont="1" applyFill="1" applyAlignment="1">
      <alignment horizontal="right"/>
    </xf>
    <xf numFmtId="3" fontId="1" fillId="12" borderId="20" xfId="18" applyNumberFormat="1" applyFont="1" applyFill="1" applyBorder="1" applyAlignment="1">
      <alignment horizontal="right"/>
    </xf>
    <xf numFmtId="170" fontId="0" fillId="12" borderId="20" xfId="0" applyNumberFormat="1" applyFill="1" applyBorder="1"/>
    <xf numFmtId="4" fontId="0" fillId="9" borderId="17" xfId="0" applyNumberFormat="1" applyFill="1" applyBorder="1"/>
    <xf numFmtId="10" fontId="0" fillId="9" borderId="0" xfId="14" applyNumberFormat="1" applyFont="1" applyFill="1" applyBorder="1" applyProtection="1"/>
    <xf numFmtId="0" fontId="0" fillId="0" borderId="2" xfId="0" applyBorder="1" applyAlignment="1">
      <alignment vertical="top"/>
    </xf>
    <xf numFmtId="0" fontId="28" fillId="9" borderId="0" xfId="0" applyFont="1" applyFill="1" applyAlignment="1">
      <alignment vertical="top"/>
    </xf>
    <xf numFmtId="3" fontId="57" fillId="0" borderId="0" xfId="0" applyNumberFormat="1" applyFont="1" applyAlignment="1">
      <alignment horizontal="center" wrapText="1"/>
    </xf>
    <xf numFmtId="3" fontId="0" fillId="0" borderId="3" xfId="0" applyNumberFormat="1" applyBorder="1"/>
    <xf numFmtId="3" fontId="41" fillId="12" borderId="34" xfId="7" applyNumberFormat="1" applyFill="1" applyBorder="1" applyAlignment="1"/>
    <xf numFmtId="3" fontId="0" fillId="0" borderId="0" xfId="0" applyNumberFormat="1" applyAlignment="1">
      <alignment horizontal="center" wrapText="1"/>
    </xf>
    <xf numFmtId="0" fontId="0" fillId="9" borderId="2" xfId="0" applyFill="1" applyBorder="1" applyAlignment="1">
      <alignment vertical="top"/>
    </xf>
    <xf numFmtId="3" fontId="0" fillId="9" borderId="0" xfId="0" applyNumberFormat="1" applyFill="1" applyAlignment="1">
      <alignment horizontal="center" wrapText="1"/>
    </xf>
    <xf numFmtId="0" fontId="42" fillId="9" borderId="0" xfId="0" applyFont="1" applyFill="1" applyAlignment="1">
      <alignment vertical="top"/>
    </xf>
    <xf numFmtId="3" fontId="57" fillId="9" borderId="0" xfId="0" applyNumberFormat="1" applyFont="1" applyFill="1" applyAlignment="1">
      <alignment horizontal="center" wrapText="1"/>
    </xf>
    <xf numFmtId="0" fontId="8" fillId="9" borderId="4" xfId="0" applyFont="1" applyFill="1" applyBorder="1" applyAlignment="1">
      <alignment horizontal="center"/>
    </xf>
    <xf numFmtId="0" fontId="0" fillId="9" borderId="33" xfId="0" applyFill="1" applyBorder="1" applyAlignment="1">
      <alignment horizontal="right"/>
    </xf>
    <xf numFmtId="164" fontId="0" fillId="9" borderId="0" xfId="12" applyFont="1" applyFill="1" applyBorder="1" applyAlignment="1" applyProtection="1"/>
    <xf numFmtId="0" fontId="0" fillId="0" borderId="33" xfId="0" applyBorder="1"/>
    <xf numFmtId="4" fontId="0" fillId="4" borderId="0" xfId="13" applyFont="1" applyBorder="1" applyAlignment="1" applyProtection="1">
      <alignment horizontal="left"/>
    </xf>
    <xf numFmtId="4" fontId="1" fillId="4" borderId="0" xfId="13" applyBorder="1" applyAlignment="1" applyProtection="1">
      <alignment horizontal="left"/>
    </xf>
    <xf numFmtId="0" fontId="61" fillId="9" borderId="0" xfId="0" applyFont="1" applyFill="1"/>
    <xf numFmtId="0" fontId="41" fillId="9" borderId="0" xfId="7" applyNumberFormat="1" applyFill="1" applyBorder="1" applyAlignment="1">
      <alignment horizontal="left"/>
    </xf>
    <xf numFmtId="0" fontId="0" fillId="0" borderId="55" xfId="0" applyBorder="1"/>
    <xf numFmtId="0" fontId="61" fillId="9" borderId="27" xfId="0" applyFont="1" applyFill="1" applyBorder="1"/>
    <xf numFmtId="0" fontId="0" fillId="9" borderId="0" xfId="0" quotePrefix="1" applyFill="1" applyAlignment="1">
      <alignment horizontal="right"/>
    </xf>
    <xf numFmtId="14" fontId="0" fillId="9" borderId="0" xfId="0" applyNumberFormat="1" applyFill="1" applyAlignment="1">
      <alignment horizontal="left"/>
    </xf>
    <xf numFmtId="10" fontId="0" fillId="4" borderId="4" xfId="12" applyNumberFormat="1" applyFont="1" applyBorder="1" applyAlignment="1">
      <protection locked="0"/>
    </xf>
    <xf numFmtId="10" fontId="28" fillId="4" borderId="0" xfId="12" applyNumberFormat="1" applyFont="1" applyBorder="1" applyAlignment="1">
      <alignment horizontal="right"/>
      <protection locked="0"/>
    </xf>
    <xf numFmtId="0" fontId="48" fillId="9" borderId="0" xfId="0" applyFont="1" applyFill="1" applyAlignment="1">
      <alignment horizontal="left"/>
    </xf>
    <xf numFmtId="43" fontId="41" fillId="12" borderId="2" xfId="1" quotePrefix="1" applyFont="1" applyFill="1" applyBorder="1" applyAlignment="1"/>
    <xf numFmtId="43" fontId="41" fillId="12" borderId="5" xfId="1" quotePrefix="1" applyFont="1" applyFill="1" applyBorder="1" applyAlignment="1"/>
    <xf numFmtId="0" fontId="0" fillId="9" borderId="60" xfId="0" applyFill="1" applyBorder="1"/>
    <xf numFmtId="0" fontId="0" fillId="9" borderId="60" xfId="0" applyFill="1" applyBorder="1" applyAlignment="1">
      <alignment horizontal="right"/>
    </xf>
    <xf numFmtId="4" fontId="28" fillId="12" borderId="60" xfId="0" applyNumberFormat="1" applyFont="1" applyFill="1" applyBorder="1" applyAlignment="1">
      <alignment horizontal="left"/>
    </xf>
    <xf numFmtId="0" fontId="0" fillId="7" borderId="0" xfId="0" applyFill="1"/>
    <xf numFmtId="0" fontId="36" fillId="7" borderId="0" xfId="0" applyFont="1" applyFill="1"/>
    <xf numFmtId="0" fontId="0" fillId="9" borderId="4" xfId="0" applyFill="1" applyBorder="1" applyAlignment="1">
      <alignment horizontal="center" wrapText="1"/>
    </xf>
    <xf numFmtId="0" fontId="50" fillId="9" borderId="28" xfId="0" applyFont="1" applyFill="1" applyBorder="1" applyAlignment="1">
      <alignment horizontal="right"/>
    </xf>
    <xf numFmtId="0" fontId="57" fillId="9" borderId="61" xfId="0" applyFont="1" applyFill="1" applyBorder="1" applyAlignment="1">
      <alignment horizontal="left"/>
    </xf>
    <xf numFmtId="0" fontId="0" fillId="9" borderId="62" xfId="0" applyFill="1" applyBorder="1"/>
    <xf numFmtId="0" fontId="48" fillId="9" borderId="62" xfId="0" applyFont="1" applyFill="1" applyBorder="1" applyAlignment="1">
      <alignment horizontal="left"/>
    </xf>
    <xf numFmtId="10" fontId="0" fillId="12" borderId="20" xfId="14" applyNumberFormat="1" applyFont="1" applyFill="1" applyBorder="1" applyAlignment="1" applyProtection="1">
      <alignment horizontal="right"/>
    </xf>
    <xf numFmtId="0" fontId="45" fillId="9" borderId="2" xfId="17" applyNumberFormat="1" applyFill="1" applyBorder="1" applyProtection="1"/>
    <xf numFmtId="167" fontId="63" fillId="9" borderId="0" xfId="1" applyNumberFormat="1" applyFont="1" applyFill="1" applyBorder="1" applyAlignment="1" applyProtection="1">
      <alignment horizontal="center"/>
    </xf>
    <xf numFmtId="166" fontId="42" fillId="9" borderId="0" xfId="1" applyNumberFormat="1" applyFont="1" applyFill="1" applyBorder="1" applyAlignment="1" applyProtection="1">
      <alignment horizontal="left"/>
    </xf>
    <xf numFmtId="3" fontId="14" fillId="5" borderId="64" xfId="18" applyNumberFormat="1" applyFont="1" applyFill="1" applyBorder="1" applyAlignment="1">
      <alignment horizontal="right"/>
    </xf>
    <xf numFmtId="3" fontId="14" fillId="5" borderId="16" xfId="9" applyNumberFormat="1" applyBorder="1" applyAlignment="1"/>
    <xf numFmtId="4" fontId="0" fillId="4" borderId="4" xfId="13" applyFont="1" applyBorder="1" applyAlignment="1">
      <alignment horizontal="left"/>
      <protection locked="0"/>
    </xf>
    <xf numFmtId="10" fontId="45" fillId="9" borderId="0" xfId="17" applyNumberFormat="1" applyFill="1" applyBorder="1" applyAlignment="1" applyProtection="1">
      <alignment horizontal="right"/>
    </xf>
    <xf numFmtId="0" fontId="28" fillId="9" borderId="28" xfId="0" applyFont="1" applyFill="1" applyBorder="1" applyAlignment="1">
      <alignment horizontal="right"/>
    </xf>
    <xf numFmtId="3" fontId="14" fillId="5" borderId="0" xfId="9" applyNumberFormat="1" applyBorder="1" applyAlignment="1">
      <alignment horizontal="right"/>
    </xf>
    <xf numFmtId="3" fontId="28" fillId="9" borderId="54" xfId="0" applyNumberFormat="1" applyFont="1" applyFill="1" applyBorder="1" applyAlignment="1">
      <alignment horizontal="right"/>
    </xf>
    <xf numFmtId="0" fontId="28" fillId="9" borderId="65" xfId="0" applyFont="1" applyFill="1" applyBorder="1" applyAlignment="1">
      <alignment horizontal="right"/>
    </xf>
    <xf numFmtId="3" fontId="28" fillId="9" borderId="0" xfId="18" applyNumberFormat="1" applyFont="1" applyFill="1" applyBorder="1" applyAlignment="1">
      <alignment horizontal="right"/>
    </xf>
    <xf numFmtId="0" fontId="0" fillId="9" borderId="48" xfId="0" applyFill="1" applyBorder="1"/>
    <xf numFmtId="3" fontId="0" fillId="9" borderId="48" xfId="0" applyNumberFormat="1" applyFill="1" applyBorder="1"/>
    <xf numFmtId="3" fontId="28" fillId="9" borderId="48" xfId="0" quotePrefix="1" applyNumberFormat="1" applyFont="1" applyFill="1" applyBorder="1"/>
    <xf numFmtId="3" fontId="0" fillId="9" borderId="48" xfId="0" quotePrefix="1" applyNumberFormat="1" applyFill="1" applyBorder="1"/>
    <xf numFmtId="0" fontId="0" fillId="9" borderId="66" xfId="0" applyFill="1" applyBorder="1"/>
    <xf numFmtId="10" fontId="0" fillId="9" borderId="0" xfId="14" applyNumberFormat="1" applyFont="1" applyFill="1" applyAlignment="1"/>
    <xf numFmtId="0" fontId="41" fillId="9" borderId="0" xfId="7" applyNumberFormat="1" applyFill="1" applyAlignment="1"/>
    <xf numFmtId="0" fontId="28" fillId="9" borderId="16" xfId="0" applyFont="1" applyFill="1" applyBorder="1" applyAlignment="1">
      <alignment horizontal="right"/>
    </xf>
    <xf numFmtId="0" fontId="28" fillId="9" borderId="18" xfId="0" applyFont="1" applyFill="1" applyBorder="1" applyAlignment="1">
      <alignment horizontal="right"/>
    </xf>
    <xf numFmtId="0" fontId="28" fillId="9" borderId="7" xfId="0" applyFont="1" applyFill="1" applyBorder="1" applyAlignment="1">
      <alignment horizontal="right"/>
    </xf>
    <xf numFmtId="0" fontId="28" fillId="8" borderId="60" xfId="0" applyFont="1" applyFill="1" applyBorder="1" applyAlignment="1">
      <alignment horizontal="left"/>
    </xf>
    <xf numFmtId="0" fontId="28" fillId="8" borderId="67" xfId="0" applyFont="1" applyFill="1" applyBorder="1" applyAlignment="1">
      <alignment horizontal="left"/>
    </xf>
    <xf numFmtId="0" fontId="0" fillId="8" borderId="6" xfId="0" applyFill="1" applyBorder="1" applyAlignment="1">
      <alignment horizontal="right"/>
    </xf>
    <xf numFmtId="0" fontId="0" fillId="9" borderId="68" xfId="0" applyFill="1" applyBorder="1" applyAlignment="1">
      <alignment horizontal="right"/>
    </xf>
    <xf numFmtId="0" fontId="0" fillId="9" borderId="69" xfId="0" applyFill="1" applyBorder="1" applyAlignment="1">
      <alignment horizontal="center"/>
    </xf>
    <xf numFmtId="164" fontId="0" fillId="9" borderId="48" xfId="14" quotePrefix="1" applyNumberFormat="1" applyFont="1" applyFill="1" applyBorder="1" applyAlignment="1" applyProtection="1"/>
    <xf numFmtId="0" fontId="0" fillId="9" borderId="70" xfId="0" applyFill="1" applyBorder="1"/>
    <xf numFmtId="0" fontId="0" fillId="9" borderId="71" xfId="0" applyFill="1" applyBorder="1"/>
    <xf numFmtId="3" fontId="28" fillId="9" borderId="29" xfId="18" applyNumberFormat="1" applyFont="1" applyFill="1" applyBorder="1" applyAlignment="1"/>
    <xf numFmtId="3" fontId="28" fillId="9" borderId="29" xfId="18" applyNumberFormat="1" applyFont="1" applyFill="1" applyBorder="1" applyAlignment="1">
      <alignment horizontal="right"/>
    </xf>
    <xf numFmtId="3" fontId="28" fillId="9" borderId="46" xfId="0" quotePrefix="1" applyNumberFormat="1" applyFont="1" applyFill="1" applyBorder="1"/>
    <xf numFmtId="10" fontId="28" fillId="9" borderId="29" xfId="14" quotePrefix="1" applyNumberFormat="1" applyFont="1" applyFill="1" applyBorder="1" applyAlignment="1" applyProtection="1"/>
    <xf numFmtId="0" fontId="0" fillId="9" borderId="72" xfId="0" applyFill="1" applyBorder="1"/>
    <xf numFmtId="3" fontId="28" fillId="9" borderId="28" xfId="18" applyNumberFormat="1" applyFont="1" applyFill="1" applyBorder="1" applyAlignment="1"/>
    <xf numFmtId="3" fontId="28" fillId="9" borderId="28" xfId="18" applyNumberFormat="1" applyFont="1" applyFill="1" applyBorder="1" applyAlignment="1">
      <alignment horizontal="right"/>
    </xf>
    <xf numFmtId="3" fontId="28" fillId="9" borderId="50" xfId="0" quotePrefix="1" applyNumberFormat="1" applyFont="1" applyFill="1" applyBorder="1"/>
    <xf numFmtId="10" fontId="1" fillId="9" borderId="28" xfId="14" quotePrefix="1" applyNumberFormat="1" applyFont="1" applyFill="1" applyBorder="1" applyAlignment="1" applyProtection="1"/>
    <xf numFmtId="0" fontId="0" fillId="9" borderId="73" xfId="0" applyFill="1" applyBorder="1"/>
    <xf numFmtId="0" fontId="50" fillId="9" borderId="0" xfId="0" applyFont="1" applyFill="1"/>
    <xf numFmtId="0" fontId="50" fillId="9" borderId="0" xfId="0" applyFont="1" applyFill="1" applyAlignment="1">
      <alignment horizontal="center"/>
    </xf>
    <xf numFmtId="3" fontId="65" fillId="9" borderId="0" xfId="0" applyNumberFormat="1" applyFont="1" applyFill="1" applyAlignment="1">
      <alignment horizontal="right"/>
    </xf>
    <xf numFmtId="0" fontId="66" fillId="9" borderId="0" xfId="0" applyFont="1" applyFill="1"/>
    <xf numFmtId="0" fontId="50" fillId="9" borderId="3" xfId="0" applyFont="1" applyFill="1" applyBorder="1" applyAlignment="1">
      <alignment horizontal="right"/>
    </xf>
    <xf numFmtId="0" fontId="50" fillId="9" borderId="75" xfId="0" applyFont="1" applyFill="1" applyBorder="1" applyAlignment="1">
      <alignment horizontal="right"/>
    </xf>
    <xf numFmtId="0" fontId="0" fillId="12" borderId="60" xfId="0" applyFill="1" applyBorder="1" applyAlignment="1">
      <alignment horizontal="right"/>
    </xf>
    <xf numFmtId="0" fontId="0" fillId="12" borderId="1" xfId="0" applyFill="1" applyBorder="1" applyAlignment="1">
      <alignment horizontal="right"/>
    </xf>
    <xf numFmtId="0" fontId="50" fillId="12" borderId="2" xfId="0" applyFont="1" applyFill="1" applyBorder="1"/>
    <xf numFmtId="0" fontId="50" fillId="12" borderId="0" xfId="0" applyFont="1" applyFill="1" applyAlignment="1">
      <alignment horizontal="right"/>
    </xf>
    <xf numFmtId="0" fontId="50" fillId="12" borderId="74" xfId="0" applyFont="1" applyFill="1" applyBorder="1"/>
    <xf numFmtId="0" fontId="50" fillId="12" borderId="28" xfId="0" applyFont="1" applyFill="1" applyBorder="1" applyAlignment="1">
      <alignment horizontal="right"/>
    </xf>
    <xf numFmtId="10" fontId="41" fillId="12" borderId="0" xfId="7" applyNumberFormat="1" applyFill="1" applyAlignment="1"/>
    <xf numFmtId="0" fontId="0" fillId="14" borderId="20" xfId="0" applyFill="1" applyBorder="1" applyAlignment="1">
      <alignment horizontal="right"/>
    </xf>
    <xf numFmtId="0" fontId="0" fillId="14" borderId="0" xfId="0" applyFill="1" applyAlignment="1">
      <alignment horizontal="right"/>
    </xf>
    <xf numFmtId="0" fontId="0" fillId="12" borderId="1" xfId="0" applyFill="1" applyBorder="1"/>
    <xf numFmtId="0" fontId="41" fillId="9" borderId="78" xfId="7" applyNumberFormat="1" applyFill="1" applyBorder="1" applyAlignment="1"/>
    <xf numFmtId="0" fontId="0" fillId="9" borderId="79" xfId="0" applyFill="1" applyBorder="1"/>
    <xf numFmtId="0" fontId="0" fillId="9" borderId="78" xfId="0" applyFill="1" applyBorder="1" applyAlignment="1">
      <alignment horizontal="right"/>
    </xf>
    <xf numFmtId="0" fontId="0" fillId="9" borderId="79" xfId="0" applyFill="1" applyBorder="1" applyAlignment="1">
      <alignment horizontal="right"/>
    </xf>
    <xf numFmtId="0" fontId="0" fillId="9" borderId="80" xfId="0" applyFill="1" applyBorder="1" applyAlignment="1">
      <alignment horizontal="right"/>
    </xf>
    <xf numFmtId="3" fontId="0" fillId="9" borderId="78" xfId="0" applyNumberFormat="1" applyFill="1" applyBorder="1" applyAlignment="1">
      <alignment horizontal="right"/>
    </xf>
    <xf numFmtId="3" fontId="41" fillId="12" borderId="79" xfId="7" applyNumberFormat="1" applyFill="1" applyBorder="1" applyAlignment="1">
      <alignment horizontal="right"/>
    </xf>
    <xf numFmtId="3" fontId="0" fillId="9" borderId="79" xfId="0" applyNumberFormat="1" applyFill="1" applyBorder="1" applyAlignment="1">
      <alignment horizontal="right"/>
    </xf>
    <xf numFmtId="3" fontId="0" fillId="9" borderId="80" xfId="0" applyNumberFormat="1" applyFill="1" applyBorder="1" applyAlignment="1">
      <alignment horizontal="right"/>
    </xf>
    <xf numFmtId="43" fontId="41" fillId="12" borderId="78" xfId="1" quotePrefix="1" applyFont="1" applyFill="1" applyBorder="1" applyAlignment="1"/>
    <xf numFmtId="10" fontId="28" fillId="9" borderId="80" xfId="14" quotePrefix="1" applyNumberFormat="1" applyFont="1" applyFill="1" applyBorder="1" applyAlignment="1" applyProtection="1"/>
    <xf numFmtId="0" fontId="0" fillId="12" borderId="81" xfId="0" applyFill="1" applyBorder="1"/>
    <xf numFmtId="3" fontId="0" fillId="9" borderId="1" xfId="0" applyNumberFormat="1" applyFill="1" applyBorder="1"/>
    <xf numFmtId="0" fontId="28" fillId="12" borderId="2" xfId="0" applyFont="1" applyFill="1" applyBorder="1" applyAlignment="1">
      <alignment horizontal="left" wrapText="1"/>
    </xf>
    <xf numFmtId="4" fontId="28" fillId="12" borderId="2" xfId="0" applyNumberFormat="1" applyFont="1" applyFill="1" applyBorder="1" applyAlignment="1">
      <alignment horizontal="left" wrapText="1"/>
    </xf>
    <xf numFmtId="3" fontId="45" fillId="12" borderId="2" xfId="17" applyNumberFormat="1" applyFill="1" applyBorder="1" applyProtection="1"/>
    <xf numFmtId="4" fontId="0" fillId="12" borderId="0" xfId="0" applyNumberFormat="1" applyFill="1"/>
    <xf numFmtId="0" fontId="0" fillId="12" borderId="18" xfId="0" applyFill="1" applyBorder="1" applyAlignment="1">
      <alignment wrapText="1"/>
    </xf>
    <xf numFmtId="10" fontId="0" fillId="12" borderId="0" xfId="0" applyNumberFormat="1" applyFill="1"/>
    <xf numFmtId="0" fontId="0" fillId="12" borderId="2" xfId="0" applyFill="1" applyBorder="1" applyAlignment="1">
      <alignment horizontal="left" wrapText="1"/>
    </xf>
    <xf numFmtId="10" fontId="1" fillId="4" borderId="0" xfId="12" applyNumberFormat="1" applyBorder="1" applyAlignment="1">
      <alignment horizontal="right"/>
      <protection locked="0"/>
    </xf>
    <xf numFmtId="3" fontId="41" fillId="12" borderId="2" xfId="7" applyNumberFormat="1" applyFill="1" applyBorder="1" applyAlignment="1">
      <alignment horizontal="right"/>
    </xf>
    <xf numFmtId="3" fontId="0" fillId="12" borderId="82" xfId="0" applyNumberFormat="1" applyFill="1" applyBorder="1" applyAlignment="1">
      <alignment horizontal="right"/>
    </xf>
    <xf numFmtId="3" fontId="0" fillId="12" borderId="19" xfId="0" applyNumberFormat="1" applyFill="1" applyBorder="1" applyAlignment="1">
      <alignment horizontal="right"/>
    </xf>
    <xf numFmtId="3" fontId="41" fillId="12" borderId="3" xfId="7" applyNumberFormat="1" applyFill="1" applyBorder="1" applyAlignment="1">
      <alignment horizontal="right"/>
    </xf>
    <xf numFmtId="3" fontId="0" fillId="12" borderId="83" xfId="0" applyNumberFormat="1" applyFill="1" applyBorder="1" applyAlignment="1">
      <alignment horizontal="right"/>
    </xf>
    <xf numFmtId="164" fontId="0" fillId="9" borderId="20" xfId="14" applyNumberFormat="1" applyFont="1" applyFill="1" applyBorder="1" applyProtection="1"/>
    <xf numFmtId="4" fontId="0" fillId="12" borderId="2" xfId="0" applyNumberFormat="1" applyFill="1" applyBorder="1" applyAlignment="1">
      <alignment horizontal="left" wrapText="1"/>
    </xf>
    <xf numFmtId="10" fontId="1" fillId="12" borderId="3" xfId="14" applyNumberFormat="1" applyFont="1" applyFill="1" applyBorder="1"/>
    <xf numFmtId="4" fontId="67" fillId="9" borderId="0" xfId="17" applyNumberFormat="1" applyFont="1" applyFill="1" applyBorder="1" applyAlignment="1" applyProtection="1">
      <alignment horizontal="left"/>
    </xf>
    <xf numFmtId="4" fontId="67" fillId="9" borderId="3" xfId="17" applyNumberFormat="1" applyFont="1" applyFill="1" applyBorder="1" applyAlignment="1" applyProtection="1">
      <alignment horizontal="left"/>
    </xf>
    <xf numFmtId="0" fontId="28" fillId="9" borderId="84" xfId="0" applyFont="1" applyFill="1" applyBorder="1" applyAlignment="1">
      <alignment horizontal="right"/>
    </xf>
    <xf numFmtId="0" fontId="0" fillId="9" borderId="50" xfId="0" applyFill="1" applyBorder="1"/>
    <xf numFmtId="0" fontId="16" fillId="9" borderId="28" xfId="0" applyFont="1" applyFill="1" applyBorder="1" applyAlignment="1">
      <alignment horizontal="right" wrapText="1"/>
    </xf>
    <xf numFmtId="3" fontId="16" fillId="9" borderId="28" xfId="0" applyNumberFormat="1" applyFont="1" applyFill="1" applyBorder="1" applyAlignment="1">
      <alignment horizontal="right" wrapText="1"/>
    </xf>
    <xf numFmtId="3" fontId="41" fillId="9" borderId="0" xfId="7" applyNumberFormat="1" applyFill="1" applyBorder="1" applyAlignment="1">
      <alignment horizontal="left"/>
    </xf>
    <xf numFmtId="0" fontId="0" fillId="9" borderId="67" xfId="0" applyFill="1" applyBorder="1"/>
    <xf numFmtId="0" fontId="57" fillId="12" borderId="60" xfId="0" applyFont="1" applyFill="1" applyBorder="1" applyAlignment="1">
      <alignment horizontal="right"/>
    </xf>
    <xf numFmtId="0" fontId="57" fillId="12" borderId="67" xfId="0" applyFont="1" applyFill="1" applyBorder="1" applyAlignment="1">
      <alignment horizontal="right"/>
    </xf>
    <xf numFmtId="0" fontId="0" fillId="12" borderId="67" xfId="0" applyFill="1" applyBorder="1" applyAlignment="1">
      <alignment horizontal="left"/>
    </xf>
    <xf numFmtId="0" fontId="0" fillId="12" borderId="67" xfId="0" applyFill="1" applyBorder="1" applyAlignment="1">
      <alignment horizontal="right"/>
    </xf>
    <xf numFmtId="0" fontId="48" fillId="9" borderId="67" xfId="0" applyFont="1" applyFill="1" applyBorder="1" applyAlignment="1">
      <alignment horizontal="right"/>
    </xf>
    <xf numFmtId="3" fontId="0" fillId="9" borderId="60" xfId="0" applyNumberFormat="1" applyFill="1" applyBorder="1" applyAlignment="1">
      <alignment horizontal="left"/>
    </xf>
    <xf numFmtId="3" fontId="0" fillId="12" borderId="60" xfId="0" applyNumberFormat="1" applyFill="1" applyBorder="1" applyAlignment="1">
      <alignment horizontal="left"/>
    </xf>
    <xf numFmtId="3" fontId="0" fillId="9" borderId="67" xfId="0" applyNumberFormat="1" applyFill="1" applyBorder="1" applyAlignment="1">
      <alignment horizontal="left"/>
    </xf>
    <xf numFmtId="3" fontId="41" fillId="9" borderId="60" xfId="7" applyNumberFormat="1" applyFill="1" applyBorder="1" applyAlignment="1"/>
    <xf numFmtId="0" fontId="28" fillId="9" borderId="60" xfId="0" applyFont="1" applyFill="1" applyBorder="1"/>
    <xf numFmtId="0" fontId="28" fillId="9" borderId="67" xfId="0" applyFont="1" applyFill="1" applyBorder="1"/>
    <xf numFmtId="0" fontId="28" fillId="12" borderId="60" xfId="0" applyFont="1" applyFill="1" applyBorder="1"/>
    <xf numFmtId="3" fontId="0" fillId="12" borderId="0" xfId="0" applyNumberFormat="1" applyFill="1" applyAlignment="1">
      <alignment horizontal="left"/>
    </xf>
    <xf numFmtId="4" fontId="0" fillId="14" borderId="0" xfId="0" applyNumberFormat="1" applyFill="1"/>
    <xf numFmtId="0" fontId="0" fillId="9" borderId="16" xfId="0" applyFill="1" applyBorder="1" applyAlignment="1">
      <alignment wrapText="1"/>
    </xf>
    <xf numFmtId="0" fontId="0" fillId="9" borderId="18" xfId="0" applyFill="1" applyBorder="1" applyAlignment="1">
      <alignment wrapText="1"/>
    </xf>
    <xf numFmtId="9" fontId="0" fillId="9" borderId="1" xfId="14" applyFont="1" applyFill="1" applyBorder="1"/>
    <xf numFmtId="3" fontId="0" fillId="9" borderId="6" xfId="0" applyNumberFormat="1" applyFill="1" applyBorder="1"/>
    <xf numFmtId="0" fontId="0" fillId="9" borderId="18" xfId="0" applyFill="1" applyBorder="1" applyAlignment="1">
      <alignment horizontal="right" wrapText="1"/>
    </xf>
    <xf numFmtId="0" fontId="0" fillId="9" borderId="7" xfId="0" applyFill="1" applyBorder="1" applyAlignment="1">
      <alignment horizontal="right" wrapText="1"/>
    </xf>
    <xf numFmtId="9" fontId="0" fillId="9" borderId="0" xfId="14" applyFont="1" applyFill="1" applyBorder="1" applyAlignment="1">
      <alignment horizontal="right"/>
    </xf>
    <xf numFmtId="3" fontId="0" fillId="4" borderId="0" xfId="13" applyNumberFormat="1" applyFont="1" applyBorder="1" applyAlignment="1">
      <protection locked="0"/>
    </xf>
    <xf numFmtId="3" fontId="0" fillId="4" borderId="3" xfId="13" applyNumberFormat="1" applyFont="1" applyBorder="1" applyAlignment="1">
      <protection locked="0"/>
    </xf>
    <xf numFmtId="4" fontId="0" fillId="12" borderId="44" xfId="0" applyNumberFormat="1" applyFill="1" applyBorder="1"/>
    <xf numFmtId="4" fontId="0" fillId="12" borderId="85" xfId="0" applyNumberFormat="1" applyFill="1" applyBorder="1" applyAlignment="1">
      <alignment horizontal="left"/>
    </xf>
    <xf numFmtId="0" fontId="0" fillId="9" borderId="85" xfId="0" applyFill="1" applyBorder="1"/>
    <xf numFmtId="4" fontId="0" fillId="12" borderId="85" xfId="0" applyNumberFormat="1" applyFill="1" applyBorder="1"/>
    <xf numFmtId="4" fontId="0" fillId="12" borderId="45" xfId="0" applyNumberFormat="1" applyFill="1" applyBorder="1"/>
    <xf numFmtId="0" fontId="0" fillId="9" borderId="0" xfId="0" applyFill="1" applyAlignment="1">
      <alignment wrapText="1"/>
    </xf>
    <xf numFmtId="0" fontId="0" fillId="9" borderId="2" xfId="0" applyFill="1" applyBorder="1" applyAlignment="1">
      <alignment wrapText="1"/>
    </xf>
    <xf numFmtId="0" fontId="0" fillId="9" borderId="0" xfId="0" applyFill="1" applyAlignment="1">
      <alignment horizontal="left" wrapText="1"/>
    </xf>
    <xf numFmtId="0" fontId="0" fillId="9" borderId="18" xfId="0" applyFill="1" applyBorder="1" applyAlignment="1">
      <alignment horizontal="left"/>
    </xf>
    <xf numFmtId="3" fontId="0" fillId="9" borderId="18" xfId="0" applyNumberFormat="1" applyFill="1" applyBorder="1" applyAlignment="1">
      <alignment horizontal="right"/>
    </xf>
    <xf numFmtId="9" fontId="0" fillId="9" borderId="18" xfId="14" applyFont="1" applyFill="1" applyBorder="1" applyAlignment="1">
      <alignment horizontal="right"/>
    </xf>
    <xf numFmtId="3" fontId="0" fillId="9" borderId="7" xfId="0" applyNumberFormat="1" applyFill="1" applyBorder="1" applyAlignment="1">
      <alignment horizontal="right"/>
    </xf>
    <xf numFmtId="0" fontId="0" fillId="0" borderId="18" xfId="0" applyBorder="1" applyAlignment="1">
      <alignment horizontal="left"/>
    </xf>
    <xf numFmtId="0" fontId="45" fillId="9" borderId="20" xfId="17" applyNumberFormat="1" applyFill="1" applyBorder="1" applyAlignment="1" applyProtection="1"/>
    <xf numFmtId="10" fontId="0" fillId="4" borderId="0" xfId="12" applyNumberFormat="1" applyFont="1" applyBorder="1" applyAlignment="1">
      <protection locked="0"/>
    </xf>
    <xf numFmtId="10" fontId="0" fillId="9" borderId="4" xfId="14" applyNumberFormat="1" applyFont="1" applyFill="1" applyBorder="1" applyAlignment="1" applyProtection="1">
      <alignment horizontal="right"/>
    </xf>
    <xf numFmtId="10" fontId="0" fillId="9" borderId="0" xfId="14" applyNumberFormat="1" applyFont="1" applyFill="1" applyBorder="1" applyAlignment="1" applyProtection="1">
      <alignment horizontal="left"/>
    </xf>
    <xf numFmtId="10" fontId="0" fillId="4" borderId="87" xfId="12" applyNumberFormat="1" applyFont="1" applyBorder="1" applyAlignment="1">
      <protection locked="0"/>
    </xf>
    <xf numFmtId="10" fontId="0" fillId="9" borderId="23" xfId="14" applyNumberFormat="1" applyFont="1" applyFill="1" applyBorder="1" applyAlignment="1" applyProtection="1">
      <alignment horizontal="right"/>
    </xf>
    <xf numFmtId="172" fontId="0" fillId="9" borderId="0" xfId="0" applyNumberFormat="1" applyFill="1"/>
    <xf numFmtId="10" fontId="41" fillId="9" borderId="0" xfId="7" applyNumberFormat="1" applyFill="1" applyAlignment="1"/>
    <xf numFmtId="0" fontId="45" fillId="9" borderId="1" xfId="17" applyNumberFormat="1" applyFill="1" applyBorder="1" applyProtection="1"/>
    <xf numFmtId="3" fontId="0" fillId="9" borderId="60" xfId="0" applyNumberFormat="1" applyFill="1" applyBorder="1"/>
    <xf numFmtId="10" fontId="0" fillId="9" borderId="2" xfId="0" applyNumberFormat="1" applyFill="1" applyBorder="1"/>
    <xf numFmtId="10" fontId="0" fillId="9" borderId="5" xfId="0" applyNumberFormat="1" applyFill="1" applyBorder="1"/>
    <xf numFmtId="0" fontId="15" fillId="9" borderId="0" xfId="5" applyFill="1"/>
    <xf numFmtId="0" fontId="0" fillId="9" borderId="88" xfId="0" applyFill="1" applyBorder="1"/>
    <xf numFmtId="164" fontId="0" fillId="9" borderId="20" xfId="21" applyNumberFormat="1" applyFont="1" applyFill="1" applyBorder="1" applyProtection="1"/>
    <xf numFmtId="4" fontId="30" fillId="12" borderId="2" xfId="0" applyNumberFormat="1" applyFont="1" applyFill="1" applyBorder="1" applyAlignment="1">
      <alignment horizontal="left"/>
    </xf>
    <xf numFmtId="164" fontId="0" fillId="9" borderId="20" xfId="21" applyNumberFormat="1" applyFont="1" applyFill="1" applyBorder="1"/>
    <xf numFmtId="43" fontId="0" fillId="12" borderId="0" xfId="0" applyNumberFormat="1" applyFill="1"/>
    <xf numFmtId="0" fontId="0" fillId="12" borderId="20" xfId="0" applyFill="1" applyBorder="1" applyAlignment="1">
      <alignment horizontal="center" vertical="center"/>
    </xf>
    <xf numFmtId="0" fontId="0" fillId="12" borderId="17" xfId="0" applyFill="1" applyBorder="1" applyAlignment="1">
      <alignment horizontal="center" vertical="center"/>
    </xf>
    <xf numFmtId="10" fontId="0" fillId="12" borderId="77" xfId="14" applyNumberFormat="1" applyFont="1" applyFill="1" applyBorder="1"/>
    <xf numFmtId="10" fontId="0" fillId="12" borderId="76" xfId="14" applyNumberFormat="1" applyFont="1" applyFill="1" applyBorder="1"/>
    <xf numFmtId="0" fontId="57" fillId="9" borderId="63" xfId="0" applyFont="1" applyFill="1" applyBorder="1" applyAlignment="1">
      <alignment horizontal="left"/>
    </xf>
    <xf numFmtId="0" fontId="57" fillId="9" borderId="86" xfId="0" applyFont="1" applyFill="1" applyBorder="1" applyAlignment="1">
      <alignment horizontal="left"/>
    </xf>
    <xf numFmtId="10" fontId="1" fillId="9" borderId="0" xfId="14" applyNumberFormat="1" applyFont="1" applyFill="1" applyBorder="1" applyAlignment="1" applyProtection="1">
      <alignment horizontal="right"/>
    </xf>
    <xf numFmtId="0" fontId="57" fillId="9" borderId="61" xfId="0" applyFont="1" applyFill="1" applyBorder="1"/>
    <xf numFmtId="0" fontId="57" fillId="9" borderId="62" xfId="0" applyFont="1" applyFill="1" applyBorder="1"/>
    <xf numFmtId="0" fontId="57" fillId="9" borderId="63" xfId="0" applyFont="1" applyFill="1" applyBorder="1"/>
    <xf numFmtId="43" fontId="0" fillId="12" borderId="43" xfId="1" applyFont="1" applyFill="1" applyBorder="1" applyAlignment="1" applyProtection="1"/>
    <xf numFmtId="43" fontId="0" fillId="12" borderId="7" xfId="1" applyFont="1" applyFill="1" applyBorder="1" applyAlignment="1" applyProtection="1"/>
    <xf numFmtId="10" fontId="0" fillId="12" borderId="2" xfId="14" applyNumberFormat="1" applyFont="1" applyFill="1" applyBorder="1" applyAlignment="1" applyProtection="1">
      <alignment horizontal="right"/>
    </xf>
    <xf numFmtId="10" fontId="0" fillId="12" borderId="3" xfId="14" applyNumberFormat="1" applyFont="1" applyFill="1" applyBorder="1" applyAlignment="1" applyProtection="1">
      <alignment horizontal="right"/>
    </xf>
    <xf numFmtId="10" fontId="0" fillId="12" borderId="5" xfId="14" applyNumberFormat="1" applyFont="1" applyFill="1" applyBorder="1" applyAlignment="1" applyProtection="1">
      <alignment horizontal="right"/>
    </xf>
    <xf numFmtId="10" fontId="0" fillId="12" borderId="1" xfId="14" applyNumberFormat="1" applyFont="1" applyFill="1" applyBorder="1" applyAlignment="1" applyProtection="1">
      <alignment horizontal="right"/>
    </xf>
    <xf numFmtId="10" fontId="0" fillId="12" borderId="6" xfId="14" applyNumberFormat="1" applyFont="1" applyFill="1" applyBorder="1" applyAlignment="1" applyProtection="1">
      <alignment horizontal="right"/>
    </xf>
    <xf numFmtId="10" fontId="28" fillId="12" borderId="5" xfId="14" applyNumberFormat="1" applyFont="1" applyFill="1" applyBorder="1" applyAlignment="1" applyProtection="1">
      <alignment horizontal="right"/>
    </xf>
    <xf numFmtId="10" fontId="28" fillId="12" borderId="1" xfId="14" applyNumberFormat="1" applyFont="1" applyFill="1" applyBorder="1" applyAlignment="1" applyProtection="1">
      <alignment horizontal="right"/>
    </xf>
    <xf numFmtId="10" fontId="28" fillId="12" borderId="6" xfId="14" applyNumberFormat="1" applyFont="1" applyFill="1" applyBorder="1" applyAlignment="1" applyProtection="1">
      <alignment horizontal="right"/>
    </xf>
    <xf numFmtId="0" fontId="22" fillId="9" borderId="16" xfId="0" applyFont="1" applyFill="1" applyBorder="1" applyAlignment="1">
      <alignment horizontal="left"/>
    </xf>
    <xf numFmtId="0" fontId="0" fillId="12" borderId="33" xfId="0" applyFill="1" applyBorder="1"/>
    <xf numFmtId="0" fontId="0" fillId="9" borderId="2" xfId="0" applyFill="1" applyBorder="1" applyAlignment="1">
      <alignment horizontal="left" wrapText="1"/>
    </xf>
    <xf numFmtId="164" fontId="0" fillId="12" borderId="0" xfId="21" applyNumberFormat="1" applyFont="1" applyFill="1" applyBorder="1" applyProtection="1"/>
    <xf numFmtId="164" fontId="0" fillId="12" borderId="3" xfId="21" applyNumberFormat="1" applyFont="1" applyFill="1" applyBorder="1" applyProtection="1"/>
    <xf numFmtId="4" fontId="0" fillId="9" borderId="20" xfId="13" applyFont="1" applyFill="1" applyBorder="1" applyAlignment="1">
      <protection locked="0"/>
    </xf>
    <xf numFmtId="4" fontId="0" fillId="9" borderId="17" xfId="13" applyFont="1" applyFill="1" applyBorder="1" applyAlignment="1">
      <protection locked="0"/>
    </xf>
    <xf numFmtId="4" fontId="0" fillId="9" borderId="20" xfId="13" applyFont="1" applyFill="1" applyBorder="1" applyAlignment="1">
      <alignment vertical="center"/>
      <protection locked="0"/>
    </xf>
    <xf numFmtId="4" fontId="65" fillId="18" borderId="0" xfId="17" applyNumberFormat="1" applyFont="1" applyFill="1" applyBorder="1" applyAlignment="1" applyProtection="1">
      <alignment horizontal="left"/>
    </xf>
    <xf numFmtId="4" fontId="65" fillId="18" borderId="0" xfId="17" applyNumberFormat="1" applyFont="1" applyFill="1" applyBorder="1" applyProtection="1"/>
    <xf numFmtId="3" fontId="45" fillId="12" borderId="0" xfId="17" applyNumberFormat="1" applyFill="1" applyBorder="1" applyProtection="1"/>
    <xf numFmtId="4" fontId="45" fillId="12" borderId="0" xfId="17" applyNumberFormat="1" applyFill="1" applyBorder="1" applyProtection="1"/>
    <xf numFmtId="0" fontId="45" fillId="12" borderId="90" xfId="17" applyNumberFormat="1" applyFill="1" applyBorder="1" applyAlignment="1" applyProtection="1"/>
    <xf numFmtId="0" fontId="45" fillId="9" borderId="91" xfId="17" applyNumberFormat="1" applyFill="1" applyBorder="1" applyAlignment="1" applyProtection="1"/>
    <xf numFmtId="0" fontId="0" fillId="9" borderId="91" xfId="0" applyFill="1" applyBorder="1"/>
    <xf numFmtId="3" fontId="0" fillId="9" borderId="91" xfId="0" applyNumberFormat="1" applyFill="1" applyBorder="1" applyAlignment="1">
      <alignment horizontal="right"/>
    </xf>
    <xf numFmtId="3" fontId="0" fillId="9" borderId="92" xfId="0" applyNumberFormat="1" applyFill="1" applyBorder="1" applyAlignment="1">
      <alignment horizontal="right"/>
    </xf>
    <xf numFmtId="0" fontId="45" fillId="12" borderId="89" xfId="17" applyNumberFormat="1" applyFill="1" applyBorder="1" applyProtection="1"/>
    <xf numFmtId="3" fontId="0" fillId="9" borderId="93" xfId="0" applyNumberFormat="1" applyFill="1" applyBorder="1" applyAlignment="1">
      <alignment horizontal="right"/>
    </xf>
    <xf numFmtId="0" fontId="45" fillId="12" borderId="94" xfId="17" applyNumberFormat="1" applyFill="1" applyBorder="1" applyProtection="1"/>
    <xf numFmtId="0" fontId="57" fillId="12" borderId="95" xfId="0" applyFont="1" applyFill="1" applyBorder="1" applyAlignment="1">
      <alignment horizontal="right"/>
    </xf>
    <xf numFmtId="0" fontId="0" fillId="12" borderId="96" xfId="0" applyFill="1" applyBorder="1"/>
    <xf numFmtId="0" fontId="63" fillId="12" borderId="97" xfId="0" applyFont="1" applyFill="1" applyBorder="1" applyAlignment="1">
      <alignment horizontal="right"/>
    </xf>
    <xf numFmtId="0" fontId="45" fillId="12" borderId="98" xfId="17" applyNumberFormat="1" applyFill="1" applyBorder="1" applyProtection="1"/>
    <xf numFmtId="0" fontId="0" fillId="9" borderId="99" xfId="0" applyFill="1" applyBorder="1"/>
    <xf numFmtId="0" fontId="0" fillId="9" borderId="93" xfId="0" applyFill="1" applyBorder="1"/>
    <xf numFmtId="4" fontId="45" fillId="12" borderId="89" xfId="17" applyNumberFormat="1" applyFill="1" applyBorder="1" applyProtection="1"/>
    <xf numFmtId="0" fontId="0" fillId="19" borderId="0" xfId="0" applyFill="1"/>
    <xf numFmtId="5" fontId="0" fillId="9" borderId="100" xfId="0" applyNumberFormat="1" applyFill="1" applyBorder="1"/>
    <xf numFmtId="3" fontId="0" fillId="9" borderId="101" xfId="0" applyNumberFormat="1" applyFill="1" applyBorder="1"/>
    <xf numFmtId="0" fontId="0" fillId="9" borderId="102" xfId="0" applyFill="1" applyBorder="1"/>
    <xf numFmtId="0" fontId="0" fillId="9" borderId="101" xfId="0" applyFill="1" applyBorder="1"/>
    <xf numFmtId="0" fontId="0" fillId="9" borderId="103" xfId="0" applyFill="1" applyBorder="1"/>
    <xf numFmtId="4" fontId="0" fillId="9" borderId="101" xfId="0" applyNumberFormat="1" applyFill="1" applyBorder="1"/>
    <xf numFmtId="0" fontId="0" fillId="9" borderId="104" xfId="0" applyFill="1" applyBorder="1"/>
    <xf numFmtId="3" fontId="0" fillId="9" borderId="67" xfId="0" applyNumberFormat="1" applyFill="1" applyBorder="1"/>
    <xf numFmtId="0" fontId="0" fillId="9" borderId="60" xfId="0" applyFill="1" applyBorder="1" applyAlignment="1">
      <alignment horizontal="center"/>
    </xf>
    <xf numFmtId="0" fontId="0" fillId="0" borderId="60" xfId="0" applyBorder="1"/>
    <xf numFmtId="0" fontId="28" fillId="9" borderId="67" xfId="0" applyFont="1" applyFill="1" applyBorder="1" applyAlignment="1">
      <alignment horizontal="center"/>
    </xf>
    <xf numFmtId="0" fontId="28" fillId="12" borderId="60" xfId="0" applyFont="1" applyFill="1" applyBorder="1" applyAlignment="1">
      <alignment horizontal="center"/>
    </xf>
    <xf numFmtId="0" fontId="28" fillId="12" borderId="67" xfId="0" applyFont="1" applyFill="1" applyBorder="1" applyAlignment="1">
      <alignment horizontal="center"/>
    </xf>
    <xf numFmtId="0" fontId="28" fillId="0" borderId="2" xfId="0" applyFont="1" applyBorder="1"/>
    <xf numFmtId="4" fontId="1" fillId="4" borderId="3" xfId="13" applyBorder="1" applyAlignment="1">
      <protection locked="0"/>
    </xf>
    <xf numFmtId="0" fontId="28" fillId="9" borderId="2" xfId="0" applyFont="1" applyFill="1" applyBorder="1" applyAlignment="1">
      <alignment horizontal="left" wrapText="1"/>
    </xf>
    <xf numFmtId="0" fontId="0" fillId="0" borderId="1" xfId="0" applyBorder="1"/>
    <xf numFmtId="0" fontId="57" fillId="9" borderId="0" xfId="0" applyFont="1" applyFill="1" applyAlignment="1">
      <alignment horizontal="left"/>
    </xf>
    <xf numFmtId="164" fontId="1" fillId="0" borderId="0" xfId="12" applyFill="1" applyBorder="1" applyAlignment="1">
      <protection locked="0"/>
    </xf>
    <xf numFmtId="0" fontId="0" fillId="0" borderId="110" xfId="0" applyBorder="1"/>
    <xf numFmtId="0" fontId="0" fillId="0" borderId="111" xfId="0" applyBorder="1"/>
    <xf numFmtId="0" fontId="0" fillId="0" borderId="112" xfId="0" applyBorder="1"/>
    <xf numFmtId="0" fontId="45" fillId="9" borderId="105" xfId="17" applyNumberFormat="1" applyFill="1" applyBorder="1" applyProtection="1"/>
    <xf numFmtId="0" fontId="45" fillId="0" borderId="106" xfId="17" applyNumberFormat="1" applyBorder="1" applyProtection="1"/>
    <xf numFmtId="0" fontId="45" fillId="9" borderId="106" xfId="17" applyNumberFormat="1" applyFill="1" applyBorder="1" applyProtection="1"/>
    <xf numFmtId="0" fontId="45" fillId="9" borderId="107" xfId="17" applyNumberFormat="1" applyFill="1" applyBorder="1" applyProtection="1"/>
    <xf numFmtId="0" fontId="45" fillId="9" borderId="108" xfId="17" applyNumberFormat="1" applyFill="1" applyBorder="1" applyProtection="1"/>
    <xf numFmtId="0" fontId="45" fillId="9" borderId="109" xfId="17" applyNumberFormat="1" applyFill="1" applyBorder="1" applyProtection="1"/>
    <xf numFmtId="4" fontId="0" fillId="0" borderId="0" xfId="0" applyNumberFormat="1"/>
    <xf numFmtId="4" fontId="0" fillId="0" borderId="3" xfId="0" applyNumberFormat="1" applyBorder="1"/>
    <xf numFmtId="0" fontId="0" fillId="0" borderId="5" xfId="0" applyBorder="1"/>
    <xf numFmtId="0" fontId="0" fillId="0" borderId="6" xfId="0" applyBorder="1"/>
    <xf numFmtId="4" fontId="0" fillId="0" borderId="2" xfId="0" applyNumberFormat="1" applyBorder="1"/>
    <xf numFmtId="10" fontId="45" fillId="0" borderId="4" xfId="17" applyNumberFormat="1" applyFill="1" applyBorder="1" applyAlignment="1" applyProtection="1">
      <alignment horizontal="right"/>
      <protection locked="0"/>
    </xf>
    <xf numFmtId="0" fontId="0" fillId="0" borderId="67" xfId="0" applyBorder="1"/>
    <xf numFmtId="4" fontId="0" fillId="0" borderId="5" xfId="0" applyNumberFormat="1" applyBorder="1"/>
    <xf numFmtId="0" fontId="28" fillId="0" borderId="0" xfId="0" applyFont="1" applyAlignment="1">
      <alignment wrapText="1"/>
    </xf>
    <xf numFmtId="0" fontId="0" fillId="20" borderId="0" xfId="0" applyFill="1"/>
    <xf numFmtId="0" fontId="28" fillId="0" borderId="5" xfId="0" applyFont="1" applyBorder="1" applyAlignment="1">
      <alignment wrapText="1"/>
    </xf>
    <xf numFmtId="164" fontId="45" fillId="0" borderId="2" xfId="14" applyNumberFormat="1" applyFont="1" applyBorder="1" applyProtection="1"/>
    <xf numFmtId="0" fontId="45" fillId="0" borderId="0" xfId="17" applyNumberFormat="1" applyBorder="1" applyProtection="1"/>
    <xf numFmtId="0" fontId="28" fillId="0" borderId="1" xfId="0" applyFont="1" applyBorder="1" applyAlignment="1">
      <alignment wrapText="1"/>
    </xf>
    <xf numFmtId="0" fontId="0" fillId="21" borderId="0" xfId="0" applyFill="1"/>
    <xf numFmtId="0" fontId="0" fillId="8" borderId="60" xfId="0" applyFill="1" applyBorder="1"/>
    <xf numFmtId="0" fontId="22" fillId="8" borderId="60" xfId="0" applyFont="1" applyFill="1" applyBorder="1" applyAlignment="1">
      <alignment horizontal="left"/>
    </xf>
    <xf numFmtId="0" fontId="28" fillId="8" borderId="60" xfId="0" applyFont="1" applyFill="1" applyBorder="1" applyAlignment="1">
      <alignment horizontal="right"/>
    </xf>
    <xf numFmtId="0" fontId="68" fillId="9" borderId="2" xfId="17" applyNumberFormat="1" applyFont="1" applyFill="1" applyBorder="1" applyAlignment="1" applyProtection="1">
      <alignment vertical="center" wrapText="1"/>
    </xf>
    <xf numFmtId="3" fontId="1" fillId="4" borderId="17" xfId="13" applyNumberFormat="1" applyBorder="1" applyAlignment="1">
      <protection locked="0"/>
    </xf>
    <xf numFmtId="0" fontId="0" fillId="8" borderId="3" xfId="0" applyFill="1" applyBorder="1" applyAlignment="1">
      <alignment horizontal="right"/>
    </xf>
    <xf numFmtId="0" fontId="45" fillId="9" borderId="5" xfId="17" applyNumberFormat="1" applyFill="1" applyBorder="1" applyAlignment="1" applyProtection="1">
      <alignment wrapText="1"/>
    </xf>
    <xf numFmtId="0" fontId="45" fillId="0" borderId="1" xfId="17" applyNumberFormat="1" applyFill="1" applyBorder="1" applyProtection="1"/>
    <xf numFmtId="0" fontId="28" fillId="0" borderId="0" xfId="0" applyFont="1" applyAlignment="1">
      <alignment horizontal="left"/>
    </xf>
    <xf numFmtId="0" fontId="28" fillId="0" borderId="0" xfId="0" applyFont="1" applyAlignment="1">
      <alignment horizontal="right"/>
    </xf>
    <xf numFmtId="0" fontId="0" fillId="8" borderId="67" xfId="0" applyFill="1" applyBorder="1"/>
    <xf numFmtId="0" fontId="28" fillId="9" borderId="16" xfId="0" applyFont="1" applyFill="1" applyBorder="1" applyAlignment="1">
      <alignment horizontal="right" vertical="center"/>
    </xf>
    <xf numFmtId="0" fontId="28" fillId="9" borderId="18" xfId="0" applyFont="1" applyFill="1" applyBorder="1" applyAlignment="1">
      <alignment horizontal="right" vertical="center"/>
    </xf>
    <xf numFmtId="0" fontId="28" fillId="9" borderId="7" xfId="0" applyFont="1" applyFill="1" applyBorder="1" applyAlignment="1">
      <alignment horizontal="right" vertical="center"/>
    </xf>
    <xf numFmtId="0" fontId="65" fillId="9" borderId="5" xfId="0" applyFont="1" applyFill="1" applyBorder="1" applyAlignment="1">
      <alignment wrapText="1"/>
    </xf>
    <xf numFmtId="3" fontId="1" fillId="0" borderId="17" xfId="17" applyNumberFormat="1" applyFont="1" applyFill="1" applyBorder="1" applyProtection="1"/>
    <xf numFmtId="0" fontId="0" fillId="9" borderId="113" xfId="0" applyFill="1" applyBorder="1"/>
    <xf numFmtId="0" fontId="0" fillId="9" borderId="114" xfId="0" applyFill="1" applyBorder="1"/>
    <xf numFmtId="0" fontId="28" fillId="0" borderId="114" xfId="0" applyFont="1" applyBorder="1" applyAlignment="1">
      <alignment horizontal="left"/>
    </xf>
    <xf numFmtId="0" fontId="0" fillId="0" borderId="114" xfId="0" applyBorder="1" applyAlignment="1">
      <alignment horizontal="right"/>
    </xf>
    <xf numFmtId="0" fontId="28" fillId="0" borderId="114" xfId="0" applyFont="1" applyBorder="1" applyAlignment="1">
      <alignment horizontal="right" vertical="center"/>
    </xf>
    <xf numFmtId="0" fontId="0" fillId="0" borderId="114" xfId="0" applyBorder="1"/>
    <xf numFmtId="0" fontId="28" fillId="0" borderId="114" xfId="0" applyFont="1" applyBorder="1" applyAlignment="1">
      <alignment horizontal="right"/>
    </xf>
    <xf numFmtId="0" fontId="0" fillId="9" borderId="115" xfId="0" applyFill="1" applyBorder="1"/>
    <xf numFmtId="0" fontId="0" fillId="9" borderId="116" xfId="0" applyFill="1" applyBorder="1"/>
    <xf numFmtId="0" fontId="0" fillId="9" borderId="117" xfId="0" applyFill="1" applyBorder="1"/>
    <xf numFmtId="0" fontId="28" fillId="9" borderId="60" xfId="0" applyFont="1" applyFill="1" applyBorder="1" applyAlignment="1">
      <alignment horizontal="center"/>
    </xf>
    <xf numFmtId="0" fontId="42" fillId="0" borderId="0" xfId="2" applyFill="1"/>
    <xf numFmtId="0" fontId="0" fillId="0" borderId="2" xfId="0" applyBorder="1" applyAlignment="1">
      <alignment horizontal="left" vertical="center"/>
    </xf>
    <xf numFmtId="0" fontId="0" fillId="0" borderId="2" xfId="0" applyBorder="1" applyAlignment="1">
      <alignment wrapText="1"/>
    </xf>
    <xf numFmtId="0" fontId="0" fillId="0" borderId="5" xfId="0" applyBorder="1" applyAlignment="1">
      <alignment wrapText="1"/>
    </xf>
    <xf numFmtId="0" fontId="28" fillId="8" borderId="2" xfId="0" applyFont="1" applyFill="1" applyBorder="1" applyAlignment="1">
      <alignment wrapText="1"/>
    </xf>
    <xf numFmtId="0" fontId="28" fillId="8" borderId="3" xfId="0" applyFont="1" applyFill="1" applyBorder="1"/>
    <xf numFmtId="0" fontId="28" fillId="0" borderId="2" xfId="0" applyFont="1" applyBorder="1" applyAlignment="1">
      <alignment horizontal="left" vertical="center"/>
    </xf>
    <xf numFmtId="0" fontId="0" fillId="0" borderId="60" xfId="0" applyBorder="1" applyAlignment="1">
      <alignment horizontal="left" vertical="center"/>
    </xf>
    <xf numFmtId="0" fontId="0" fillId="0" borderId="67" xfId="0" applyBorder="1" applyAlignment="1">
      <alignment horizontal="left" vertical="center"/>
    </xf>
    <xf numFmtId="0" fontId="28" fillId="0" borderId="0" xfId="0" applyFont="1" applyAlignment="1">
      <alignment horizontal="left" vertical="center"/>
    </xf>
    <xf numFmtId="0" fontId="28" fillId="0" borderId="3" xfId="0" applyFont="1" applyBorder="1" applyAlignment="1">
      <alignment horizontal="left" vertical="center"/>
    </xf>
    <xf numFmtId="0" fontId="28" fillId="8" borderId="2" xfId="0" applyFont="1" applyFill="1" applyBorder="1" applyAlignment="1">
      <alignment horizontal="left" vertical="center"/>
    </xf>
    <xf numFmtId="0" fontId="28" fillId="8" borderId="0" xfId="0" applyFont="1" applyFill="1" applyAlignment="1">
      <alignment horizontal="left" vertical="center"/>
    </xf>
    <xf numFmtId="0" fontId="28" fillId="8" borderId="3" xfId="0" applyFont="1" applyFill="1"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28" fillId="0" borderId="1" xfId="0" applyFont="1" applyBorder="1"/>
    <xf numFmtId="0" fontId="28" fillId="0" borderId="1" xfId="0" applyFont="1" applyBorder="1" applyAlignment="1">
      <alignment horizontal="left" vertical="center"/>
    </xf>
    <xf numFmtId="0" fontId="28" fillId="0" borderId="6" xfId="0" applyFont="1" applyBorder="1" applyAlignment="1">
      <alignment horizontal="left" vertical="center"/>
    </xf>
    <xf numFmtId="0" fontId="28" fillId="0" borderId="5" xfId="0" applyFont="1" applyBorder="1" applyAlignment="1">
      <alignment horizontal="left" vertical="center"/>
    </xf>
    <xf numFmtId="0" fontId="28" fillId="9" borderId="0" xfId="0" applyFont="1" applyFill="1" applyAlignment="1">
      <alignment wrapText="1"/>
    </xf>
    <xf numFmtId="0" fontId="8" fillId="8" borderId="0" xfId="0" applyFont="1" applyFill="1"/>
    <xf numFmtId="0" fontId="1" fillId="0" borderId="0" xfId="0" applyFont="1"/>
    <xf numFmtId="0" fontId="1" fillId="9" borderId="0" xfId="0" applyFont="1" applyFill="1"/>
    <xf numFmtId="0" fontId="0" fillId="9" borderId="4" xfId="0" applyFill="1" applyBorder="1"/>
    <xf numFmtId="0" fontId="0" fillId="9" borderId="14" xfId="0" applyFill="1" applyBorder="1" applyAlignment="1">
      <alignment horizontal="left"/>
    </xf>
    <xf numFmtId="0" fontId="0" fillId="9" borderId="9" xfId="0" applyFill="1" applyBorder="1" applyAlignment="1">
      <alignment horizontal="left"/>
    </xf>
    <xf numFmtId="0" fontId="0" fillId="9" borderId="9" xfId="0" applyFill="1" applyBorder="1" applyAlignment="1">
      <alignment horizontal="left" vertical="top"/>
    </xf>
    <xf numFmtId="0" fontId="70" fillId="9" borderId="0" xfId="0" applyFont="1" applyFill="1"/>
    <xf numFmtId="0" fontId="71" fillId="9" borderId="0" xfId="0" applyFont="1" applyFill="1" applyAlignment="1">
      <alignment horizontal="left" vertical="top"/>
    </xf>
    <xf numFmtId="0" fontId="71" fillId="9" borderId="0" xfId="0" applyFont="1" applyFill="1"/>
    <xf numFmtId="0" fontId="0" fillId="9" borderId="118" xfId="0" applyFill="1" applyBorder="1"/>
    <xf numFmtId="0" fontId="72" fillId="0" borderId="0" xfId="0" applyFont="1"/>
    <xf numFmtId="0" fontId="72" fillId="9" borderId="0" xfId="0" applyFont="1" applyFill="1"/>
    <xf numFmtId="15" fontId="0" fillId="9" borderId="0" xfId="0" applyNumberFormat="1" applyFill="1" applyAlignment="1">
      <alignment horizontal="left"/>
    </xf>
    <xf numFmtId="0" fontId="73" fillId="9" borderId="0" xfId="0" applyFont="1" applyFill="1"/>
    <xf numFmtId="15" fontId="0" fillId="9" borderId="119" xfId="0" applyNumberFormat="1" applyFill="1" applyBorder="1" applyAlignment="1">
      <alignment horizontal="left"/>
    </xf>
    <xf numFmtId="0" fontId="0" fillId="9" borderId="119" xfId="0" applyFill="1" applyBorder="1"/>
    <xf numFmtId="0" fontId="26" fillId="9" borderId="0" xfId="0" applyFont="1" applyFill="1"/>
    <xf numFmtId="0" fontId="28" fillId="9" borderId="9" xfId="0" applyFont="1" applyFill="1" applyBorder="1" applyAlignment="1">
      <alignment horizontal="left" vertical="top"/>
    </xf>
    <xf numFmtId="0" fontId="0" fillId="9" borderId="0" xfId="0" quotePrefix="1" applyFill="1" applyAlignment="1">
      <alignment horizontal="left" vertical="top"/>
    </xf>
    <xf numFmtId="0" fontId="0" fillId="0" borderId="0" xfId="0" quotePrefix="1"/>
    <xf numFmtId="0" fontId="0" fillId="0" borderId="0" xfId="0" quotePrefix="1" applyAlignment="1">
      <alignment horizontal="left"/>
    </xf>
    <xf numFmtId="0" fontId="69" fillId="0" borderId="0" xfId="0" applyFont="1" applyAlignment="1">
      <alignment horizontal="left"/>
    </xf>
    <xf numFmtId="10" fontId="0" fillId="0" borderId="0" xfId="14" applyNumberFormat="1" applyFont="1" applyFill="1" applyBorder="1"/>
    <xf numFmtId="4" fontId="1" fillId="4" borderId="2" xfId="13" applyBorder="1" applyAlignment="1">
      <protection locked="0"/>
    </xf>
    <xf numFmtId="3" fontId="1" fillId="0" borderId="20" xfId="13" applyNumberFormat="1" applyFill="1" applyBorder="1" applyAlignment="1">
      <protection locked="0"/>
    </xf>
    <xf numFmtId="0" fontId="65" fillId="9" borderId="2" xfId="0" applyFont="1" applyFill="1" applyBorder="1" applyAlignment="1">
      <alignment wrapText="1"/>
    </xf>
    <xf numFmtId="0" fontId="28" fillId="0" borderId="16" xfId="0" applyFont="1" applyBorder="1" applyAlignment="1">
      <alignment wrapText="1"/>
    </xf>
    <xf numFmtId="0" fontId="28" fillId="0" borderId="18" xfId="0" applyFont="1" applyBorder="1"/>
    <xf numFmtId="0" fontId="28" fillId="0" borderId="16" xfId="0" applyFont="1" applyBorder="1" applyAlignment="1">
      <alignment horizontal="left" vertical="center"/>
    </xf>
    <xf numFmtId="0" fontId="28" fillId="0" borderId="18" xfId="0" applyFont="1" applyBorder="1" applyAlignment="1">
      <alignment horizontal="left" vertical="center"/>
    </xf>
    <xf numFmtId="0" fontId="28" fillId="0" borderId="7" xfId="0" applyFont="1" applyBorder="1" applyAlignment="1">
      <alignment horizontal="left" vertical="center"/>
    </xf>
    <xf numFmtId="0" fontId="43" fillId="9" borderId="116" xfId="0" applyFont="1" applyFill="1" applyBorder="1" applyAlignment="1">
      <alignment vertical="top"/>
    </xf>
    <xf numFmtId="0" fontId="0" fillId="9" borderId="67" xfId="0" applyFill="1" applyBorder="1" applyAlignment="1">
      <alignment horizontal="right"/>
    </xf>
    <xf numFmtId="4" fontId="1" fillId="4" borderId="60" xfId="13" applyBorder="1" applyAlignment="1">
      <protection locked="0"/>
    </xf>
    <xf numFmtId="0" fontId="0" fillId="9" borderId="67" xfId="0" applyFill="1" applyBorder="1" applyAlignment="1">
      <alignment horizontal="left"/>
    </xf>
    <xf numFmtId="0" fontId="45" fillId="9" borderId="67" xfId="17" applyNumberFormat="1" applyFill="1" applyBorder="1" applyProtection="1"/>
    <xf numFmtId="0" fontId="0" fillId="9" borderId="60" xfId="0" applyFill="1" applyBorder="1" applyAlignment="1">
      <alignment horizontal="left" vertical="center"/>
    </xf>
    <xf numFmtId="0" fontId="0" fillId="9" borderId="60" xfId="0" applyFill="1" applyBorder="1" applyAlignment="1">
      <alignment horizontal="center" vertical="center"/>
    </xf>
    <xf numFmtId="0" fontId="0" fillId="9" borderId="67" xfId="0" applyFill="1" applyBorder="1" applyAlignment="1">
      <alignment horizontal="left" vertical="center"/>
    </xf>
    <xf numFmtId="0" fontId="28" fillId="9" borderId="60" xfId="0" applyFont="1" applyFill="1" applyBorder="1" applyAlignment="1">
      <alignment horizontal="left"/>
    </xf>
    <xf numFmtId="0" fontId="5" fillId="9" borderId="34" xfId="0" applyFont="1" applyFill="1" applyBorder="1" applyAlignment="1">
      <alignment horizontal="center"/>
    </xf>
    <xf numFmtId="0" fontId="5" fillId="9" borderId="34" xfId="0" applyFont="1" applyFill="1" applyBorder="1"/>
    <xf numFmtId="167" fontId="4" fillId="9" borderId="38" xfId="1" applyNumberFormat="1" applyFont="1" applyFill="1" applyBorder="1" applyAlignment="1" applyProtection="1"/>
    <xf numFmtId="166" fontId="0" fillId="9" borderId="60" xfId="1" applyNumberFormat="1" applyFont="1" applyFill="1" applyBorder="1" applyAlignment="1" applyProtection="1"/>
    <xf numFmtId="4" fontId="0" fillId="4" borderId="67" xfId="13" applyFont="1" applyBorder="1" applyAlignment="1">
      <alignment vertical="justify"/>
      <protection locked="0"/>
    </xf>
    <xf numFmtId="167" fontId="0" fillId="12" borderId="67" xfId="1" applyNumberFormat="1" applyFont="1" applyFill="1" applyBorder="1" applyAlignment="1" applyProtection="1">
      <alignment horizontal="right"/>
    </xf>
    <xf numFmtId="0" fontId="6" fillId="9" borderId="60" xfId="0" applyFont="1" applyFill="1" applyBorder="1" applyAlignment="1">
      <alignment horizontal="left"/>
    </xf>
    <xf numFmtId="166" fontId="4" fillId="9" borderId="60" xfId="1" applyNumberFormat="1" applyFont="1" applyFill="1" applyBorder="1" applyAlignment="1" applyProtection="1"/>
    <xf numFmtId="167" fontId="0" fillId="9" borderId="67" xfId="1" applyNumberFormat="1" applyFont="1" applyFill="1" applyBorder="1" applyAlignment="1" applyProtection="1">
      <alignment horizontal="right"/>
    </xf>
    <xf numFmtId="167" fontId="4" fillId="9" borderId="0" xfId="1" applyNumberFormat="1" applyFont="1" applyFill="1" applyBorder="1" applyAlignment="1" applyProtection="1"/>
    <xf numFmtId="0" fontId="5" fillId="9" borderId="0" xfId="0" applyFont="1" applyFill="1" applyAlignment="1">
      <alignment horizontal="right"/>
    </xf>
    <xf numFmtId="166" fontId="4" fillId="0" borderId="0" xfId="1" applyNumberFormat="1" applyFont="1" applyProtection="1"/>
    <xf numFmtId="0" fontId="5" fillId="9" borderId="0" xfId="0" applyFont="1" applyFill="1" applyAlignment="1">
      <alignment horizontal="left"/>
    </xf>
    <xf numFmtId="166" fontId="5" fillId="9" borderId="0" xfId="1" applyNumberFormat="1" applyFont="1" applyFill="1" applyBorder="1" applyAlignment="1" applyProtection="1">
      <alignment horizontal="right"/>
    </xf>
    <xf numFmtId="166" fontId="4" fillId="9" borderId="27" xfId="1" applyNumberFormat="1" applyFont="1" applyFill="1" applyBorder="1" applyAlignment="1" applyProtection="1"/>
    <xf numFmtId="166" fontId="4" fillId="9" borderId="0" xfId="1" applyNumberFormat="1" applyFont="1" applyFill="1" applyProtection="1"/>
    <xf numFmtId="3" fontId="0" fillId="9" borderId="60" xfId="0" applyNumberFormat="1" applyFill="1" applyBorder="1" applyAlignment="1">
      <alignment horizontal="right"/>
    </xf>
    <xf numFmtId="4" fontId="0" fillId="12" borderId="60" xfId="0" applyNumberFormat="1" applyFill="1" applyBorder="1" applyAlignment="1">
      <alignment horizontal="right"/>
    </xf>
    <xf numFmtId="4" fontId="0" fillId="12" borderId="67" xfId="0" applyNumberFormat="1" applyFill="1" applyBorder="1" applyAlignment="1">
      <alignment horizontal="right"/>
    </xf>
    <xf numFmtId="10" fontId="0" fillId="12" borderId="60" xfId="14" applyNumberFormat="1" applyFont="1" applyFill="1" applyBorder="1" applyAlignment="1" applyProtection="1">
      <alignment horizontal="right"/>
    </xf>
    <xf numFmtId="10" fontId="0" fillId="12" borderId="67" xfId="14" applyNumberFormat="1" applyFont="1" applyFill="1" applyBorder="1" applyAlignment="1" applyProtection="1">
      <alignment horizontal="right"/>
    </xf>
    <xf numFmtId="3" fontId="0" fillId="12" borderId="67" xfId="0" applyNumberFormat="1" applyFill="1" applyBorder="1"/>
    <xf numFmtId="0" fontId="0" fillId="8" borderId="60" xfId="0" applyFill="1" applyBorder="1" applyAlignment="1">
      <alignment horizontal="right"/>
    </xf>
    <xf numFmtId="0" fontId="28" fillId="14" borderId="60" xfId="0" applyFont="1" applyFill="1" applyBorder="1" applyAlignment="1">
      <alignment horizontal="left"/>
    </xf>
    <xf numFmtId="0" fontId="28" fillId="8" borderId="60" xfId="0" applyFont="1" applyFill="1" applyBorder="1" applyAlignment="1">
      <alignment horizontal="center"/>
    </xf>
    <xf numFmtId="0" fontId="28" fillId="8" borderId="67" xfId="0" applyFont="1" applyFill="1" applyBorder="1" applyAlignment="1">
      <alignment horizontal="center"/>
    </xf>
    <xf numFmtId="0" fontId="28" fillId="9" borderId="67" xfId="0" applyFont="1" applyFill="1" applyBorder="1" applyAlignment="1">
      <alignment wrapText="1"/>
    </xf>
    <xf numFmtId="4" fontId="0" fillId="4" borderId="67" xfId="13" applyFont="1" applyBorder="1" applyAlignment="1">
      <alignment horizontal="left"/>
      <protection locked="0"/>
    </xf>
    <xf numFmtId="0" fontId="28" fillId="14" borderId="60" xfId="0" applyFont="1" applyFill="1" applyBorder="1" applyAlignment="1">
      <alignment horizontal="right"/>
    </xf>
    <xf numFmtId="0" fontId="28" fillId="8" borderId="60" xfId="0" applyFont="1" applyFill="1" applyBorder="1"/>
    <xf numFmtId="3" fontId="28" fillId="8" borderId="60" xfId="0" applyNumberFormat="1" applyFont="1" applyFill="1" applyBorder="1"/>
    <xf numFmtId="3" fontId="28" fillId="8" borderId="67" xfId="0" applyNumberFormat="1" applyFont="1" applyFill="1" applyBorder="1"/>
    <xf numFmtId="0" fontId="28" fillId="9" borderId="60" xfId="0" applyFont="1" applyFill="1" applyBorder="1" applyAlignment="1">
      <alignment horizontal="left" vertical="center"/>
    </xf>
    <xf numFmtId="0" fontId="28" fillId="9" borderId="67" xfId="0" applyFont="1" applyFill="1" applyBorder="1" applyAlignment="1">
      <alignment horizontal="right" vertical="center"/>
    </xf>
    <xf numFmtId="0" fontId="28" fillId="12" borderId="60" xfId="0" applyFont="1" applyFill="1" applyBorder="1" applyAlignment="1">
      <alignment horizontal="left" vertical="center"/>
    </xf>
    <xf numFmtId="3" fontId="0" fillId="9" borderId="67" xfId="0" applyNumberFormat="1" applyFill="1" applyBorder="1" applyAlignment="1">
      <alignment horizontal="right"/>
    </xf>
    <xf numFmtId="4" fontId="0" fillId="4" borderId="67" xfId="13" applyFont="1" applyBorder="1" applyAlignment="1">
      <alignment vertical="center"/>
      <protection locked="0"/>
    </xf>
    <xf numFmtId="4" fontId="0" fillId="4" borderId="2" xfId="13" applyFont="1" applyBorder="1" applyAlignment="1">
      <alignment vertical="center"/>
      <protection locked="0"/>
    </xf>
    <xf numFmtId="4" fontId="0" fillId="4" borderId="3" xfId="13" applyFont="1" applyBorder="1" applyAlignment="1">
      <alignment vertical="center"/>
      <protection locked="0"/>
    </xf>
    <xf numFmtId="0" fontId="1" fillId="6" borderId="120" xfId="0" applyFont="1" applyFill="1" applyBorder="1" applyAlignment="1">
      <alignment wrapText="1"/>
    </xf>
    <xf numFmtId="0" fontId="0" fillId="6" borderId="120" xfId="0" applyFill="1" applyBorder="1" applyAlignment="1">
      <alignment horizontal="right" wrapText="1"/>
    </xf>
    <xf numFmtId="0" fontId="1" fillId="6" borderId="120" xfId="0" quotePrefix="1" applyFont="1" applyFill="1" applyBorder="1" applyAlignment="1">
      <alignment wrapText="1"/>
    </xf>
    <xf numFmtId="0" fontId="0" fillId="9" borderId="121" xfId="0" applyFill="1" applyBorder="1"/>
    <xf numFmtId="0" fontId="0" fillId="12" borderId="122" xfId="0" applyFill="1" applyBorder="1"/>
    <xf numFmtId="0" fontId="0" fillId="9" borderId="122" xfId="0" applyFill="1" applyBorder="1"/>
    <xf numFmtId="0" fontId="0" fillId="12" borderId="122" xfId="0" applyFill="1" applyBorder="1" applyAlignment="1">
      <alignment horizontal="right"/>
    </xf>
    <xf numFmtId="0" fontId="57" fillId="12" borderId="122" xfId="0" applyFont="1" applyFill="1" applyBorder="1" applyAlignment="1">
      <alignment horizontal="right"/>
    </xf>
    <xf numFmtId="3" fontId="0" fillId="12" borderId="121" xfId="0" applyNumberFormat="1" applyFill="1" applyBorder="1" applyAlignment="1">
      <alignment horizontal="left"/>
    </xf>
    <xf numFmtId="0" fontId="0" fillId="12" borderId="121" xfId="0" applyFill="1" applyBorder="1" applyAlignment="1">
      <alignment horizontal="right"/>
    </xf>
    <xf numFmtId="3" fontId="0" fillId="12" borderId="122" xfId="0" applyNumberFormat="1" applyFill="1" applyBorder="1" applyAlignment="1">
      <alignment horizontal="left"/>
    </xf>
    <xf numFmtId="0" fontId="28" fillId="9" borderId="122" xfId="0" applyFont="1" applyFill="1" applyBorder="1"/>
    <xf numFmtId="10" fontId="0" fillId="9" borderId="122" xfId="0" applyNumberFormat="1" applyFill="1" applyBorder="1"/>
    <xf numFmtId="0" fontId="0" fillId="0" borderId="122" xfId="0" applyBorder="1"/>
    <xf numFmtId="0" fontId="0" fillId="0" borderId="122" xfId="0" applyBorder="1" applyAlignment="1">
      <alignment horizontal="left" vertical="center"/>
    </xf>
    <xf numFmtId="0" fontId="45" fillId="9" borderId="121" xfId="17" applyNumberFormat="1" applyFill="1" applyBorder="1" applyAlignment="1" applyProtection="1"/>
    <xf numFmtId="0" fontId="28" fillId="0" borderId="122" xfId="0" applyFont="1" applyBorder="1"/>
    <xf numFmtId="0" fontId="0" fillId="9" borderId="122" xfId="0" applyFill="1" applyBorder="1" applyAlignment="1">
      <alignment horizontal="left" vertical="center"/>
    </xf>
    <xf numFmtId="0" fontId="0" fillId="9" borderId="122" xfId="0" applyFill="1" applyBorder="1" applyAlignment="1">
      <alignment horizontal="left"/>
    </xf>
    <xf numFmtId="0" fontId="28" fillId="9" borderId="122" xfId="0" applyFont="1" applyFill="1" applyBorder="1" applyAlignment="1">
      <alignment horizontal="left"/>
    </xf>
    <xf numFmtId="4" fontId="0" fillId="4" borderId="121" xfId="13" applyFont="1" applyBorder="1" applyAlignment="1">
      <protection locked="0"/>
    </xf>
    <xf numFmtId="0" fontId="28" fillId="9" borderId="122" xfId="0" applyFont="1" applyFill="1" applyBorder="1" applyAlignment="1">
      <alignment horizontal="center" vertical="center" wrapText="1"/>
    </xf>
    <xf numFmtId="0" fontId="28" fillId="9" borderId="121" xfId="0" applyFont="1" applyFill="1" applyBorder="1" applyAlignment="1">
      <alignment horizontal="center" vertical="center" wrapText="1"/>
    </xf>
    <xf numFmtId="0" fontId="0" fillId="9" borderId="121" xfId="0" applyFill="1" applyBorder="1" applyAlignment="1">
      <alignment horizontal="center" vertical="center"/>
    </xf>
    <xf numFmtId="4" fontId="0" fillId="4" borderId="121" xfId="13" applyFont="1" applyBorder="1" applyAlignment="1">
      <alignment vertical="center"/>
      <protection locked="0"/>
    </xf>
    <xf numFmtId="3" fontId="0" fillId="4" borderId="121" xfId="13" applyNumberFormat="1" applyFont="1" applyBorder="1" applyAlignment="1">
      <alignment vertical="center"/>
      <protection locked="0"/>
    </xf>
    <xf numFmtId="171" fontId="0" fillId="4" borderId="121" xfId="13" applyNumberFormat="1" applyFont="1" applyBorder="1" applyAlignment="1">
      <alignment vertical="center"/>
      <protection locked="0"/>
    </xf>
    <xf numFmtId="10" fontId="0" fillId="9" borderId="121" xfId="14" applyNumberFormat="1" applyFont="1" applyFill="1" applyBorder="1" applyAlignment="1" applyProtection="1">
      <alignment horizontal="right" vertical="center"/>
    </xf>
    <xf numFmtId="3" fontId="0" fillId="9" borderId="121" xfId="1" applyNumberFormat="1" applyFont="1" applyFill="1" applyBorder="1" applyAlignment="1" applyProtection="1">
      <alignment horizontal="right" vertical="center"/>
    </xf>
    <xf numFmtId="0" fontId="0" fillId="9" borderId="123" xfId="0" applyFill="1" applyBorder="1"/>
    <xf numFmtId="4" fontId="0" fillId="4" borderId="122" xfId="13" applyFont="1" applyBorder="1" applyAlignment="1">
      <alignment vertical="center"/>
      <protection locked="0"/>
    </xf>
    <xf numFmtId="10" fontId="0" fillId="12" borderId="121" xfId="14" applyNumberFormat="1" applyFont="1" applyFill="1" applyBorder="1" applyAlignment="1" applyProtection="1">
      <alignment horizontal="right" vertical="center"/>
    </xf>
    <xf numFmtId="3" fontId="0" fillId="12" borderId="121" xfId="1" applyNumberFormat="1" applyFont="1" applyFill="1" applyBorder="1" applyAlignment="1" applyProtection="1">
      <alignment horizontal="right" vertical="center"/>
    </xf>
    <xf numFmtId="4" fontId="0" fillId="4" borderId="122" xfId="13" applyFont="1" applyBorder="1" applyAlignment="1">
      <alignment vertical="justify"/>
      <protection locked="0"/>
    </xf>
    <xf numFmtId="3" fontId="0" fillId="4" borderId="121" xfId="13" applyNumberFormat="1" applyFont="1" applyBorder="1" applyAlignment="1">
      <alignment horizontal="center" vertical="top"/>
      <protection locked="0"/>
    </xf>
    <xf numFmtId="4" fontId="0" fillId="9" borderId="121" xfId="13" applyFont="1" applyFill="1" applyBorder="1" applyAlignment="1">
      <alignment vertical="center"/>
      <protection locked="0"/>
    </xf>
    <xf numFmtId="4" fontId="0" fillId="4" borderId="121" xfId="13" applyFont="1" applyBorder="1" applyAlignment="1">
      <alignment horizontal="center" vertical="top"/>
      <protection locked="0"/>
    </xf>
    <xf numFmtId="0" fontId="0" fillId="9" borderId="124" xfId="0" applyFill="1" applyBorder="1"/>
    <xf numFmtId="0" fontId="28" fillId="9" borderId="121" xfId="0" applyFont="1" applyFill="1" applyBorder="1"/>
    <xf numFmtId="0" fontId="28" fillId="9" borderId="121" xfId="0" applyFont="1" applyFill="1" applyBorder="1" applyAlignment="1">
      <alignment wrapText="1"/>
    </xf>
    <xf numFmtId="0" fontId="28" fillId="12" borderId="122" xfId="0" applyFont="1" applyFill="1" applyBorder="1"/>
    <xf numFmtId="0" fontId="0" fillId="12" borderId="121" xfId="0" applyFill="1" applyBorder="1" applyAlignment="1">
      <alignment horizontal="center" vertical="center"/>
    </xf>
    <xf numFmtId="4" fontId="0" fillId="9" borderId="121" xfId="13" applyFont="1" applyFill="1" applyBorder="1" applyAlignment="1">
      <protection locked="0"/>
    </xf>
    <xf numFmtId="4" fontId="0" fillId="4" borderId="121" xfId="13" applyFont="1" applyBorder="1" applyAlignment="1">
      <alignment horizontal="right"/>
      <protection locked="0"/>
    </xf>
    <xf numFmtId="4" fontId="0" fillId="13" borderId="121" xfId="13" applyFont="1" applyFill="1" applyBorder="1" applyAlignment="1">
      <alignment horizontal="right"/>
      <protection locked="0"/>
    </xf>
    <xf numFmtId="4" fontId="0" fillId="12" borderId="122" xfId="0" applyNumberFormat="1" applyFill="1" applyBorder="1" applyAlignment="1">
      <alignment horizontal="right"/>
    </xf>
    <xf numFmtId="10" fontId="0" fillId="12" borderId="122" xfId="14" applyNumberFormat="1" applyFont="1" applyFill="1" applyBorder="1" applyAlignment="1" applyProtection="1">
      <alignment horizontal="right"/>
    </xf>
    <xf numFmtId="2" fontId="28" fillId="12" borderId="121" xfId="1" applyNumberFormat="1" applyFont="1" applyFill="1" applyBorder="1" applyAlignment="1" applyProtection="1">
      <alignment horizontal="center"/>
    </xf>
    <xf numFmtId="0" fontId="0" fillId="12" borderId="121" xfId="0" applyFill="1" applyBorder="1"/>
    <xf numFmtId="43" fontId="0" fillId="12" borderId="121" xfId="1" applyFont="1" applyFill="1" applyBorder="1" applyAlignment="1" applyProtection="1">
      <alignment horizontal="right"/>
    </xf>
    <xf numFmtId="3" fontId="0" fillId="12" borderId="122" xfId="0" applyNumberFormat="1" applyFill="1" applyBorder="1"/>
    <xf numFmtId="2" fontId="28" fillId="12" borderId="121" xfId="1" applyNumberFormat="1" applyFont="1" applyFill="1" applyBorder="1" applyAlignment="1" applyProtection="1">
      <alignment horizontal="right"/>
    </xf>
    <xf numFmtId="0" fontId="22" fillId="8" borderId="122" xfId="0" applyFont="1" applyFill="1" applyBorder="1" applyAlignment="1">
      <alignment horizontal="left"/>
    </xf>
    <xf numFmtId="4" fontId="0" fillId="4" borderId="122" xfId="13" applyFont="1" applyBorder="1" applyAlignment="1">
      <alignment horizontal="left"/>
      <protection locked="0"/>
    </xf>
    <xf numFmtId="0" fontId="45" fillId="9" borderId="121" xfId="17" applyNumberFormat="1" applyFill="1" applyBorder="1" applyProtection="1"/>
    <xf numFmtId="0" fontId="28" fillId="12" borderId="121" xfId="0" applyFont="1" applyFill="1" applyBorder="1" applyAlignment="1">
      <alignment horizontal="center"/>
    </xf>
    <xf numFmtId="0" fontId="28" fillId="12" borderId="121" xfId="0" applyFont="1" applyFill="1" applyBorder="1" applyAlignment="1">
      <alignment horizontal="center" vertical="center" wrapText="1"/>
    </xf>
    <xf numFmtId="0" fontId="22" fillId="8" borderId="122" xfId="0" applyFont="1" applyFill="1" applyBorder="1"/>
    <xf numFmtId="0" fontId="5" fillId="8" borderId="122" xfId="0" applyFont="1" applyFill="1" applyBorder="1" applyAlignment="1">
      <alignment horizontal="left"/>
    </xf>
    <xf numFmtId="0" fontId="28" fillId="8" borderId="122" xfId="0" applyFont="1" applyFill="1" applyBorder="1"/>
    <xf numFmtId="0" fontId="28" fillId="12" borderId="122" xfId="0" applyFont="1" applyFill="1" applyBorder="1" applyAlignment="1">
      <alignment horizontal="center" vertical="center" wrapText="1"/>
    </xf>
    <xf numFmtId="0" fontId="28" fillId="14" borderId="122" xfId="0" applyFont="1" applyFill="1" applyBorder="1"/>
    <xf numFmtId="3" fontId="0" fillId="9" borderId="121" xfId="0" applyNumberFormat="1" applyFill="1" applyBorder="1" applyAlignment="1">
      <alignment horizontal="right"/>
    </xf>
    <xf numFmtId="0" fontId="28" fillId="9" borderId="122" xfId="0" applyFont="1" applyFill="1" applyBorder="1" applyAlignment="1">
      <alignment horizontal="center"/>
    </xf>
    <xf numFmtId="4" fontId="0" fillId="4" borderId="2" xfId="13" applyFont="1" applyBorder="1" applyAlignment="1" applyProtection="1">
      <protection locked="0"/>
    </xf>
    <xf numFmtId="171" fontId="0" fillId="4" borderId="121" xfId="13" applyNumberFormat="1" applyFont="1" applyBorder="1" applyAlignment="1" applyProtection="1">
      <alignment vertical="center"/>
      <protection locked="0"/>
    </xf>
    <xf numFmtId="171" fontId="0" fillId="4" borderId="20" xfId="13" applyNumberFormat="1" applyFont="1" applyBorder="1" applyAlignment="1" applyProtection="1">
      <alignment vertical="center"/>
      <protection locked="0"/>
    </xf>
    <xf numFmtId="3" fontId="0" fillId="4" borderId="20" xfId="13" applyNumberFormat="1" applyFont="1" applyBorder="1" applyAlignment="1" applyProtection="1">
      <alignment vertical="center"/>
      <protection locked="0"/>
    </xf>
    <xf numFmtId="4" fontId="0" fillId="4" borderId="121" xfId="13" applyFont="1" applyBorder="1" applyAlignment="1" applyProtection="1">
      <alignment horizontal="right"/>
      <protection locked="0"/>
    </xf>
    <xf numFmtId="4" fontId="0" fillId="4" borderId="0" xfId="13" applyFont="1" applyBorder="1" applyAlignment="1" applyProtection="1">
      <protection locked="0"/>
    </xf>
    <xf numFmtId="4" fontId="0" fillId="4" borderId="3" xfId="13" applyFont="1" applyBorder="1" applyAlignment="1" applyProtection="1">
      <protection locked="0"/>
    </xf>
    <xf numFmtId="3" fontId="0" fillId="4" borderId="20" xfId="13" applyNumberFormat="1" applyFont="1" applyBorder="1" applyAlignment="1" applyProtection="1">
      <protection locked="0"/>
    </xf>
    <xf numFmtId="4" fontId="0" fillId="4" borderId="20" xfId="13" applyFont="1" applyBorder="1" applyAlignment="1" applyProtection="1">
      <protection locked="0"/>
    </xf>
    <xf numFmtId="0" fontId="43" fillId="9" borderId="2" xfId="0" applyFont="1" applyFill="1" applyBorder="1" applyAlignment="1">
      <alignment wrapText="1"/>
    </xf>
    <xf numFmtId="0" fontId="0" fillId="9" borderId="0" xfId="0" applyFill="1" applyAlignment="1">
      <alignment wrapText="1"/>
    </xf>
    <xf numFmtId="0" fontId="0" fillId="9" borderId="3" xfId="0" applyFill="1" applyBorder="1" applyAlignment="1">
      <alignment wrapText="1"/>
    </xf>
  </cellXfs>
  <cellStyles count="23">
    <cellStyle name="Border" xfId="18" xr:uid="{00000000-0005-0000-0000-000000000000}"/>
    <cellStyle name="Comma" xfId="1" builtinId="3"/>
    <cellStyle name="Comma [0]" xfId="16" builtinId="6" hidden="1"/>
    <cellStyle name="Comma 2" xfId="19" xr:uid="{00000000-0005-0000-0000-000003000000}"/>
    <cellStyle name="Error checks" xfId="7" xr:uid="{00000000-0005-0000-0000-000004000000}"/>
    <cellStyle name="Error Warning" xfId="6" xr:uid="{00000000-0005-0000-0000-000005000000}"/>
    <cellStyle name="Hyperlink" xfId="5" builtinId="8"/>
    <cellStyle name="Info/Default #" xfId="11" xr:uid="{00000000-0005-0000-0000-000007000000}"/>
    <cellStyle name="Info/default %" xfId="10" xr:uid="{00000000-0005-0000-0000-000008000000}"/>
    <cellStyle name="Info/import #" xfId="4" xr:uid="{00000000-0005-0000-0000-000009000000}"/>
    <cellStyle name="Info/import %" xfId="3" xr:uid="{00000000-0005-0000-0000-00000A000000}"/>
    <cellStyle name="Input #" xfId="13" xr:uid="{00000000-0005-0000-0000-00000B000000}"/>
    <cellStyle name="Input %" xfId="12" xr:uid="{00000000-0005-0000-0000-00000C000000}"/>
    <cellStyle name="Input2" xfId="17" xr:uid="{00000000-0005-0000-0000-00000D000000}"/>
    <cellStyle name="Key Outputs" xfId="9" xr:uid="{00000000-0005-0000-0000-00000E000000}"/>
    <cellStyle name="Key Outputs 2" xfId="20" xr:uid="{00000000-0005-0000-0000-00000F000000}"/>
    <cellStyle name="Links from other files (green) style" xfId="8" xr:uid="{00000000-0005-0000-0000-000010000000}"/>
    <cellStyle name="Local import" xfId="22" xr:uid="{00000000-0005-0000-0000-000011000000}"/>
    <cellStyle name="Normal" xfId="0" builtinId="0"/>
    <cellStyle name="Percent" xfId="14" builtinId="5"/>
    <cellStyle name="Percent 2" xfId="21" xr:uid="{00000000-0005-0000-0000-000014000000}"/>
    <cellStyle name="QA" xfId="2" xr:uid="{00000000-0005-0000-0000-000015000000}"/>
    <cellStyle name="Title" xfId="15" builtinId="15" customBuiltin="1"/>
  </cellStyles>
  <dxfs count="37">
    <dxf>
      <font>
        <b val="0"/>
        <i val="0"/>
        <color theme="0" tint="-0.14996795556505021"/>
      </font>
      <fill>
        <patternFill>
          <bgColor theme="0"/>
        </patternFill>
      </fill>
    </dxf>
    <dxf>
      <font>
        <b val="0"/>
        <i val="0"/>
        <color theme="0" tint="-0.14996795556505021"/>
      </font>
      <fill>
        <patternFill>
          <bgColor theme="0"/>
        </patternFill>
      </fill>
    </dxf>
    <dxf>
      <font>
        <b val="0"/>
        <i val="0"/>
        <color theme="0" tint="-0.14996795556505021"/>
      </font>
      <fill>
        <patternFill>
          <bgColor theme="0"/>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ont>
        <b val="0"/>
        <i val="0"/>
        <color theme="0" tint="-0.14996795556505021"/>
      </font>
      <fill>
        <patternFill>
          <bgColor theme="0"/>
        </patternFill>
      </fill>
    </dxf>
    <dxf>
      <font>
        <color theme="0" tint="-0.24994659260841701"/>
      </font>
    </dxf>
    <dxf>
      <fill>
        <patternFill>
          <bgColor theme="1" tint="4.9989318521683403E-2"/>
        </patternFill>
      </fill>
    </dxf>
    <dxf>
      <fill>
        <patternFill>
          <bgColor theme="1" tint="4.9989318521683403E-2"/>
        </patternFill>
      </fill>
    </dxf>
    <dxf>
      <fill>
        <patternFill>
          <bgColor theme="1" tint="4.9989318521683403E-2"/>
        </patternFill>
      </fill>
    </dxf>
    <dxf>
      <font>
        <b val="0"/>
        <i val="0"/>
        <color theme="0" tint="-0.14996795556505021"/>
      </font>
      <fill>
        <patternFill>
          <bgColor theme="0"/>
        </patternFill>
      </fill>
    </dxf>
    <dxf>
      <font>
        <b/>
        <i val="0"/>
        <strike val="0"/>
        <color theme="0" tint="-0.24994659260841701"/>
      </font>
      <fill>
        <patternFill>
          <bgColor theme="0"/>
        </patternFill>
      </fill>
    </dxf>
    <dxf>
      <font>
        <color theme="0" tint="-0.34998626667073579"/>
      </font>
    </dxf>
    <dxf>
      <font>
        <b val="0"/>
        <i val="0"/>
        <color theme="0" tint="-0.14996795556505021"/>
      </font>
      <fill>
        <patternFill>
          <bgColor theme="0"/>
        </patternFill>
      </fill>
    </dxf>
    <dxf>
      <font>
        <b val="0"/>
        <i val="0"/>
        <color theme="0" tint="-0.34998626667073579"/>
      </font>
    </dxf>
    <dxf>
      <font>
        <b val="0"/>
        <i val="0"/>
        <color theme="0" tint="-0.14996795556505021"/>
      </font>
      <fill>
        <patternFill>
          <bgColor theme="0"/>
        </patternFill>
      </fill>
    </dxf>
    <dxf>
      <font>
        <b val="0"/>
        <i val="0"/>
        <color theme="0" tint="-0.14996795556505021"/>
      </font>
      <fill>
        <patternFill>
          <bgColor theme="0"/>
        </patternFill>
      </fill>
    </dxf>
    <dxf>
      <font>
        <strike val="0"/>
        <color theme="0" tint="-0.499984740745262"/>
      </font>
      <fill>
        <patternFill>
          <bgColor theme="1"/>
        </patternFill>
      </fill>
    </dxf>
    <dxf>
      <font>
        <color theme="0" tint="-0.499984740745262"/>
      </font>
      <fill>
        <patternFill>
          <bgColor theme="1"/>
        </patternFill>
      </fill>
    </dxf>
    <dxf>
      <font>
        <color theme="0" tint="-0.34998626667073579"/>
      </font>
    </dxf>
    <dxf>
      <font>
        <color theme="0" tint="-0.34998626667073579"/>
      </font>
    </dxf>
    <dxf>
      <font>
        <strike val="0"/>
        <color theme="0" tint="-0.34998626667073579"/>
      </font>
    </dxf>
    <dxf>
      <fill>
        <patternFill>
          <bgColor theme="1"/>
        </patternFill>
      </fill>
    </dxf>
    <dxf>
      <font>
        <strike val="0"/>
        <color theme="0" tint="-0.34998626667073579"/>
      </font>
    </dxf>
    <dxf>
      <font>
        <strike val="0"/>
        <color theme="0" tint="-0.34998626667073579"/>
      </font>
    </dxf>
    <dxf>
      <fill>
        <patternFill>
          <bgColor theme="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b val="0"/>
        <i val="0"/>
        <color theme="0" tint="-0.34998626667073579"/>
      </font>
    </dxf>
    <dxf>
      <font>
        <color theme="0" tint="-0.34998626667073579"/>
      </font>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1C52"/>
      <rgbColor rgb="00B6C400"/>
      <rgbColor rgb="00DC0000"/>
      <rgbColor rgb="002C90CE"/>
      <rgbColor rgb="00EED084"/>
      <rgbColor rgb="006CB07E"/>
      <rgbColor rgb="00800000"/>
      <rgbColor rgb="00CCCCFF"/>
      <rgbColor rgb="00001C52"/>
      <rgbColor rgb="00B6C400"/>
      <rgbColor rgb="00DC0000"/>
      <rgbColor rgb="00001C52"/>
      <rgbColor rgb="00B6C400"/>
      <rgbColor rgb="00DC0000"/>
      <rgbColor rgb="00001C52"/>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626605962807025E-2"/>
          <c:y val="6.7092991919528347E-2"/>
          <c:w val="0.90120640979105648"/>
          <c:h val="0.79233628552585855"/>
        </c:manualLayout>
      </c:layout>
      <c:lineChart>
        <c:grouping val="standard"/>
        <c:varyColors val="0"/>
        <c:ser>
          <c:idx val="0"/>
          <c:order val="0"/>
          <c:tx>
            <c:strRef>
              <c:f>Examples!$L$33</c:f>
              <c:strCache>
                <c:ptCount val="1"/>
                <c:pt idx="0">
                  <c:v>Blue</c:v>
                </c:pt>
              </c:strCache>
            </c:strRef>
          </c:tx>
          <c:spPr>
            <a:ln w="25400">
              <a:solidFill>
                <a:srgbClr val="007BC4"/>
              </a:solidFill>
              <a:prstDash val="solid"/>
            </a:ln>
          </c:spPr>
          <c:marker>
            <c:symbol val="none"/>
          </c:marker>
          <c:cat>
            <c:strRef>
              <c:f>Examples!$K$34:$K$41</c:f>
              <c:strCache>
                <c:ptCount val="8"/>
                <c:pt idx="0">
                  <c:v>1975-76</c:v>
                </c:pt>
                <c:pt idx="1">
                  <c:v>1983-84</c:v>
                </c:pt>
                <c:pt idx="2">
                  <c:v>1988-89</c:v>
                </c:pt>
                <c:pt idx="3">
                  <c:v>1993-94</c:v>
                </c:pt>
                <c:pt idx="4">
                  <c:v>1996-97</c:v>
                </c:pt>
                <c:pt idx="5">
                  <c:v>1997-98</c:v>
                </c:pt>
                <c:pt idx="6">
                  <c:v>1998-99</c:v>
                </c:pt>
                <c:pt idx="7">
                  <c:v>1999-00</c:v>
                </c:pt>
              </c:strCache>
            </c:strRef>
          </c:cat>
          <c:val>
            <c:numRef>
              <c:f>Examples!$L$34:$L$41</c:f>
              <c:numCache>
                <c:formatCode>General</c:formatCode>
                <c:ptCount val="8"/>
                <c:pt idx="0">
                  <c:v>33.19</c:v>
                </c:pt>
                <c:pt idx="1">
                  <c:v>39.39</c:v>
                </c:pt>
                <c:pt idx="2">
                  <c:v>42.78</c:v>
                </c:pt>
                <c:pt idx="3">
                  <c:v>42.13</c:v>
                </c:pt>
                <c:pt idx="4">
                  <c:v>41.69</c:v>
                </c:pt>
                <c:pt idx="5">
                  <c:v>39.39</c:v>
                </c:pt>
                <c:pt idx="6">
                  <c:v>42.13</c:v>
                </c:pt>
                <c:pt idx="7">
                  <c:v>45</c:v>
                </c:pt>
              </c:numCache>
            </c:numRef>
          </c:val>
          <c:smooth val="0"/>
          <c:extLst>
            <c:ext xmlns:c16="http://schemas.microsoft.com/office/drawing/2014/chart" uri="{C3380CC4-5D6E-409C-BE32-E72D297353CC}">
              <c16:uniqueId val="{00000000-F212-44CC-BBAA-A5760292BBE4}"/>
            </c:ext>
          </c:extLst>
        </c:ser>
        <c:ser>
          <c:idx val="1"/>
          <c:order val="1"/>
          <c:tx>
            <c:strRef>
              <c:f>Examples!$M$33</c:f>
              <c:strCache>
                <c:ptCount val="1"/>
                <c:pt idx="0">
                  <c:v>Mid Grey</c:v>
                </c:pt>
              </c:strCache>
            </c:strRef>
          </c:tx>
          <c:spPr>
            <a:ln w="25400">
              <a:solidFill>
                <a:srgbClr val="A0A09A"/>
              </a:solidFill>
              <a:prstDash val="solid"/>
            </a:ln>
          </c:spPr>
          <c:marker>
            <c:symbol val="none"/>
          </c:marker>
          <c:cat>
            <c:strRef>
              <c:f>Examples!$K$34:$K$41</c:f>
              <c:strCache>
                <c:ptCount val="8"/>
                <c:pt idx="0">
                  <c:v>1975-76</c:v>
                </c:pt>
                <c:pt idx="1">
                  <c:v>1983-84</c:v>
                </c:pt>
                <c:pt idx="2">
                  <c:v>1988-89</c:v>
                </c:pt>
                <c:pt idx="3">
                  <c:v>1993-94</c:v>
                </c:pt>
                <c:pt idx="4">
                  <c:v>1996-97</c:v>
                </c:pt>
                <c:pt idx="5">
                  <c:v>1997-98</c:v>
                </c:pt>
                <c:pt idx="6">
                  <c:v>1998-99</c:v>
                </c:pt>
                <c:pt idx="7">
                  <c:v>1999-00</c:v>
                </c:pt>
              </c:strCache>
            </c:strRef>
          </c:cat>
          <c:val>
            <c:numRef>
              <c:f>Examples!$M$34:$M$41</c:f>
              <c:numCache>
                <c:formatCode>General</c:formatCode>
                <c:ptCount val="8"/>
                <c:pt idx="0">
                  <c:v>36.880000000000003</c:v>
                </c:pt>
                <c:pt idx="1">
                  <c:v>32.020000000000003</c:v>
                </c:pt>
                <c:pt idx="2">
                  <c:v>29.91</c:v>
                </c:pt>
                <c:pt idx="3">
                  <c:v>26.53</c:v>
                </c:pt>
                <c:pt idx="4">
                  <c:v>24.76</c:v>
                </c:pt>
                <c:pt idx="5">
                  <c:v>32.020000000000003</c:v>
                </c:pt>
                <c:pt idx="6">
                  <c:v>26.53</c:v>
                </c:pt>
                <c:pt idx="7">
                  <c:v>22</c:v>
                </c:pt>
              </c:numCache>
            </c:numRef>
          </c:val>
          <c:smooth val="0"/>
          <c:extLst>
            <c:ext xmlns:c16="http://schemas.microsoft.com/office/drawing/2014/chart" uri="{C3380CC4-5D6E-409C-BE32-E72D297353CC}">
              <c16:uniqueId val="{00000001-F212-44CC-BBAA-A5760292BBE4}"/>
            </c:ext>
          </c:extLst>
        </c:ser>
        <c:ser>
          <c:idx val="2"/>
          <c:order val="2"/>
          <c:tx>
            <c:strRef>
              <c:f>Examples!$N$33</c:f>
              <c:strCache>
                <c:ptCount val="1"/>
                <c:pt idx="0">
                  <c:v>Pale Blue</c:v>
                </c:pt>
              </c:strCache>
            </c:strRef>
          </c:tx>
          <c:spPr>
            <a:ln w="25400">
              <a:solidFill>
                <a:srgbClr val="CBD4D9"/>
              </a:solidFill>
              <a:prstDash val="solid"/>
            </a:ln>
          </c:spPr>
          <c:marker>
            <c:symbol val="none"/>
          </c:marker>
          <c:cat>
            <c:strRef>
              <c:f>Examples!$K$34:$K$41</c:f>
              <c:strCache>
                <c:ptCount val="8"/>
                <c:pt idx="0">
                  <c:v>1975-76</c:v>
                </c:pt>
                <c:pt idx="1">
                  <c:v>1983-84</c:v>
                </c:pt>
                <c:pt idx="2">
                  <c:v>1988-89</c:v>
                </c:pt>
                <c:pt idx="3">
                  <c:v>1993-94</c:v>
                </c:pt>
                <c:pt idx="4">
                  <c:v>1996-97</c:v>
                </c:pt>
                <c:pt idx="5">
                  <c:v>1997-98</c:v>
                </c:pt>
                <c:pt idx="6">
                  <c:v>1998-99</c:v>
                </c:pt>
                <c:pt idx="7">
                  <c:v>1999-00</c:v>
                </c:pt>
              </c:strCache>
            </c:strRef>
          </c:cat>
          <c:val>
            <c:numRef>
              <c:f>Examples!$N$34:$N$41</c:f>
              <c:numCache>
                <c:formatCode>General</c:formatCode>
                <c:ptCount val="8"/>
                <c:pt idx="0">
                  <c:v>21.56</c:v>
                </c:pt>
                <c:pt idx="1">
                  <c:v>21.6</c:v>
                </c:pt>
                <c:pt idx="2">
                  <c:v>18.350000000000001</c:v>
                </c:pt>
                <c:pt idx="3">
                  <c:v>21.6</c:v>
                </c:pt>
                <c:pt idx="4">
                  <c:v>23.98</c:v>
                </c:pt>
                <c:pt idx="5">
                  <c:v>21.6</c:v>
                </c:pt>
                <c:pt idx="6">
                  <c:v>21.6</c:v>
                </c:pt>
                <c:pt idx="7">
                  <c:v>26</c:v>
                </c:pt>
              </c:numCache>
            </c:numRef>
          </c:val>
          <c:smooth val="0"/>
          <c:extLst>
            <c:ext xmlns:c16="http://schemas.microsoft.com/office/drawing/2014/chart" uri="{C3380CC4-5D6E-409C-BE32-E72D297353CC}">
              <c16:uniqueId val="{00000002-F212-44CC-BBAA-A5760292BBE4}"/>
            </c:ext>
          </c:extLst>
        </c:ser>
        <c:ser>
          <c:idx val="3"/>
          <c:order val="3"/>
          <c:tx>
            <c:strRef>
              <c:f>Examples!$O$33</c:f>
              <c:strCache>
                <c:ptCount val="1"/>
                <c:pt idx="0">
                  <c:v>Green</c:v>
                </c:pt>
              </c:strCache>
            </c:strRef>
          </c:tx>
          <c:spPr>
            <a:ln w="25400">
              <a:solidFill>
                <a:srgbClr val="46B849"/>
              </a:solidFill>
              <a:prstDash val="lgDash"/>
            </a:ln>
          </c:spPr>
          <c:marker>
            <c:symbol val="none"/>
          </c:marker>
          <c:cat>
            <c:strRef>
              <c:f>Examples!$K$34:$K$41</c:f>
              <c:strCache>
                <c:ptCount val="8"/>
                <c:pt idx="0">
                  <c:v>1975-76</c:v>
                </c:pt>
                <c:pt idx="1">
                  <c:v>1983-84</c:v>
                </c:pt>
                <c:pt idx="2">
                  <c:v>1988-89</c:v>
                </c:pt>
                <c:pt idx="3">
                  <c:v>1993-94</c:v>
                </c:pt>
                <c:pt idx="4">
                  <c:v>1996-97</c:v>
                </c:pt>
                <c:pt idx="5">
                  <c:v>1997-98</c:v>
                </c:pt>
                <c:pt idx="6">
                  <c:v>1998-99</c:v>
                </c:pt>
                <c:pt idx="7">
                  <c:v>1999-00</c:v>
                </c:pt>
              </c:strCache>
            </c:strRef>
          </c:cat>
          <c:val>
            <c:numRef>
              <c:f>Examples!$O$34:$O$41</c:f>
              <c:numCache>
                <c:formatCode>General</c:formatCode>
                <c:ptCount val="8"/>
                <c:pt idx="0">
                  <c:v>5.36</c:v>
                </c:pt>
                <c:pt idx="1">
                  <c:v>7.01</c:v>
                </c:pt>
                <c:pt idx="2">
                  <c:v>6.33</c:v>
                </c:pt>
                <c:pt idx="3">
                  <c:v>7.01</c:v>
                </c:pt>
                <c:pt idx="4">
                  <c:v>7</c:v>
                </c:pt>
                <c:pt idx="5">
                  <c:v>7.01</c:v>
                </c:pt>
                <c:pt idx="6">
                  <c:v>7.01</c:v>
                </c:pt>
                <c:pt idx="7">
                  <c:v>8</c:v>
                </c:pt>
              </c:numCache>
            </c:numRef>
          </c:val>
          <c:smooth val="0"/>
          <c:extLst>
            <c:ext xmlns:c16="http://schemas.microsoft.com/office/drawing/2014/chart" uri="{C3380CC4-5D6E-409C-BE32-E72D297353CC}">
              <c16:uniqueId val="{00000003-F212-44CC-BBAA-A5760292BBE4}"/>
            </c:ext>
          </c:extLst>
        </c:ser>
        <c:ser>
          <c:idx val="4"/>
          <c:order val="4"/>
          <c:tx>
            <c:strRef>
              <c:f>Examples!$P$33</c:f>
              <c:strCache>
                <c:ptCount val="1"/>
                <c:pt idx="0">
                  <c:v>Charcoal</c:v>
                </c:pt>
              </c:strCache>
            </c:strRef>
          </c:tx>
          <c:spPr>
            <a:ln w="25400">
              <a:solidFill>
                <a:srgbClr val="212122"/>
              </a:solidFill>
              <a:prstDash val="lgDash"/>
            </a:ln>
          </c:spPr>
          <c:marker>
            <c:symbol val="none"/>
          </c:marker>
          <c:cat>
            <c:strRef>
              <c:f>Examples!$K$34:$K$41</c:f>
              <c:strCache>
                <c:ptCount val="8"/>
                <c:pt idx="0">
                  <c:v>1975-76</c:v>
                </c:pt>
                <c:pt idx="1">
                  <c:v>1983-84</c:v>
                </c:pt>
                <c:pt idx="2">
                  <c:v>1988-89</c:v>
                </c:pt>
                <c:pt idx="3">
                  <c:v>1993-94</c:v>
                </c:pt>
                <c:pt idx="4">
                  <c:v>1996-97</c:v>
                </c:pt>
                <c:pt idx="5">
                  <c:v>1997-98</c:v>
                </c:pt>
                <c:pt idx="6">
                  <c:v>1998-99</c:v>
                </c:pt>
                <c:pt idx="7">
                  <c:v>1999-00</c:v>
                </c:pt>
              </c:strCache>
            </c:strRef>
          </c:cat>
          <c:val>
            <c:numRef>
              <c:f>Examples!$P$34:$P$41</c:f>
              <c:numCache>
                <c:formatCode>General</c:formatCode>
                <c:ptCount val="8"/>
                <c:pt idx="0">
                  <c:v>3.01</c:v>
                </c:pt>
                <c:pt idx="1">
                  <c:v>3.36</c:v>
                </c:pt>
                <c:pt idx="2">
                  <c:v>2.63</c:v>
                </c:pt>
                <c:pt idx="3">
                  <c:v>2.72</c:v>
                </c:pt>
                <c:pt idx="4">
                  <c:v>2.57</c:v>
                </c:pt>
                <c:pt idx="5">
                  <c:v>3.36</c:v>
                </c:pt>
                <c:pt idx="6">
                  <c:v>2.72</c:v>
                </c:pt>
                <c:pt idx="7">
                  <c:v>2</c:v>
                </c:pt>
              </c:numCache>
            </c:numRef>
          </c:val>
          <c:smooth val="0"/>
          <c:extLst>
            <c:ext xmlns:c16="http://schemas.microsoft.com/office/drawing/2014/chart" uri="{C3380CC4-5D6E-409C-BE32-E72D297353CC}">
              <c16:uniqueId val="{00000004-F212-44CC-BBAA-A5760292BBE4}"/>
            </c:ext>
          </c:extLst>
        </c:ser>
        <c:ser>
          <c:idx val="5"/>
          <c:order val="5"/>
          <c:tx>
            <c:strRef>
              <c:f>Examples!$Q$33</c:f>
              <c:strCache>
                <c:ptCount val="1"/>
                <c:pt idx="0">
                  <c:v>Orange</c:v>
                </c:pt>
              </c:strCache>
            </c:strRef>
          </c:tx>
          <c:spPr>
            <a:ln w="25400">
              <a:solidFill>
                <a:srgbClr val="F68B1F"/>
              </a:solidFill>
              <a:prstDash val="lgDash"/>
            </a:ln>
          </c:spPr>
          <c:marker>
            <c:symbol val="none"/>
          </c:marker>
          <c:cat>
            <c:strRef>
              <c:f>Examples!$K$34:$K$41</c:f>
              <c:strCache>
                <c:ptCount val="8"/>
                <c:pt idx="0">
                  <c:v>1975-76</c:v>
                </c:pt>
                <c:pt idx="1">
                  <c:v>1983-84</c:v>
                </c:pt>
                <c:pt idx="2">
                  <c:v>1988-89</c:v>
                </c:pt>
                <c:pt idx="3">
                  <c:v>1993-94</c:v>
                </c:pt>
                <c:pt idx="4">
                  <c:v>1996-97</c:v>
                </c:pt>
                <c:pt idx="5">
                  <c:v>1997-98</c:v>
                </c:pt>
                <c:pt idx="6">
                  <c:v>1998-99</c:v>
                </c:pt>
                <c:pt idx="7">
                  <c:v>1999-00</c:v>
                </c:pt>
              </c:strCache>
            </c:strRef>
          </c:cat>
          <c:val>
            <c:numRef>
              <c:f>Examples!$Q$34:$Q$41</c:f>
              <c:numCache>
                <c:formatCode>General</c:formatCode>
                <c:ptCount val="8"/>
                <c:pt idx="0">
                  <c:v>10</c:v>
                </c:pt>
                <c:pt idx="1">
                  <c:v>12</c:v>
                </c:pt>
                <c:pt idx="2">
                  <c:v>14</c:v>
                </c:pt>
                <c:pt idx="3">
                  <c:v>16</c:v>
                </c:pt>
                <c:pt idx="4">
                  <c:v>18</c:v>
                </c:pt>
                <c:pt idx="5">
                  <c:v>12</c:v>
                </c:pt>
                <c:pt idx="6">
                  <c:v>16</c:v>
                </c:pt>
                <c:pt idx="7">
                  <c:v>20</c:v>
                </c:pt>
              </c:numCache>
            </c:numRef>
          </c:val>
          <c:smooth val="0"/>
          <c:extLst>
            <c:ext xmlns:c16="http://schemas.microsoft.com/office/drawing/2014/chart" uri="{C3380CC4-5D6E-409C-BE32-E72D297353CC}">
              <c16:uniqueId val="{00000005-F212-44CC-BBAA-A5760292BBE4}"/>
            </c:ext>
          </c:extLst>
        </c:ser>
        <c:dLbls>
          <c:showLegendKey val="0"/>
          <c:showVal val="0"/>
          <c:showCatName val="0"/>
          <c:showSerName val="0"/>
          <c:showPercent val="0"/>
          <c:showBubbleSize val="0"/>
        </c:dLbls>
        <c:smooth val="0"/>
        <c:axId val="684298200"/>
        <c:axId val="684300160"/>
      </c:lineChart>
      <c:catAx>
        <c:axId val="684298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684300160"/>
        <c:crosses val="autoZero"/>
        <c:auto val="1"/>
        <c:lblAlgn val="ctr"/>
        <c:lblOffset val="100"/>
        <c:tickLblSkip val="1"/>
        <c:tickMarkSkip val="1"/>
        <c:noMultiLvlLbl val="0"/>
      </c:catAx>
      <c:valAx>
        <c:axId val="6843001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a:pPr>
            <a:endParaRPr lang="en-US"/>
          </a:p>
        </c:txPr>
        <c:crossAx val="684298200"/>
        <c:crosses val="autoZero"/>
        <c:crossBetween val="midCat"/>
      </c:valAx>
      <c:spPr>
        <a:solidFill>
          <a:srgbClr val="FFFFFF"/>
        </a:solidFill>
        <a:ln w="25400">
          <a:noFill/>
        </a:ln>
      </c:spPr>
    </c:plotArea>
    <c:legend>
      <c:legendPos val="r"/>
      <c:layout>
        <c:manualLayout>
          <c:xMode val="edge"/>
          <c:yMode val="edge"/>
          <c:x val="0.18674731753691681"/>
          <c:y val="7.0287896296648736E-2"/>
          <c:w val="0.66506141471211655"/>
          <c:h val="0.1150165575763342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pitchFamily="34" charset="0"/>
          <a:ea typeface="Myriad Pro"/>
          <a:cs typeface="Arial" pitchFamily="34" charset="0"/>
        </a:defRPr>
      </a:pPr>
      <a:endParaRPr lang="en-US"/>
    </a:p>
  </c:txPr>
  <c:printSettings>
    <c:headerFooter alignWithMargins="0">
      <c:oddHeader>&amp;A</c:oddHeader>
      <c:oddFooter>Page &amp;P</c:oddFooter>
    </c:headerFooter>
    <c:pageMargins b="0.98425196850393704" l="0.74803149606299213" r="0.74803149606299213" t="0.98425196850393704" header="0.51181102362204722" footer="0.51181102362204722"/>
    <c:pageSetup paperSize="9" orientation="landscape" horizontalDpi="-3"/>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626605962807025E-2"/>
          <c:y val="6.7307981985161358E-2"/>
          <c:w val="0.92771248066726397"/>
          <c:h val="0.79167007382546917"/>
        </c:manualLayout>
      </c:layout>
      <c:scatterChart>
        <c:scatterStyle val="lineMarker"/>
        <c:varyColors val="0"/>
        <c:ser>
          <c:idx val="0"/>
          <c:order val="0"/>
          <c:tx>
            <c:strRef>
              <c:f>Examples!$T$33</c:f>
              <c:strCache>
                <c:ptCount val="1"/>
                <c:pt idx="0">
                  <c:v>1st Y value</c:v>
                </c:pt>
              </c:strCache>
            </c:strRef>
          </c:tx>
          <c:spPr>
            <a:ln w="25400">
              <a:solidFill>
                <a:srgbClr val="007BC4"/>
              </a:solidFill>
              <a:prstDash val="solid"/>
            </a:ln>
          </c:spPr>
          <c:marker>
            <c:symbol val="diamond"/>
            <c:size val="7"/>
            <c:spPr>
              <a:solidFill>
                <a:srgbClr val="007BC4"/>
              </a:solidFill>
              <a:ln>
                <a:solidFill>
                  <a:srgbClr val="007BC4"/>
                </a:solidFill>
                <a:prstDash val="solid"/>
              </a:ln>
            </c:spPr>
          </c:marker>
          <c:xVal>
            <c:numRef>
              <c:f>Examples!$S$34:$S$38</c:f>
              <c:numCache>
                <c:formatCode>General</c:formatCode>
                <c:ptCount val="5"/>
                <c:pt idx="0">
                  <c:v>1.8</c:v>
                </c:pt>
                <c:pt idx="1">
                  <c:v>2.2999999999999998</c:v>
                </c:pt>
                <c:pt idx="2">
                  <c:v>3.7</c:v>
                </c:pt>
                <c:pt idx="3">
                  <c:v>4.0999999999999996</c:v>
                </c:pt>
                <c:pt idx="4">
                  <c:v>5.5</c:v>
                </c:pt>
              </c:numCache>
            </c:numRef>
          </c:xVal>
          <c:yVal>
            <c:numRef>
              <c:f>Examples!$T$34:$T$38</c:f>
              <c:numCache>
                <c:formatCode>General</c:formatCode>
                <c:ptCount val="5"/>
                <c:pt idx="0">
                  <c:v>10</c:v>
                </c:pt>
                <c:pt idx="1">
                  <c:v>12</c:v>
                </c:pt>
                <c:pt idx="2">
                  <c:v>16</c:v>
                </c:pt>
                <c:pt idx="3">
                  <c:v>8</c:v>
                </c:pt>
                <c:pt idx="4">
                  <c:v>14</c:v>
                </c:pt>
              </c:numCache>
            </c:numRef>
          </c:yVal>
          <c:smooth val="0"/>
          <c:extLst>
            <c:ext xmlns:c16="http://schemas.microsoft.com/office/drawing/2014/chart" uri="{C3380CC4-5D6E-409C-BE32-E72D297353CC}">
              <c16:uniqueId val="{00000000-7124-4585-A55E-28888C0560F7}"/>
            </c:ext>
          </c:extLst>
        </c:ser>
        <c:ser>
          <c:idx val="1"/>
          <c:order val="1"/>
          <c:tx>
            <c:strRef>
              <c:f>Examples!$U$33</c:f>
              <c:strCache>
                <c:ptCount val="1"/>
                <c:pt idx="0">
                  <c:v>2nd Y value</c:v>
                </c:pt>
              </c:strCache>
            </c:strRef>
          </c:tx>
          <c:spPr>
            <a:ln w="25400">
              <a:solidFill>
                <a:srgbClr val="A0A09A"/>
              </a:solidFill>
              <a:prstDash val="solid"/>
            </a:ln>
          </c:spPr>
          <c:marker>
            <c:symbol val="square"/>
            <c:size val="5"/>
            <c:spPr>
              <a:solidFill>
                <a:srgbClr val="A0A09A"/>
              </a:solidFill>
              <a:ln>
                <a:solidFill>
                  <a:srgbClr val="A0A09A"/>
                </a:solidFill>
                <a:prstDash val="solid"/>
              </a:ln>
            </c:spPr>
          </c:marker>
          <c:xVal>
            <c:numRef>
              <c:f>Examples!$S$34:$S$38</c:f>
              <c:numCache>
                <c:formatCode>General</c:formatCode>
                <c:ptCount val="5"/>
                <c:pt idx="0">
                  <c:v>1.8</c:v>
                </c:pt>
                <c:pt idx="1">
                  <c:v>2.2999999999999998</c:v>
                </c:pt>
                <c:pt idx="2">
                  <c:v>3.7</c:v>
                </c:pt>
                <c:pt idx="3">
                  <c:v>4.0999999999999996</c:v>
                </c:pt>
                <c:pt idx="4">
                  <c:v>5.5</c:v>
                </c:pt>
              </c:numCache>
            </c:numRef>
          </c:xVal>
          <c:yVal>
            <c:numRef>
              <c:f>Examples!$U$34:$U$38</c:f>
              <c:numCache>
                <c:formatCode>General</c:formatCode>
                <c:ptCount val="5"/>
                <c:pt idx="0">
                  <c:v>17</c:v>
                </c:pt>
                <c:pt idx="1">
                  <c:v>9</c:v>
                </c:pt>
                <c:pt idx="2">
                  <c:v>14</c:v>
                </c:pt>
                <c:pt idx="3">
                  <c:v>23</c:v>
                </c:pt>
                <c:pt idx="4">
                  <c:v>27</c:v>
                </c:pt>
              </c:numCache>
            </c:numRef>
          </c:yVal>
          <c:smooth val="0"/>
          <c:extLst>
            <c:ext xmlns:c16="http://schemas.microsoft.com/office/drawing/2014/chart" uri="{C3380CC4-5D6E-409C-BE32-E72D297353CC}">
              <c16:uniqueId val="{00000001-7124-4585-A55E-28888C0560F7}"/>
            </c:ext>
          </c:extLst>
        </c:ser>
        <c:dLbls>
          <c:showLegendKey val="0"/>
          <c:showVal val="0"/>
          <c:showCatName val="0"/>
          <c:showSerName val="0"/>
          <c:showPercent val="0"/>
          <c:showBubbleSize val="0"/>
        </c:dLbls>
        <c:axId val="682321792"/>
        <c:axId val="682322576"/>
      </c:scatterChart>
      <c:valAx>
        <c:axId val="682321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682322576"/>
        <c:crosses val="autoZero"/>
        <c:crossBetween val="midCat"/>
      </c:valAx>
      <c:valAx>
        <c:axId val="6823225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a:pPr>
            <a:endParaRPr lang="en-US"/>
          </a:p>
        </c:txPr>
        <c:crossAx val="682321792"/>
        <c:crosses val="autoZero"/>
        <c:crossBetween val="midCat"/>
      </c:valAx>
      <c:spPr>
        <a:solidFill>
          <a:srgbClr val="FFFFFF"/>
        </a:solidFill>
        <a:ln w="25400">
          <a:noFill/>
        </a:ln>
      </c:spPr>
    </c:plotArea>
    <c:legend>
      <c:legendPos val="r"/>
      <c:layout>
        <c:manualLayout>
          <c:xMode val="edge"/>
          <c:yMode val="edge"/>
          <c:x val="0.18192803192306087"/>
          <c:y val="8.9743975980215135E-2"/>
          <c:w val="0.36385606384612174"/>
          <c:h val="7.6923407983041536E-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pitchFamily="34" charset="0"/>
          <a:ea typeface="Myriad Pro"/>
          <a:cs typeface="Arial" pitchFamily="34" charset="0"/>
        </a:defRPr>
      </a:pPr>
      <a:endParaRPr lang="en-US"/>
    </a:p>
  </c:txPr>
  <c:printSettings>
    <c:headerFooter alignWithMargins="0"/>
    <c:pageMargins b="1" l="0.75" r="0.75" t="1" header="0.5" footer="0.5"/>
    <c:pageSetup paperSize="9" orientation="landscape" horizontalDpi="-3"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590427788076153"/>
          <c:y val="0.23397536594841806"/>
          <c:w val="0.24819320911357973"/>
          <c:h val="0.6602592518544399"/>
        </c:manualLayout>
      </c:layout>
      <c:pieChart>
        <c:varyColors val="1"/>
        <c:ser>
          <c:idx val="0"/>
          <c:order val="0"/>
          <c:tx>
            <c:strRef>
              <c:f>Examples!$A$34</c:f>
              <c:strCache>
                <c:ptCount val="1"/>
                <c:pt idx="0">
                  <c:v>1975-76</c:v>
                </c:pt>
              </c:strCache>
            </c:strRef>
          </c:tx>
          <c:spPr>
            <a:solidFill>
              <a:srgbClr val="001C52"/>
            </a:solidFill>
            <a:ln w="25400">
              <a:noFill/>
            </a:ln>
          </c:spPr>
          <c:dPt>
            <c:idx val="0"/>
            <c:bubble3D val="0"/>
            <c:spPr>
              <a:solidFill>
                <a:srgbClr val="007BC4"/>
              </a:solidFill>
              <a:ln w="25400">
                <a:noFill/>
              </a:ln>
            </c:spPr>
            <c:extLst>
              <c:ext xmlns:c16="http://schemas.microsoft.com/office/drawing/2014/chart" uri="{C3380CC4-5D6E-409C-BE32-E72D297353CC}">
                <c16:uniqueId val="{00000000-BA54-4132-A6DC-F02D20A57B5D}"/>
              </c:ext>
            </c:extLst>
          </c:dPt>
          <c:dPt>
            <c:idx val="1"/>
            <c:bubble3D val="0"/>
            <c:spPr>
              <a:solidFill>
                <a:srgbClr val="A0A09A"/>
              </a:solidFill>
              <a:ln w="25400">
                <a:noFill/>
              </a:ln>
            </c:spPr>
            <c:extLst>
              <c:ext xmlns:c16="http://schemas.microsoft.com/office/drawing/2014/chart" uri="{C3380CC4-5D6E-409C-BE32-E72D297353CC}">
                <c16:uniqueId val="{00000002-BA54-4132-A6DC-F02D20A57B5D}"/>
              </c:ext>
            </c:extLst>
          </c:dPt>
          <c:dPt>
            <c:idx val="2"/>
            <c:bubble3D val="0"/>
            <c:spPr>
              <a:solidFill>
                <a:srgbClr val="CBD4D9"/>
              </a:solidFill>
              <a:ln w="25400">
                <a:noFill/>
              </a:ln>
            </c:spPr>
            <c:extLst>
              <c:ext xmlns:c16="http://schemas.microsoft.com/office/drawing/2014/chart" uri="{C3380CC4-5D6E-409C-BE32-E72D297353CC}">
                <c16:uniqueId val="{00000004-BA54-4132-A6DC-F02D20A57B5D}"/>
              </c:ext>
            </c:extLst>
          </c:dPt>
          <c:dPt>
            <c:idx val="3"/>
            <c:bubble3D val="0"/>
            <c:spPr>
              <a:solidFill>
                <a:srgbClr val="46B849"/>
              </a:solidFill>
              <a:ln w="25400">
                <a:noFill/>
              </a:ln>
            </c:spPr>
            <c:extLst>
              <c:ext xmlns:c16="http://schemas.microsoft.com/office/drawing/2014/chart" uri="{C3380CC4-5D6E-409C-BE32-E72D297353CC}">
                <c16:uniqueId val="{00000006-BA54-4132-A6DC-F02D20A57B5D}"/>
              </c:ext>
            </c:extLst>
          </c:dPt>
          <c:dPt>
            <c:idx val="4"/>
            <c:bubble3D val="0"/>
            <c:spPr>
              <a:solidFill>
                <a:srgbClr val="212122"/>
              </a:solidFill>
              <a:ln w="25400">
                <a:noFill/>
              </a:ln>
            </c:spPr>
            <c:extLst>
              <c:ext xmlns:c16="http://schemas.microsoft.com/office/drawing/2014/chart" uri="{C3380CC4-5D6E-409C-BE32-E72D297353CC}">
                <c16:uniqueId val="{00000008-BA54-4132-A6DC-F02D20A57B5D}"/>
              </c:ext>
            </c:extLst>
          </c:dPt>
          <c:dPt>
            <c:idx val="5"/>
            <c:bubble3D val="0"/>
            <c:spPr>
              <a:solidFill>
                <a:srgbClr val="F68B1F"/>
              </a:solidFill>
              <a:ln w="25400">
                <a:noFill/>
              </a:ln>
            </c:spPr>
            <c:extLst>
              <c:ext xmlns:c16="http://schemas.microsoft.com/office/drawing/2014/chart" uri="{C3380CC4-5D6E-409C-BE32-E72D297353CC}">
                <c16:uniqueId val="{0000000A-BA54-4132-A6DC-F02D20A57B5D}"/>
              </c:ext>
            </c:extLst>
          </c:dPt>
          <c:dPt>
            <c:idx val="6"/>
            <c:bubble3D val="0"/>
            <c:spPr>
              <a:solidFill>
                <a:srgbClr val="8F439B"/>
              </a:solidFill>
              <a:ln w="25400">
                <a:noFill/>
              </a:ln>
            </c:spPr>
            <c:extLst>
              <c:ext xmlns:c16="http://schemas.microsoft.com/office/drawing/2014/chart" uri="{C3380CC4-5D6E-409C-BE32-E72D297353CC}">
                <c16:uniqueId val="{0000000C-BA54-4132-A6DC-F02D20A57B5D}"/>
              </c:ext>
            </c:extLst>
          </c:dPt>
          <c:dPt>
            <c:idx val="7"/>
            <c:bubble3D val="0"/>
            <c:spPr>
              <a:solidFill>
                <a:srgbClr val="EDA6A8"/>
              </a:solidFill>
              <a:ln w="25400">
                <a:noFill/>
              </a:ln>
            </c:spPr>
            <c:extLst>
              <c:ext xmlns:c16="http://schemas.microsoft.com/office/drawing/2014/chart" uri="{C3380CC4-5D6E-409C-BE32-E72D297353CC}">
                <c16:uniqueId val="{0000000E-BA54-4132-A6DC-F02D20A57B5D}"/>
              </c:ext>
            </c:extLst>
          </c:dPt>
          <c:dLbls>
            <c:dLbl>
              <c:idx val="1"/>
              <c:layout>
                <c:manualLayout>
                  <c:x val="2.779921010822416E-2"/>
                  <c:y val="-5.100126742712296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A54-4132-A6DC-F02D20A57B5D}"/>
                </c:ext>
              </c:extLst>
            </c:dLbl>
            <c:dLbl>
              <c:idx val="7"/>
              <c:layout>
                <c:manualLayout>
                  <c:x val="1.9893319786639576E-2"/>
                  <c:y val="-1.792760695787552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BA54-4132-A6DC-F02D20A57B5D}"/>
                </c:ext>
              </c:extLst>
            </c:dLbl>
            <c:numFmt formatCode="0.0%" sourceLinked="0"/>
            <c:spPr>
              <a:noFill/>
              <a:ln w="25400">
                <a:noFill/>
              </a:ln>
            </c:spPr>
            <c:txPr>
              <a:bodyPr/>
              <a:lstStyle/>
              <a:p>
                <a:pPr>
                  <a:defRPr sz="900" b="0" i="0" u="none" strike="noStrike" baseline="0">
                    <a:solidFill>
                      <a:srgbClr val="000000"/>
                    </a:solidFill>
                    <a:latin typeface="Arial" pitchFamily="34" charset="0"/>
                    <a:ea typeface="Myriad Pro"/>
                    <a:cs typeface="Arial" pitchFamily="34" charset="0"/>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Examples!$B$33:$I$33</c:f>
              <c:strCache>
                <c:ptCount val="8"/>
                <c:pt idx="0">
                  <c:v>Blue</c:v>
                </c:pt>
                <c:pt idx="1">
                  <c:v>Mid Grey</c:v>
                </c:pt>
                <c:pt idx="2">
                  <c:v>Pale Blue</c:v>
                </c:pt>
                <c:pt idx="3">
                  <c:v>Green</c:v>
                </c:pt>
                <c:pt idx="4">
                  <c:v>Charcoal</c:v>
                </c:pt>
                <c:pt idx="5">
                  <c:v>Orange</c:v>
                </c:pt>
                <c:pt idx="6">
                  <c:v>Purple</c:v>
                </c:pt>
                <c:pt idx="7">
                  <c:v>Pink</c:v>
                </c:pt>
              </c:strCache>
            </c:strRef>
          </c:cat>
          <c:val>
            <c:numRef>
              <c:f>Examples!$B$34:$I$34</c:f>
              <c:numCache>
                <c:formatCode>General</c:formatCode>
                <c:ptCount val="8"/>
                <c:pt idx="0">
                  <c:v>36.19</c:v>
                </c:pt>
                <c:pt idx="1">
                  <c:v>36.880000000000003</c:v>
                </c:pt>
                <c:pt idx="2">
                  <c:v>21.56</c:v>
                </c:pt>
                <c:pt idx="3">
                  <c:v>5.36</c:v>
                </c:pt>
                <c:pt idx="4">
                  <c:v>3.01</c:v>
                </c:pt>
                <c:pt idx="5">
                  <c:v>10</c:v>
                </c:pt>
                <c:pt idx="6">
                  <c:v>3.01</c:v>
                </c:pt>
                <c:pt idx="7">
                  <c:v>10</c:v>
                </c:pt>
              </c:numCache>
            </c:numRef>
          </c:val>
          <c:extLst>
            <c:ext xmlns:c16="http://schemas.microsoft.com/office/drawing/2014/chart" uri="{C3380CC4-5D6E-409C-BE32-E72D297353CC}">
              <c16:uniqueId val="{0000000F-BA54-4132-A6DC-F02D20A57B5D}"/>
            </c:ext>
          </c:extLst>
        </c:ser>
        <c:dLbls>
          <c:showLegendKey val="0"/>
          <c:showVal val="0"/>
          <c:showCatName val="1"/>
          <c:showSerName val="0"/>
          <c:showPercent val="1"/>
          <c:showBubbleSize val="0"/>
          <c:showLeaderLines val="0"/>
        </c:dLbls>
        <c:firstSliceAng val="0"/>
      </c:pieChart>
      <c:spPr>
        <a:solidFill>
          <a:srgbClr val="FFFFFF"/>
        </a:solid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Myriad Pro"/>
          <a:ea typeface="Myriad Pro"/>
          <a:cs typeface="Myriad Pro"/>
        </a:defRPr>
      </a:pPr>
      <a:endParaRPr lang="en-US"/>
    </a:p>
  </c:txPr>
  <c:printSettings>
    <c:headerFooter alignWithMargins="0"/>
    <c:pageMargins b="1" l="0.75" r="0.75" t="1" header="0.5" footer="0.5"/>
    <c:pageSetup paperSize="9" orientation="portrait" horizontalDpi="-3"/>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301249472743564"/>
          <c:y val="0.21153937195336425"/>
          <c:w val="0.50361534664794338"/>
          <c:h val="0.6089769798657455"/>
        </c:manualLayout>
      </c:layout>
      <c:ofPieChart>
        <c:ofPieType val="pie"/>
        <c:varyColors val="1"/>
        <c:ser>
          <c:idx val="0"/>
          <c:order val="0"/>
          <c:tx>
            <c:strRef>
              <c:f>Examples!$A$34</c:f>
              <c:strCache>
                <c:ptCount val="1"/>
                <c:pt idx="0">
                  <c:v>1975-76</c:v>
                </c:pt>
              </c:strCache>
            </c:strRef>
          </c:tx>
          <c:spPr>
            <a:solidFill>
              <a:srgbClr val="001C52"/>
            </a:solidFill>
            <a:ln w="25400">
              <a:noFill/>
            </a:ln>
          </c:spPr>
          <c:dPt>
            <c:idx val="0"/>
            <c:bubble3D val="0"/>
            <c:spPr>
              <a:solidFill>
                <a:srgbClr val="007BC4"/>
              </a:solidFill>
              <a:ln w="25400">
                <a:noFill/>
              </a:ln>
            </c:spPr>
            <c:extLst>
              <c:ext xmlns:c16="http://schemas.microsoft.com/office/drawing/2014/chart" uri="{C3380CC4-5D6E-409C-BE32-E72D297353CC}">
                <c16:uniqueId val="{00000000-6414-4393-8A83-C7812E4E4679}"/>
              </c:ext>
            </c:extLst>
          </c:dPt>
          <c:dPt>
            <c:idx val="1"/>
            <c:bubble3D val="0"/>
            <c:spPr>
              <a:solidFill>
                <a:srgbClr val="A0A09A"/>
              </a:solidFill>
              <a:ln w="25400">
                <a:noFill/>
              </a:ln>
            </c:spPr>
            <c:extLst>
              <c:ext xmlns:c16="http://schemas.microsoft.com/office/drawing/2014/chart" uri="{C3380CC4-5D6E-409C-BE32-E72D297353CC}">
                <c16:uniqueId val="{00000002-6414-4393-8A83-C7812E4E4679}"/>
              </c:ext>
            </c:extLst>
          </c:dPt>
          <c:dPt>
            <c:idx val="2"/>
            <c:bubble3D val="0"/>
            <c:spPr>
              <a:solidFill>
                <a:srgbClr val="CBD4D9"/>
              </a:solidFill>
              <a:ln w="25400">
                <a:noFill/>
              </a:ln>
            </c:spPr>
            <c:extLst>
              <c:ext xmlns:c16="http://schemas.microsoft.com/office/drawing/2014/chart" uri="{C3380CC4-5D6E-409C-BE32-E72D297353CC}">
                <c16:uniqueId val="{00000004-6414-4393-8A83-C7812E4E4679}"/>
              </c:ext>
            </c:extLst>
          </c:dPt>
          <c:dPt>
            <c:idx val="3"/>
            <c:bubble3D val="0"/>
            <c:spPr>
              <a:solidFill>
                <a:srgbClr val="46B849"/>
              </a:solidFill>
              <a:ln w="25400">
                <a:noFill/>
              </a:ln>
            </c:spPr>
            <c:extLst>
              <c:ext xmlns:c16="http://schemas.microsoft.com/office/drawing/2014/chart" uri="{C3380CC4-5D6E-409C-BE32-E72D297353CC}">
                <c16:uniqueId val="{00000006-6414-4393-8A83-C7812E4E4679}"/>
              </c:ext>
            </c:extLst>
          </c:dPt>
          <c:dPt>
            <c:idx val="4"/>
            <c:bubble3D val="0"/>
            <c:spPr>
              <a:solidFill>
                <a:srgbClr val="212122"/>
              </a:solidFill>
              <a:ln w="25400">
                <a:noFill/>
              </a:ln>
            </c:spPr>
            <c:extLst>
              <c:ext xmlns:c16="http://schemas.microsoft.com/office/drawing/2014/chart" uri="{C3380CC4-5D6E-409C-BE32-E72D297353CC}">
                <c16:uniqueId val="{00000008-6414-4393-8A83-C7812E4E4679}"/>
              </c:ext>
            </c:extLst>
          </c:dPt>
          <c:dPt>
            <c:idx val="5"/>
            <c:bubble3D val="0"/>
            <c:spPr>
              <a:solidFill>
                <a:srgbClr val="F68B1F"/>
              </a:solidFill>
              <a:ln w="25400">
                <a:noFill/>
              </a:ln>
            </c:spPr>
            <c:extLst>
              <c:ext xmlns:c16="http://schemas.microsoft.com/office/drawing/2014/chart" uri="{C3380CC4-5D6E-409C-BE32-E72D297353CC}">
                <c16:uniqueId val="{0000000A-6414-4393-8A83-C7812E4E4679}"/>
              </c:ext>
            </c:extLst>
          </c:dPt>
          <c:dPt>
            <c:idx val="6"/>
            <c:bubble3D val="0"/>
            <c:spPr>
              <a:solidFill>
                <a:srgbClr val="8F439B"/>
              </a:solidFill>
              <a:ln w="25400">
                <a:noFill/>
              </a:ln>
            </c:spPr>
            <c:extLst>
              <c:ext xmlns:c16="http://schemas.microsoft.com/office/drawing/2014/chart" uri="{C3380CC4-5D6E-409C-BE32-E72D297353CC}">
                <c16:uniqueId val="{0000000C-6414-4393-8A83-C7812E4E4679}"/>
              </c:ext>
            </c:extLst>
          </c:dPt>
          <c:dPt>
            <c:idx val="7"/>
            <c:bubble3D val="0"/>
            <c:spPr>
              <a:solidFill>
                <a:srgbClr val="EDA6A8"/>
              </a:solidFill>
              <a:ln w="25400">
                <a:noFill/>
              </a:ln>
            </c:spPr>
            <c:extLst>
              <c:ext xmlns:c16="http://schemas.microsoft.com/office/drawing/2014/chart" uri="{C3380CC4-5D6E-409C-BE32-E72D297353CC}">
                <c16:uniqueId val="{0000000E-6414-4393-8A83-C7812E4E4679}"/>
              </c:ext>
            </c:extLst>
          </c:dPt>
          <c:dLbls>
            <c:numFmt formatCode="0%" sourceLinked="0"/>
            <c:spPr>
              <a:noFill/>
              <a:ln w="25400">
                <a:noFill/>
              </a:ln>
            </c:spPr>
            <c:txPr>
              <a:bodyPr/>
              <a:lstStyle/>
              <a:p>
                <a:pPr>
                  <a:defRPr sz="900" b="0" i="0" u="none" strike="noStrike" baseline="0">
                    <a:solidFill>
                      <a:srgbClr val="000000"/>
                    </a:solidFill>
                    <a:latin typeface="Arial" pitchFamily="34" charset="0"/>
                    <a:ea typeface="Myriad Pro"/>
                    <a:cs typeface="Arial"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Examples!$B$33:$H$33</c:f>
              <c:strCache>
                <c:ptCount val="7"/>
                <c:pt idx="0">
                  <c:v>Blue</c:v>
                </c:pt>
                <c:pt idx="1">
                  <c:v>Mid Grey</c:v>
                </c:pt>
                <c:pt idx="2">
                  <c:v>Pale Blue</c:v>
                </c:pt>
                <c:pt idx="3">
                  <c:v>Green</c:v>
                </c:pt>
                <c:pt idx="4">
                  <c:v>Charcoal</c:v>
                </c:pt>
                <c:pt idx="5">
                  <c:v>Orange</c:v>
                </c:pt>
                <c:pt idx="6">
                  <c:v>Purple</c:v>
                </c:pt>
              </c:strCache>
            </c:strRef>
          </c:cat>
          <c:val>
            <c:numRef>
              <c:f>Examples!$B$34:$H$34</c:f>
              <c:numCache>
                <c:formatCode>General</c:formatCode>
                <c:ptCount val="7"/>
                <c:pt idx="0">
                  <c:v>36.19</c:v>
                </c:pt>
                <c:pt idx="1">
                  <c:v>36.880000000000003</c:v>
                </c:pt>
                <c:pt idx="2">
                  <c:v>21.56</c:v>
                </c:pt>
                <c:pt idx="3">
                  <c:v>5.36</c:v>
                </c:pt>
                <c:pt idx="4">
                  <c:v>3.01</c:v>
                </c:pt>
                <c:pt idx="5">
                  <c:v>10</c:v>
                </c:pt>
                <c:pt idx="6">
                  <c:v>3.01</c:v>
                </c:pt>
              </c:numCache>
            </c:numRef>
          </c:val>
          <c:extLst>
            <c:ext xmlns:c16="http://schemas.microsoft.com/office/drawing/2014/chart" uri="{C3380CC4-5D6E-409C-BE32-E72D297353CC}">
              <c16:uniqueId val="{0000000F-6414-4393-8A83-C7812E4E4679}"/>
            </c:ext>
          </c:extLst>
        </c:ser>
        <c:dLbls>
          <c:showLegendKey val="0"/>
          <c:showVal val="0"/>
          <c:showCatName val="1"/>
          <c:showSerName val="0"/>
          <c:showPercent val="1"/>
          <c:showBubbleSize val="0"/>
          <c:showLeaderLines val="1"/>
        </c:dLbls>
        <c:gapWidth val="100"/>
        <c:splitType val="pos"/>
        <c:splitPos val="3"/>
        <c:secondPieSize val="70"/>
        <c:serLines>
          <c:spPr>
            <a:ln w="3175">
              <a:solidFill>
                <a:srgbClr val="000000"/>
              </a:solidFill>
              <a:prstDash val="solid"/>
            </a:ln>
          </c:spPr>
        </c:serLines>
      </c:ofPieChart>
      <c:spPr>
        <a:solidFill>
          <a:srgbClr val="FFFFFF"/>
        </a:solid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Myriad Pro"/>
          <a:ea typeface="Myriad Pro"/>
          <a:cs typeface="Myriad Pro"/>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37392349972381"/>
          <c:y val="0.16025709996466989"/>
          <c:w val="0.42891641963317667"/>
          <c:h val="0.71154152384313429"/>
        </c:manualLayout>
      </c:layout>
      <c:ofPieChart>
        <c:ofPieType val="bar"/>
        <c:varyColors val="1"/>
        <c:ser>
          <c:idx val="0"/>
          <c:order val="0"/>
          <c:tx>
            <c:strRef>
              <c:f>Examples!$A$34</c:f>
              <c:strCache>
                <c:ptCount val="1"/>
                <c:pt idx="0">
                  <c:v>1975-76</c:v>
                </c:pt>
              </c:strCache>
            </c:strRef>
          </c:tx>
          <c:spPr>
            <a:solidFill>
              <a:srgbClr val="001C52"/>
            </a:solidFill>
            <a:ln w="25400">
              <a:noFill/>
            </a:ln>
          </c:spPr>
          <c:dPt>
            <c:idx val="0"/>
            <c:bubble3D val="0"/>
            <c:spPr>
              <a:solidFill>
                <a:srgbClr val="007BC4"/>
              </a:solidFill>
              <a:ln w="25400">
                <a:noFill/>
              </a:ln>
            </c:spPr>
            <c:extLst>
              <c:ext xmlns:c16="http://schemas.microsoft.com/office/drawing/2014/chart" uri="{C3380CC4-5D6E-409C-BE32-E72D297353CC}">
                <c16:uniqueId val="{00000000-A4A0-4C4C-B455-377FB4B1545D}"/>
              </c:ext>
            </c:extLst>
          </c:dPt>
          <c:dPt>
            <c:idx val="1"/>
            <c:bubble3D val="0"/>
            <c:spPr>
              <a:solidFill>
                <a:srgbClr val="A0A09A"/>
              </a:solidFill>
              <a:ln w="25400">
                <a:noFill/>
              </a:ln>
            </c:spPr>
            <c:extLst>
              <c:ext xmlns:c16="http://schemas.microsoft.com/office/drawing/2014/chart" uri="{C3380CC4-5D6E-409C-BE32-E72D297353CC}">
                <c16:uniqueId val="{00000002-A4A0-4C4C-B455-377FB4B1545D}"/>
              </c:ext>
            </c:extLst>
          </c:dPt>
          <c:dPt>
            <c:idx val="2"/>
            <c:bubble3D val="0"/>
            <c:spPr>
              <a:solidFill>
                <a:srgbClr val="CBD4D9"/>
              </a:solidFill>
              <a:ln w="25400">
                <a:noFill/>
              </a:ln>
            </c:spPr>
            <c:extLst>
              <c:ext xmlns:c16="http://schemas.microsoft.com/office/drawing/2014/chart" uri="{C3380CC4-5D6E-409C-BE32-E72D297353CC}">
                <c16:uniqueId val="{00000004-A4A0-4C4C-B455-377FB4B1545D}"/>
              </c:ext>
            </c:extLst>
          </c:dPt>
          <c:dPt>
            <c:idx val="3"/>
            <c:bubble3D val="0"/>
            <c:spPr>
              <a:solidFill>
                <a:srgbClr val="46B849"/>
              </a:solidFill>
              <a:ln w="25400">
                <a:noFill/>
              </a:ln>
            </c:spPr>
            <c:extLst>
              <c:ext xmlns:c16="http://schemas.microsoft.com/office/drawing/2014/chart" uri="{C3380CC4-5D6E-409C-BE32-E72D297353CC}">
                <c16:uniqueId val="{00000006-A4A0-4C4C-B455-377FB4B1545D}"/>
              </c:ext>
            </c:extLst>
          </c:dPt>
          <c:dPt>
            <c:idx val="4"/>
            <c:bubble3D val="0"/>
            <c:spPr>
              <a:solidFill>
                <a:srgbClr val="212122"/>
              </a:solidFill>
              <a:ln w="25400">
                <a:noFill/>
              </a:ln>
            </c:spPr>
            <c:extLst>
              <c:ext xmlns:c16="http://schemas.microsoft.com/office/drawing/2014/chart" uri="{C3380CC4-5D6E-409C-BE32-E72D297353CC}">
                <c16:uniqueId val="{00000008-A4A0-4C4C-B455-377FB4B1545D}"/>
              </c:ext>
            </c:extLst>
          </c:dPt>
          <c:dPt>
            <c:idx val="5"/>
            <c:bubble3D val="0"/>
            <c:spPr>
              <a:solidFill>
                <a:srgbClr val="F68B1F"/>
              </a:solidFill>
              <a:ln w="25400">
                <a:noFill/>
              </a:ln>
            </c:spPr>
            <c:extLst>
              <c:ext xmlns:c16="http://schemas.microsoft.com/office/drawing/2014/chart" uri="{C3380CC4-5D6E-409C-BE32-E72D297353CC}">
                <c16:uniqueId val="{0000000A-A4A0-4C4C-B455-377FB4B1545D}"/>
              </c:ext>
            </c:extLst>
          </c:dPt>
          <c:dPt>
            <c:idx val="6"/>
            <c:bubble3D val="0"/>
            <c:spPr>
              <a:solidFill>
                <a:srgbClr val="8F439B"/>
              </a:solidFill>
              <a:ln w="25400">
                <a:noFill/>
              </a:ln>
            </c:spPr>
            <c:extLst>
              <c:ext xmlns:c16="http://schemas.microsoft.com/office/drawing/2014/chart" uri="{C3380CC4-5D6E-409C-BE32-E72D297353CC}">
                <c16:uniqueId val="{0000000C-A4A0-4C4C-B455-377FB4B1545D}"/>
              </c:ext>
            </c:extLst>
          </c:dPt>
          <c:dPt>
            <c:idx val="7"/>
            <c:bubble3D val="0"/>
            <c:spPr>
              <a:solidFill>
                <a:srgbClr val="EDA6A8"/>
              </a:solidFill>
              <a:ln w="25400">
                <a:noFill/>
              </a:ln>
            </c:spPr>
            <c:extLst>
              <c:ext xmlns:c16="http://schemas.microsoft.com/office/drawing/2014/chart" uri="{C3380CC4-5D6E-409C-BE32-E72D297353CC}">
                <c16:uniqueId val="{0000000E-A4A0-4C4C-B455-377FB4B1545D}"/>
              </c:ext>
            </c:extLst>
          </c:dPt>
          <c:dLbls>
            <c:numFmt formatCode="0%" sourceLinked="0"/>
            <c:spPr>
              <a:noFill/>
              <a:ln w="25400">
                <a:noFill/>
              </a:ln>
            </c:spPr>
            <c:txPr>
              <a:bodyPr/>
              <a:lstStyle/>
              <a:p>
                <a:pPr>
                  <a:defRPr sz="900" b="0" i="0" u="none" strike="noStrike" baseline="0">
                    <a:solidFill>
                      <a:srgbClr val="000000"/>
                    </a:solidFill>
                    <a:latin typeface="Arial" pitchFamily="34" charset="0"/>
                    <a:ea typeface="Myriad Pro"/>
                    <a:cs typeface="Arial"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Examples!$B$33:$H$33</c:f>
              <c:strCache>
                <c:ptCount val="7"/>
                <c:pt idx="0">
                  <c:v>Blue</c:v>
                </c:pt>
                <c:pt idx="1">
                  <c:v>Mid Grey</c:v>
                </c:pt>
                <c:pt idx="2">
                  <c:v>Pale Blue</c:v>
                </c:pt>
                <c:pt idx="3">
                  <c:v>Green</c:v>
                </c:pt>
                <c:pt idx="4">
                  <c:v>Charcoal</c:v>
                </c:pt>
                <c:pt idx="5">
                  <c:v>Orange</c:v>
                </c:pt>
                <c:pt idx="6">
                  <c:v>Purple</c:v>
                </c:pt>
              </c:strCache>
            </c:strRef>
          </c:cat>
          <c:val>
            <c:numRef>
              <c:f>Examples!$B$34:$H$34</c:f>
              <c:numCache>
                <c:formatCode>General</c:formatCode>
                <c:ptCount val="7"/>
                <c:pt idx="0">
                  <c:v>36.19</c:v>
                </c:pt>
                <c:pt idx="1">
                  <c:v>36.880000000000003</c:v>
                </c:pt>
                <c:pt idx="2">
                  <c:v>21.56</c:v>
                </c:pt>
                <c:pt idx="3">
                  <c:v>5.36</c:v>
                </c:pt>
                <c:pt idx="4">
                  <c:v>3.01</c:v>
                </c:pt>
                <c:pt idx="5">
                  <c:v>10</c:v>
                </c:pt>
                <c:pt idx="6">
                  <c:v>3.01</c:v>
                </c:pt>
              </c:numCache>
            </c:numRef>
          </c:val>
          <c:extLst>
            <c:ext xmlns:c16="http://schemas.microsoft.com/office/drawing/2014/chart" uri="{C3380CC4-5D6E-409C-BE32-E72D297353CC}">
              <c16:uniqueId val="{0000000F-A4A0-4C4C-B455-377FB4B1545D}"/>
            </c:ext>
          </c:extLst>
        </c:ser>
        <c:dLbls>
          <c:showLegendKey val="0"/>
          <c:showVal val="0"/>
          <c:showCatName val="1"/>
          <c:showSerName val="0"/>
          <c:showPercent val="1"/>
          <c:showBubbleSize val="0"/>
          <c:showLeaderLines val="1"/>
        </c:dLbls>
        <c:gapWidth val="100"/>
        <c:splitType val="pos"/>
        <c:splitPos val="3"/>
        <c:secondPieSize val="70"/>
        <c:serLines>
          <c:spPr>
            <a:ln w="3175">
              <a:solidFill>
                <a:srgbClr val="000000"/>
              </a:solidFill>
              <a:prstDash val="solid"/>
            </a:ln>
          </c:spPr>
        </c:serLines>
      </c:ofPieChart>
      <c:spPr>
        <a:solidFill>
          <a:srgbClr val="FFFFFF"/>
        </a:solid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Myriad Pro"/>
          <a:ea typeface="Myriad Pro"/>
          <a:cs typeface="Myriad Pro"/>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90533680582334E-2"/>
          <c:y val="0.14743653196749629"/>
          <c:w val="0.87831480312524091"/>
          <c:h val="0.71154152384313429"/>
        </c:manualLayout>
      </c:layout>
      <c:barChart>
        <c:barDir val="bar"/>
        <c:grouping val="stacked"/>
        <c:varyColors val="0"/>
        <c:ser>
          <c:idx val="0"/>
          <c:order val="0"/>
          <c:tx>
            <c:strRef>
              <c:f>Examples!$B$33</c:f>
              <c:strCache>
                <c:ptCount val="1"/>
                <c:pt idx="0">
                  <c:v>Blue</c:v>
                </c:pt>
              </c:strCache>
            </c:strRef>
          </c:tx>
          <c:spPr>
            <a:solidFill>
              <a:srgbClr val="007BC4"/>
            </a:solidFill>
            <a:ln w="25400">
              <a:noFill/>
            </a:ln>
          </c:spPr>
          <c:invertIfNegative val="0"/>
          <c:cat>
            <c:strRef>
              <c:f>Examples!$A$34:$A$36</c:f>
              <c:strCache>
                <c:ptCount val="3"/>
                <c:pt idx="0">
                  <c:v>1975-76</c:v>
                </c:pt>
                <c:pt idx="1">
                  <c:v>1983-84</c:v>
                </c:pt>
                <c:pt idx="2">
                  <c:v>1988-89</c:v>
                </c:pt>
              </c:strCache>
            </c:strRef>
          </c:cat>
          <c:val>
            <c:numRef>
              <c:f>Examples!$B$34:$B$36</c:f>
              <c:numCache>
                <c:formatCode>General</c:formatCode>
                <c:ptCount val="3"/>
                <c:pt idx="0">
                  <c:v>36.19</c:v>
                </c:pt>
                <c:pt idx="1">
                  <c:v>39.39</c:v>
                </c:pt>
                <c:pt idx="2">
                  <c:v>42.78</c:v>
                </c:pt>
              </c:numCache>
            </c:numRef>
          </c:val>
          <c:extLst>
            <c:ext xmlns:c16="http://schemas.microsoft.com/office/drawing/2014/chart" uri="{C3380CC4-5D6E-409C-BE32-E72D297353CC}">
              <c16:uniqueId val="{00000000-563C-48C8-BEC3-83524C17918B}"/>
            </c:ext>
          </c:extLst>
        </c:ser>
        <c:ser>
          <c:idx val="1"/>
          <c:order val="1"/>
          <c:tx>
            <c:strRef>
              <c:f>Examples!$C$33</c:f>
              <c:strCache>
                <c:ptCount val="1"/>
                <c:pt idx="0">
                  <c:v>Mid Grey</c:v>
                </c:pt>
              </c:strCache>
            </c:strRef>
          </c:tx>
          <c:spPr>
            <a:solidFill>
              <a:srgbClr val="A0A09A"/>
            </a:solidFill>
            <a:ln w="25400">
              <a:noFill/>
            </a:ln>
          </c:spPr>
          <c:invertIfNegative val="0"/>
          <c:cat>
            <c:strRef>
              <c:f>Examples!$A$34:$A$36</c:f>
              <c:strCache>
                <c:ptCount val="3"/>
                <c:pt idx="0">
                  <c:v>1975-76</c:v>
                </c:pt>
                <c:pt idx="1">
                  <c:v>1983-84</c:v>
                </c:pt>
                <c:pt idx="2">
                  <c:v>1988-89</c:v>
                </c:pt>
              </c:strCache>
            </c:strRef>
          </c:cat>
          <c:val>
            <c:numRef>
              <c:f>Examples!$C$34:$C$36</c:f>
              <c:numCache>
                <c:formatCode>General</c:formatCode>
                <c:ptCount val="3"/>
                <c:pt idx="0">
                  <c:v>36.880000000000003</c:v>
                </c:pt>
                <c:pt idx="1">
                  <c:v>32.020000000000003</c:v>
                </c:pt>
                <c:pt idx="2">
                  <c:v>29.91</c:v>
                </c:pt>
              </c:numCache>
            </c:numRef>
          </c:val>
          <c:extLst>
            <c:ext xmlns:c16="http://schemas.microsoft.com/office/drawing/2014/chart" uri="{C3380CC4-5D6E-409C-BE32-E72D297353CC}">
              <c16:uniqueId val="{00000001-563C-48C8-BEC3-83524C17918B}"/>
            </c:ext>
          </c:extLst>
        </c:ser>
        <c:ser>
          <c:idx val="2"/>
          <c:order val="2"/>
          <c:tx>
            <c:strRef>
              <c:f>Examples!$D$33</c:f>
              <c:strCache>
                <c:ptCount val="1"/>
                <c:pt idx="0">
                  <c:v>Pale Blue</c:v>
                </c:pt>
              </c:strCache>
            </c:strRef>
          </c:tx>
          <c:spPr>
            <a:solidFill>
              <a:srgbClr val="CBD4D9"/>
            </a:solidFill>
            <a:ln w="25400">
              <a:noFill/>
            </a:ln>
          </c:spPr>
          <c:invertIfNegative val="0"/>
          <c:cat>
            <c:strRef>
              <c:f>Examples!$A$34:$A$36</c:f>
              <c:strCache>
                <c:ptCount val="3"/>
                <c:pt idx="0">
                  <c:v>1975-76</c:v>
                </c:pt>
                <c:pt idx="1">
                  <c:v>1983-84</c:v>
                </c:pt>
                <c:pt idx="2">
                  <c:v>1988-89</c:v>
                </c:pt>
              </c:strCache>
            </c:strRef>
          </c:cat>
          <c:val>
            <c:numRef>
              <c:f>Examples!$D$34:$D$36</c:f>
              <c:numCache>
                <c:formatCode>General</c:formatCode>
                <c:ptCount val="3"/>
                <c:pt idx="0">
                  <c:v>21.56</c:v>
                </c:pt>
                <c:pt idx="1">
                  <c:v>21.6</c:v>
                </c:pt>
                <c:pt idx="2">
                  <c:v>18.350000000000001</c:v>
                </c:pt>
              </c:numCache>
            </c:numRef>
          </c:val>
          <c:extLst>
            <c:ext xmlns:c16="http://schemas.microsoft.com/office/drawing/2014/chart" uri="{C3380CC4-5D6E-409C-BE32-E72D297353CC}">
              <c16:uniqueId val="{00000002-563C-48C8-BEC3-83524C17918B}"/>
            </c:ext>
          </c:extLst>
        </c:ser>
        <c:ser>
          <c:idx val="3"/>
          <c:order val="3"/>
          <c:tx>
            <c:strRef>
              <c:f>Examples!$E$33</c:f>
              <c:strCache>
                <c:ptCount val="1"/>
                <c:pt idx="0">
                  <c:v>Green</c:v>
                </c:pt>
              </c:strCache>
            </c:strRef>
          </c:tx>
          <c:spPr>
            <a:solidFill>
              <a:srgbClr val="46B849"/>
            </a:solidFill>
            <a:ln w="25400">
              <a:noFill/>
            </a:ln>
          </c:spPr>
          <c:invertIfNegative val="0"/>
          <c:cat>
            <c:strRef>
              <c:f>Examples!$A$34:$A$36</c:f>
              <c:strCache>
                <c:ptCount val="3"/>
                <c:pt idx="0">
                  <c:v>1975-76</c:v>
                </c:pt>
                <c:pt idx="1">
                  <c:v>1983-84</c:v>
                </c:pt>
                <c:pt idx="2">
                  <c:v>1988-89</c:v>
                </c:pt>
              </c:strCache>
            </c:strRef>
          </c:cat>
          <c:val>
            <c:numRef>
              <c:f>Examples!$E$34:$E$36</c:f>
              <c:numCache>
                <c:formatCode>General</c:formatCode>
                <c:ptCount val="3"/>
                <c:pt idx="0">
                  <c:v>5.36</c:v>
                </c:pt>
                <c:pt idx="1">
                  <c:v>7.01</c:v>
                </c:pt>
                <c:pt idx="2">
                  <c:v>6.33</c:v>
                </c:pt>
              </c:numCache>
            </c:numRef>
          </c:val>
          <c:extLst>
            <c:ext xmlns:c16="http://schemas.microsoft.com/office/drawing/2014/chart" uri="{C3380CC4-5D6E-409C-BE32-E72D297353CC}">
              <c16:uniqueId val="{00000003-563C-48C8-BEC3-83524C17918B}"/>
            </c:ext>
          </c:extLst>
        </c:ser>
        <c:ser>
          <c:idx val="4"/>
          <c:order val="4"/>
          <c:tx>
            <c:strRef>
              <c:f>Examples!$F$33</c:f>
              <c:strCache>
                <c:ptCount val="1"/>
                <c:pt idx="0">
                  <c:v>Charcoal</c:v>
                </c:pt>
              </c:strCache>
            </c:strRef>
          </c:tx>
          <c:spPr>
            <a:solidFill>
              <a:srgbClr val="212122"/>
            </a:solidFill>
            <a:ln w="25400">
              <a:noFill/>
            </a:ln>
          </c:spPr>
          <c:invertIfNegative val="0"/>
          <c:cat>
            <c:strRef>
              <c:f>Examples!$A$34:$A$36</c:f>
              <c:strCache>
                <c:ptCount val="3"/>
                <c:pt idx="0">
                  <c:v>1975-76</c:v>
                </c:pt>
                <c:pt idx="1">
                  <c:v>1983-84</c:v>
                </c:pt>
                <c:pt idx="2">
                  <c:v>1988-89</c:v>
                </c:pt>
              </c:strCache>
            </c:strRef>
          </c:cat>
          <c:val>
            <c:numRef>
              <c:f>Examples!$F$34:$F$36</c:f>
              <c:numCache>
                <c:formatCode>General</c:formatCode>
                <c:ptCount val="3"/>
                <c:pt idx="0">
                  <c:v>3.01</c:v>
                </c:pt>
                <c:pt idx="1">
                  <c:v>3.36</c:v>
                </c:pt>
                <c:pt idx="2">
                  <c:v>2.63</c:v>
                </c:pt>
              </c:numCache>
            </c:numRef>
          </c:val>
          <c:extLst>
            <c:ext xmlns:c16="http://schemas.microsoft.com/office/drawing/2014/chart" uri="{C3380CC4-5D6E-409C-BE32-E72D297353CC}">
              <c16:uniqueId val="{00000004-563C-48C8-BEC3-83524C17918B}"/>
            </c:ext>
          </c:extLst>
        </c:ser>
        <c:ser>
          <c:idx val="5"/>
          <c:order val="5"/>
          <c:tx>
            <c:strRef>
              <c:f>Examples!$G$33</c:f>
              <c:strCache>
                <c:ptCount val="1"/>
                <c:pt idx="0">
                  <c:v>Orange</c:v>
                </c:pt>
              </c:strCache>
            </c:strRef>
          </c:tx>
          <c:spPr>
            <a:solidFill>
              <a:srgbClr val="F68B1F"/>
            </a:solidFill>
            <a:ln w="25400">
              <a:noFill/>
            </a:ln>
          </c:spPr>
          <c:invertIfNegative val="0"/>
          <c:cat>
            <c:strRef>
              <c:f>Examples!$A$34:$A$36</c:f>
              <c:strCache>
                <c:ptCount val="3"/>
                <c:pt idx="0">
                  <c:v>1975-76</c:v>
                </c:pt>
                <c:pt idx="1">
                  <c:v>1983-84</c:v>
                </c:pt>
                <c:pt idx="2">
                  <c:v>1988-89</c:v>
                </c:pt>
              </c:strCache>
            </c:strRef>
          </c:cat>
          <c:val>
            <c:numRef>
              <c:f>Examples!$G$34:$G$36</c:f>
              <c:numCache>
                <c:formatCode>General</c:formatCode>
                <c:ptCount val="3"/>
                <c:pt idx="0">
                  <c:v>10</c:v>
                </c:pt>
                <c:pt idx="1">
                  <c:v>12</c:v>
                </c:pt>
                <c:pt idx="2">
                  <c:v>14</c:v>
                </c:pt>
              </c:numCache>
            </c:numRef>
          </c:val>
          <c:extLst>
            <c:ext xmlns:c16="http://schemas.microsoft.com/office/drawing/2014/chart" uri="{C3380CC4-5D6E-409C-BE32-E72D297353CC}">
              <c16:uniqueId val="{00000005-563C-48C8-BEC3-83524C17918B}"/>
            </c:ext>
          </c:extLst>
        </c:ser>
        <c:ser>
          <c:idx val="6"/>
          <c:order val="6"/>
          <c:tx>
            <c:strRef>
              <c:f>Examples!$H$33</c:f>
              <c:strCache>
                <c:ptCount val="1"/>
                <c:pt idx="0">
                  <c:v>Purple</c:v>
                </c:pt>
              </c:strCache>
            </c:strRef>
          </c:tx>
          <c:spPr>
            <a:solidFill>
              <a:srgbClr val="8F439B"/>
            </a:solidFill>
            <a:ln w="25400">
              <a:noFill/>
            </a:ln>
          </c:spPr>
          <c:invertIfNegative val="0"/>
          <c:cat>
            <c:strRef>
              <c:f>Examples!$A$34:$A$36</c:f>
              <c:strCache>
                <c:ptCount val="3"/>
                <c:pt idx="0">
                  <c:v>1975-76</c:v>
                </c:pt>
                <c:pt idx="1">
                  <c:v>1983-84</c:v>
                </c:pt>
                <c:pt idx="2">
                  <c:v>1988-89</c:v>
                </c:pt>
              </c:strCache>
            </c:strRef>
          </c:cat>
          <c:val>
            <c:numRef>
              <c:f>Examples!$H$34:$H$36</c:f>
              <c:numCache>
                <c:formatCode>General</c:formatCode>
                <c:ptCount val="3"/>
                <c:pt idx="0">
                  <c:v>3.01</c:v>
                </c:pt>
                <c:pt idx="1">
                  <c:v>3.36</c:v>
                </c:pt>
                <c:pt idx="2">
                  <c:v>2.63</c:v>
                </c:pt>
              </c:numCache>
            </c:numRef>
          </c:val>
          <c:extLst>
            <c:ext xmlns:c16="http://schemas.microsoft.com/office/drawing/2014/chart" uri="{C3380CC4-5D6E-409C-BE32-E72D297353CC}">
              <c16:uniqueId val="{00000006-563C-48C8-BEC3-83524C17918B}"/>
            </c:ext>
          </c:extLst>
        </c:ser>
        <c:ser>
          <c:idx val="7"/>
          <c:order val="7"/>
          <c:tx>
            <c:strRef>
              <c:f>Examples!$I$33</c:f>
              <c:strCache>
                <c:ptCount val="1"/>
                <c:pt idx="0">
                  <c:v>Pink</c:v>
                </c:pt>
              </c:strCache>
            </c:strRef>
          </c:tx>
          <c:spPr>
            <a:solidFill>
              <a:srgbClr val="EDA6A8"/>
            </a:solidFill>
            <a:ln w="25400">
              <a:noFill/>
            </a:ln>
          </c:spPr>
          <c:invertIfNegative val="0"/>
          <c:cat>
            <c:strRef>
              <c:f>Examples!$A$34:$A$36</c:f>
              <c:strCache>
                <c:ptCount val="3"/>
                <c:pt idx="0">
                  <c:v>1975-76</c:v>
                </c:pt>
                <c:pt idx="1">
                  <c:v>1983-84</c:v>
                </c:pt>
                <c:pt idx="2">
                  <c:v>1988-89</c:v>
                </c:pt>
              </c:strCache>
            </c:strRef>
          </c:cat>
          <c:val>
            <c:numRef>
              <c:f>Examples!$I$34:$I$36</c:f>
              <c:numCache>
                <c:formatCode>General</c:formatCode>
                <c:ptCount val="3"/>
                <c:pt idx="0">
                  <c:v>10</c:v>
                </c:pt>
                <c:pt idx="1">
                  <c:v>12</c:v>
                </c:pt>
                <c:pt idx="2">
                  <c:v>14</c:v>
                </c:pt>
              </c:numCache>
            </c:numRef>
          </c:val>
          <c:extLst>
            <c:ext xmlns:c16="http://schemas.microsoft.com/office/drawing/2014/chart" uri="{C3380CC4-5D6E-409C-BE32-E72D297353CC}">
              <c16:uniqueId val="{00000007-563C-48C8-BEC3-83524C17918B}"/>
            </c:ext>
          </c:extLst>
        </c:ser>
        <c:dLbls>
          <c:showLegendKey val="0"/>
          <c:showVal val="0"/>
          <c:showCatName val="0"/>
          <c:showSerName val="0"/>
          <c:showPercent val="0"/>
          <c:showBubbleSize val="0"/>
        </c:dLbls>
        <c:gapWidth val="150"/>
        <c:overlap val="100"/>
        <c:axId val="685886264"/>
        <c:axId val="685886656"/>
      </c:barChart>
      <c:catAx>
        <c:axId val="68588626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a:pPr>
            <a:endParaRPr lang="en-US"/>
          </a:p>
        </c:txPr>
        <c:crossAx val="685886656"/>
        <c:crosses val="autoZero"/>
        <c:auto val="1"/>
        <c:lblAlgn val="ctr"/>
        <c:lblOffset val="100"/>
        <c:tickLblSkip val="1"/>
        <c:tickMarkSkip val="1"/>
        <c:noMultiLvlLbl val="0"/>
      </c:catAx>
      <c:valAx>
        <c:axId val="68588665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a:pPr>
            <a:endParaRPr lang="en-US"/>
          </a:p>
        </c:txPr>
        <c:crossAx val="685886264"/>
        <c:crosses val="autoZero"/>
        <c:crossBetween val="between"/>
      </c:valAx>
      <c:spPr>
        <a:solidFill>
          <a:srgbClr val="FFFFFF"/>
        </a:solidFill>
        <a:ln w="25400">
          <a:noFill/>
        </a:ln>
      </c:spPr>
    </c:plotArea>
    <c:legend>
      <c:legendPos val="r"/>
      <c:layout>
        <c:manualLayout>
          <c:xMode val="edge"/>
          <c:yMode val="edge"/>
          <c:x val="9.1566426663262424E-2"/>
          <c:y val="2.2435993995053784E-2"/>
          <c:w val="0.75542301997191497"/>
          <c:h val="0.1217953959731490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pitchFamily="34" charset="0"/>
          <a:ea typeface="Myriad Pro"/>
          <a:cs typeface="Arial" pitchFamily="34" charset="0"/>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0981929443825"/>
          <c:y val="0.14696560134753828"/>
          <c:w val="0.85662801786288922"/>
          <c:h val="0.71246367609784866"/>
        </c:manualLayout>
      </c:layout>
      <c:barChart>
        <c:barDir val="bar"/>
        <c:grouping val="percentStacked"/>
        <c:varyColors val="0"/>
        <c:ser>
          <c:idx val="0"/>
          <c:order val="0"/>
          <c:tx>
            <c:strRef>
              <c:f>Examples!$B$33</c:f>
              <c:strCache>
                <c:ptCount val="1"/>
                <c:pt idx="0">
                  <c:v>Blue</c:v>
                </c:pt>
              </c:strCache>
            </c:strRef>
          </c:tx>
          <c:spPr>
            <a:solidFill>
              <a:srgbClr val="007BC4"/>
            </a:solidFill>
            <a:ln w="25400">
              <a:noFill/>
            </a:ln>
          </c:spPr>
          <c:invertIfNegative val="0"/>
          <c:cat>
            <c:strRef>
              <c:f>Examples!$A$34:$A$36</c:f>
              <c:strCache>
                <c:ptCount val="3"/>
                <c:pt idx="0">
                  <c:v>1975-76</c:v>
                </c:pt>
                <c:pt idx="1">
                  <c:v>1983-84</c:v>
                </c:pt>
                <c:pt idx="2">
                  <c:v>1988-89</c:v>
                </c:pt>
              </c:strCache>
            </c:strRef>
          </c:cat>
          <c:val>
            <c:numRef>
              <c:f>Examples!$B$34:$B$36</c:f>
              <c:numCache>
                <c:formatCode>General</c:formatCode>
                <c:ptCount val="3"/>
                <c:pt idx="0">
                  <c:v>36.19</c:v>
                </c:pt>
                <c:pt idx="1">
                  <c:v>39.39</c:v>
                </c:pt>
                <c:pt idx="2">
                  <c:v>42.78</c:v>
                </c:pt>
              </c:numCache>
            </c:numRef>
          </c:val>
          <c:extLst>
            <c:ext xmlns:c16="http://schemas.microsoft.com/office/drawing/2014/chart" uri="{C3380CC4-5D6E-409C-BE32-E72D297353CC}">
              <c16:uniqueId val="{00000000-6C5F-485E-9520-44450D295FEB}"/>
            </c:ext>
          </c:extLst>
        </c:ser>
        <c:ser>
          <c:idx val="1"/>
          <c:order val="1"/>
          <c:tx>
            <c:strRef>
              <c:f>Examples!$C$33</c:f>
              <c:strCache>
                <c:ptCount val="1"/>
                <c:pt idx="0">
                  <c:v>Mid Grey</c:v>
                </c:pt>
              </c:strCache>
            </c:strRef>
          </c:tx>
          <c:spPr>
            <a:solidFill>
              <a:srgbClr val="A0A09A"/>
            </a:solidFill>
            <a:ln w="25400">
              <a:noFill/>
            </a:ln>
          </c:spPr>
          <c:invertIfNegative val="0"/>
          <c:cat>
            <c:strRef>
              <c:f>Examples!$A$34:$A$36</c:f>
              <c:strCache>
                <c:ptCount val="3"/>
                <c:pt idx="0">
                  <c:v>1975-76</c:v>
                </c:pt>
                <c:pt idx="1">
                  <c:v>1983-84</c:v>
                </c:pt>
                <c:pt idx="2">
                  <c:v>1988-89</c:v>
                </c:pt>
              </c:strCache>
            </c:strRef>
          </c:cat>
          <c:val>
            <c:numRef>
              <c:f>Examples!$C$34:$C$36</c:f>
              <c:numCache>
                <c:formatCode>General</c:formatCode>
                <c:ptCount val="3"/>
                <c:pt idx="0">
                  <c:v>36.880000000000003</c:v>
                </c:pt>
                <c:pt idx="1">
                  <c:v>32.020000000000003</c:v>
                </c:pt>
                <c:pt idx="2">
                  <c:v>29.91</c:v>
                </c:pt>
              </c:numCache>
            </c:numRef>
          </c:val>
          <c:extLst>
            <c:ext xmlns:c16="http://schemas.microsoft.com/office/drawing/2014/chart" uri="{C3380CC4-5D6E-409C-BE32-E72D297353CC}">
              <c16:uniqueId val="{00000001-6C5F-485E-9520-44450D295FEB}"/>
            </c:ext>
          </c:extLst>
        </c:ser>
        <c:ser>
          <c:idx val="2"/>
          <c:order val="2"/>
          <c:tx>
            <c:strRef>
              <c:f>Examples!$D$33</c:f>
              <c:strCache>
                <c:ptCount val="1"/>
                <c:pt idx="0">
                  <c:v>Pale Blue</c:v>
                </c:pt>
              </c:strCache>
            </c:strRef>
          </c:tx>
          <c:spPr>
            <a:solidFill>
              <a:srgbClr val="CBD4D9"/>
            </a:solidFill>
            <a:ln w="25400">
              <a:noFill/>
            </a:ln>
          </c:spPr>
          <c:invertIfNegative val="0"/>
          <c:cat>
            <c:strRef>
              <c:f>Examples!$A$34:$A$36</c:f>
              <c:strCache>
                <c:ptCount val="3"/>
                <c:pt idx="0">
                  <c:v>1975-76</c:v>
                </c:pt>
                <c:pt idx="1">
                  <c:v>1983-84</c:v>
                </c:pt>
                <c:pt idx="2">
                  <c:v>1988-89</c:v>
                </c:pt>
              </c:strCache>
            </c:strRef>
          </c:cat>
          <c:val>
            <c:numRef>
              <c:f>Examples!$D$34:$D$36</c:f>
              <c:numCache>
                <c:formatCode>General</c:formatCode>
                <c:ptCount val="3"/>
                <c:pt idx="0">
                  <c:v>21.56</c:v>
                </c:pt>
                <c:pt idx="1">
                  <c:v>21.6</c:v>
                </c:pt>
                <c:pt idx="2">
                  <c:v>18.350000000000001</c:v>
                </c:pt>
              </c:numCache>
            </c:numRef>
          </c:val>
          <c:extLst>
            <c:ext xmlns:c16="http://schemas.microsoft.com/office/drawing/2014/chart" uri="{C3380CC4-5D6E-409C-BE32-E72D297353CC}">
              <c16:uniqueId val="{00000002-6C5F-485E-9520-44450D295FEB}"/>
            </c:ext>
          </c:extLst>
        </c:ser>
        <c:ser>
          <c:idx val="3"/>
          <c:order val="3"/>
          <c:tx>
            <c:strRef>
              <c:f>Examples!$E$33</c:f>
              <c:strCache>
                <c:ptCount val="1"/>
                <c:pt idx="0">
                  <c:v>Green</c:v>
                </c:pt>
              </c:strCache>
            </c:strRef>
          </c:tx>
          <c:spPr>
            <a:solidFill>
              <a:srgbClr val="46B849"/>
            </a:solidFill>
            <a:ln w="25400">
              <a:noFill/>
            </a:ln>
          </c:spPr>
          <c:invertIfNegative val="0"/>
          <c:cat>
            <c:strRef>
              <c:f>Examples!$A$34:$A$36</c:f>
              <c:strCache>
                <c:ptCount val="3"/>
                <c:pt idx="0">
                  <c:v>1975-76</c:v>
                </c:pt>
                <c:pt idx="1">
                  <c:v>1983-84</c:v>
                </c:pt>
                <c:pt idx="2">
                  <c:v>1988-89</c:v>
                </c:pt>
              </c:strCache>
            </c:strRef>
          </c:cat>
          <c:val>
            <c:numRef>
              <c:f>Examples!$E$34:$E$36</c:f>
              <c:numCache>
                <c:formatCode>General</c:formatCode>
                <c:ptCount val="3"/>
                <c:pt idx="0">
                  <c:v>5.36</c:v>
                </c:pt>
                <c:pt idx="1">
                  <c:v>7.01</c:v>
                </c:pt>
                <c:pt idx="2">
                  <c:v>6.33</c:v>
                </c:pt>
              </c:numCache>
            </c:numRef>
          </c:val>
          <c:extLst>
            <c:ext xmlns:c16="http://schemas.microsoft.com/office/drawing/2014/chart" uri="{C3380CC4-5D6E-409C-BE32-E72D297353CC}">
              <c16:uniqueId val="{00000003-6C5F-485E-9520-44450D295FEB}"/>
            </c:ext>
          </c:extLst>
        </c:ser>
        <c:ser>
          <c:idx val="4"/>
          <c:order val="4"/>
          <c:tx>
            <c:strRef>
              <c:f>Examples!$F$33</c:f>
              <c:strCache>
                <c:ptCount val="1"/>
                <c:pt idx="0">
                  <c:v>Charcoal</c:v>
                </c:pt>
              </c:strCache>
            </c:strRef>
          </c:tx>
          <c:spPr>
            <a:solidFill>
              <a:srgbClr val="212122"/>
            </a:solidFill>
            <a:ln w="25400">
              <a:noFill/>
            </a:ln>
          </c:spPr>
          <c:invertIfNegative val="0"/>
          <c:cat>
            <c:strRef>
              <c:f>Examples!$A$34:$A$36</c:f>
              <c:strCache>
                <c:ptCount val="3"/>
                <c:pt idx="0">
                  <c:v>1975-76</c:v>
                </c:pt>
                <c:pt idx="1">
                  <c:v>1983-84</c:v>
                </c:pt>
                <c:pt idx="2">
                  <c:v>1988-89</c:v>
                </c:pt>
              </c:strCache>
            </c:strRef>
          </c:cat>
          <c:val>
            <c:numRef>
              <c:f>Examples!$F$34:$F$36</c:f>
              <c:numCache>
                <c:formatCode>General</c:formatCode>
                <c:ptCount val="3"/>
                <c:pt idx="0">
                  <c:v>3.01</c:v>
                </c:pt>
                <c:pt idx="1">
                  <c:v>3.36</c:v>
                </c:pt>
                <c:pt idx="2">
                  <c:v>2.63</c:v>
                </c:pt>
              </c:numCache>
            </c:numRef>
          </c:val>
          <c:extLst>
            <c:ext xmlns:c16="http://schemas.microsoft.com/office/drawing/2014/chart" uri="{C3380CC4-5D6E-409C-BE32-E72D297353CC}">
              <c16:uniqueId val="{00000004-6C5F-485E-9520-44450D295FEB}"/>
            </c:ext>
          </c:extLst>
        </c:ser>
        <c:ser>
          <c:idx val="5"/>
          <c:order val="5"/>
          <c:tx>
            <c:strRef>
              <c:f>Examples!$G$33</c:f>
              <c:strCache>
                <c:ptCount val="1"/>
                <c:pt idx="0">
                  <c:v>Orange</c:v>
                </c:pt>
              </c:strCache>
            </c:strRef>
          </c:tx>
          <c:spPr>
            <a:solidFill>
              <a:srgbClr val="F68B1F"/>
            </a:solidFill>
            <a:ln w="25400">
              <a:noFill/>
            </a:ln>
          </c:spPr>
          <c:invertIfNegative val="0"/>
          <c:cat>
            <c:strRef>
              <c:f>Examples!$A$34:$A$36</c:f>
              <c:strCache>
                <c:ptCount val="3"/>
                <c:pt idx="0">
                  <c:v>1975-76</c:v>
                </c:pt>
                <c:pt idx="1">
                  <c:v>1983-84</c:v>
                </c:pt>
                <c:pt idx="2">
                  <c:v>1988-89</c:v>
                </c:pt>
              </c:strCache>
            </c:strRef>
          </c:cat>
          <c:val>
            <c:numRef>
              <c:f>Examples!$G$34:$G$36</c:f>
              <c:numCache>
                <c:formatCode>General</c:formatCode>
                <c:ptCount val="3"/>
                <c:pt idx="0">
                  <c:v>10</c:v>
                </c:pt>
                <c:pt idx="1">
                  <c:v>12</c:v>
                </c:pt>
                <c:pt idx="2">
                  <c:v>14</c:v>
                </c:pt>
              </c:numCache>
            </c:numRef>
          </c:val>
          <c:extLst>
            <c:ext xmlns:c16="http://schemas.microsoft.com/office/drawing/2014/chart" uri="{C3380CC4-5D6E-409C-BE32-E72D297353CC}">
              <c16:uniqueId val="{00000005-6C5F-485E-9520-44450D295FEB}"/>
            </c:ext>
          </c:extLst>
        </c:ser>
        <c:ser>
          <c:idx val="6"/>
          <c:order val="6"/>
          <c:tx>
            <c:strRef>
              <c:f>Examples!$H$33</c:f>
              <c:strCache>
                <c:ptCount val="1"/>
                <c:pt idx="0">
                  <c:v>Purple</c:v>
                </c:pt>
              </c:strCache>
            </c:strRef>
          </c:tx>
          <c:spPr>
            <a:solidFill>
              <a:srgbClr val="8F439B"/>
            </a:solidFill>
            <a:ln w="25400">
              <a:noFill/>
            </a:ln>
          </c:spPr>
          <c:invertIfNegative val="0"/>
          <c:cat>
            <c:strRef>
              <c:f>Examples!$A$34:$A$36</c:f>
              <c:strCache>
                <c:ptCount val="3"/>
                <c:pt idx="0">
                  <c:v>1975-76</c:v>
                </c:pt>
                <c:pt idx="1">
                  <c:v>1983-84</c:v>
                </c:pt>
                <c:pt idx="2">
                  <c:v>1988-89</c:v>
                </c:pt>
              </c:strCache>
            </c:strRef>
          </c:cat>
          <c:val>
            <c:numRef>
              <c:f>Examples!$H$34:$H$36</c:f>
              <c:numCache>
                <c:formatCode>General</c:formatCode>
                <c:ptCount val="3"/>
                <c:pt idx="0">
                  <c:v>3.01</c:v>
                </c:pt>
                <c:pt idx="1">
                  <c:v>3.36</c:v>
                </c:pt>
                <c:pt idx="2">
                  <c:v>2.63</c:v>
                </c:pt>
              </c:numCache>
            </c:numRef>
          </c:val>
          <c:extLst>
            <c:ext xmlns:c16="http://schemas.microsoft.com/office/drawing/2014/chart" uri="{C3380CC4-5D6E-409C-BE32-E72D297353CC}">
              <c16:uniqueId val="{00000006-6C5F-485E-9520-44450D295FEB}"/>
            </c:ext>
          </c:extLst>
        </c:ser>
        <c:ser>
          <c:idx val="7"/>
          <c:order val="7"/>
          <c:tx>
            <c:strRef>
              <c:f>Examples!$I$33</c:f>
              <c:strCache>
                <c:ptCount val="1"/>
                <c:pt idx="0">
                  <c:v>Pink</c:v>
                </c:pt>
              </c:strCache>
            </c:strRef>
          </c:tx>
          <c:spPr>
            <a:solidFill>
              <a:srgbClr val="EDA6A8"/>
            </a:solidFill>
            <a:ln w="25400">
              <a:noFill/>
            </a:ln>
          </c:spPr>
          <c:invertIfNegative val="0"/>
          <c:cat>
            <c:strRef>
              <c:f>Examples!$A$34:$A$36</c:f>
              <c:strCache>
                <c:ptCount val="3"/>
                <c:pt idx="0">
                  <c:v>1975-76</c:v>
                </c:pt>
                <c:pt idx="1">
                  <c:v>1983-84</c:v>
                </c:pt>
                <c:pt idx="2">
                  <c:v>1988-89</c:v>
                </c:pt>
              </c:strCache>
            </c:strRef>
          </c:cat>
          <c:val>
            <c:numRef>
              <c:f>Examples!$I$34:$I$36</c:f>
              <c:numCache>
                <c:formatCode>General</c:formatCode>
                <c:ptCount val="3"/>
                <c:pt idx="0">
                  <c:v>10</c:v>
                </c:pt>
                <c:pt idx="1">
                  <c:v>12</c:v>
                </c:pt>
                <c:pt idx="2">
                  <c:v>14</c:v>
                </c:pt>
              </c:numCache>
            </c:numRef>
          </c:val>
          <c:extLst>
            <c:ext xmlns:c16="http://schemas.microsoft.com/office/drawing/2014/chart" uri="{C3380CC4-5D6E-409C-BE32-E72D297353CC}">
              <c16:uniqueId val="{00000007-6C5F-485E-9520-44450D295FEB}"/>
            </c:ext>
          </c:extLst>
        </c:ser>
        <c:dLbls>
          <c:showLegendKey val="0"/>
          <c:showVal val="0"/>
          <c:showCatName val="0"/>
          <c:showSerName val="0"/>
          <c:showPercent val="0"/>
          <c:showBubbleSize val="0"/>
        </c:dLbls>
        <c:gapWidth val="150"/>
        <c:overlap val="100"/>
        <c:axId val="685879600"/>
        <c:axId val="685882344"/>
      </c:barChart>
      <c:catAx>
        <c:axId val="68587960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a:pPr>
            <a:endParaRPr lang="en-US"/>
          </a:p>
        </c:txPr>
        <c:crossAx val="685882344"/>
        <c:crosses val="autoZero"/>
        <c:auto val="1"/>
        <c:lblAlgn val="ctr"/>
        <c:lblOffset val="100"/>
        <c:tickLblSkip val="1"/>
        <c:tickMarkSkip val="1"/>
        <c:noMultiLvlLbl val="0"/>
      </c:catAx>
      <c:valAx>
        <c:axId val="68588234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9525">
            <a:noFill/>
          </a:ln>
        </c:spPr>
        <c:txPr>
          <a:bodyPr rot="0" vert="horz"/>
          <a:lstStyle/>
          <a:p>
            <a:pPr>
              <a:defRPr/>
            </a:pPr>
            <a:endParaRPr lang="en-US"/>
          </a:p>
        </c:txPr>
        <c:crossAx val="685879600"/>
        <c:crosses val="autoZero"/>
        <c:crossBetween val="between"/>
      </c:valAx>
      <c:spPr>
        <a:solidFill>
          <a:srgbClr val="FFFFFF"/>
        </a:solidFill>
        <a:ln w="25400">
          <a:noFill/>
        </a:ln>
      </c:spPr>
    </c:plotArea>
    <c:legend>
      <c:legendPos val="r"/>
      <c:layout>
        <c:manualLayout>
          <c:xMode val="edge"/>
          <c:yMode val="edge"/>
          <c:x val="9.7590533680582334E-2"/>
          <c:y val="2.2364330639842781E-2"/>
          <c:w val="0.78072426944465856"/>
          <c:h val="0.12140636633057508"/>
        </c:manualLayout>
      </c:layout>
      <c:overlay val="0"/>
      <c:spPr>
        <a:no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pitchFamily="34" charset="0"/>
          <a:ea typeface="Myriad Pro"/>
          <a:cs typeface="Arial" pitchFamily="34" charset="0"/>
        </a:defRPr>
      </a:pPr>
      <a:endParaRPr lang="en-US"/>
    </a:p>
  </c:txPr>
  <c:printSettings>
    <c:headerFooter alignWithMargins="0"/>
    <c:pageMargins b="1" l="0.75" r="0.75"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98861480075907E-2"/>
          <c:y val="6.0836501901140684E-2"/>
          <c:w val="0.77229601518026569"/>
          <c:h val="0.8098859315589354"/>
        </c:manualLayout>
      </c:layout>
      <c:barChart>
        <c:barDir val="col"/>
        <c:grouping val="stacked"/>
        <c:varyColors val="0"/>
        <c:ser>
          <c:idx val="0"/>
          <c:order val="0"/>
          <c:tx>
            <c:strRef>
              <c:f>Examples!$B$33</c:f>
              <c:strCache>
                <c:ptCount val="1"/>
                <c:pt idx="0">
                  <c:v>Blue</c:v>
                </c:pt>
              </c:strCache>
            </c:strRef>
          </c:tx>
          <c:spPr>
            <a:solidFill>
              <a:srgbClr val="007BC4"/>
            </a:solidFill>
            <a:ln w="25400">
              <a:noFill/>
            </a:ln>
          </c:spPr>
          <c:invertIfNegative val="0"/>
          <c:cat>
            <c:strRef>
              <c:f>Examples!$A$34:$A$36</c:f>
              <c:strCache>
                <c:ptCount val="3"/>
                <c:pt idx="0">
                  <c:v>1975-76</c:v>
                </c:pt>
                <c:pt idx="1">
                  <c:v>1983-84</c:v>
                </c:pt>
                <c:pt idx="2">
                  <c:v>1988-89</c:v>
                </c:pt>
              </c:strCache>
            </c:strRef>
          </c:cat>
          <c:val>
            <c:numRef>
              <c:f>Examples!$B$34:$B$36</c:f>
              <c:numCache>
                <c:formatCode>General</c:formatCode>
                <c:ptCount val="3"/>
                <c:pt idx="0">
                  <c:v>36.19</c:v>
                </c:pt>
                <c:pt idx="1">
                  <c:v>39.39</c:v>
                </c:pt>
                <c:pt idx="2">
                  <c:v>42.78</c:v>
                </c:pt>
              </c:numCache>
            </c:numRef>
          </c:val>
          <c:extLst>
            <c:ext xmlns:c16="http://schemas.microsoft.com/office/drawing/2014/chart" uri="{C3380CC4-5D6E-409C-BE32-E72D297353CC}">
              <c16:uniqueId val="{00000000-26CF-4B47-95E0-5E6231023CD9}"/>
            </c:ext>
          </c:extLst>
        </c:ser>
        <c:ser>
          <c:idx val="1"/>
          <c:order val="1"/>
          <c:tx>
            <c:strRef>
              <c:f>Examples!$C$33</c:f>
              <c:strCache>
                <c:ptCount val="1"/>
                <c:pt idx="0">
                  <c:v>Mid Grey</c:v>
                </c:pt>
              </c:strCache>
            </c:strRef>
          </c:tx>
          <c:spPr>
            <a:solidFill>
              <a:srgbClr val="A0A09A"/>
            </a:solidFill>
            <a:ln w="25400">
              <a:noFill/>
            </a:ln>
          </c:spPr>
          <c:invertIfNegative val="0"/>
          <c:cat>
            <c:strRef>
              <c:f>Examples!$A$34:$A$36</c:f>
              <c:strCache>
                <c:ptCount val="3"/>
                <c:pt idx="0">
                  <c:v>1975-76</c:v>
                </c:pt>
                <c:pt idx="1">
                  <c:v>1983-84</c:v>
                </c:pt>
                <c:pt idx="2">
                  <c:v>1988-89</c:v>
                </c:pt>
              </c:strCache>
            </c:strRef>
          </c:cat>
          <c:val>
            <c:numRef>
              <c:f>Examples!$C$34:$C$36</c:f>
              <c:numCache>
                <c:formatCode>General</c:formatCode>
                <c:ptCount val="3"/>
                <c:pt idx="0">
                  <c:v>36.880000000000003</c:v>
                </c:pt>
                <c:pt idx="1">
                  <c:v>32.020000000000003</c:v>
                </c:pt>
                <c:pt idx="2">
                  <c:v>29.91</c:v>
                </c:pt>
              </c:numCache>
            </c:numRef>
          </c:val>
          <c:extLst>
            <c:ext xmlns:c16="http://schemas.microsoft.com/office/drawing/2014/chart" uri="{C3380CC4-5D6E-409C-BE32-E72D297353CC}">
              <c16:uniqueId val="{00000001-26CF-4B47-95E0-5E6231023CD9}"/>
            </c:ext>
          </c:extLst>
        </c:ser>
        <c:ser>
          <c:idx val="2"/>
          <c:order val="2"/>
          <c:tx>
            <c:strRef>
              <c:f>Examples!$D$33</c:f>
              <c:strCache>
                <c:ptCount val="1"/>
                <c:pt idx="0">
                  <c:v>Pale Blue</c:v>
                </c:pt>
              </c:strCache>
            </c:strRef>
          </c:tx>
          <c:spPr>
            <a:solidFill>
              <a:srgbClr val="CBD4D9"/>
            </a:solidFill>
            <a:ln w="25400">
              <a:noFill/>
            </a:ln>
          </c:spPr>
          <c:invertIfNegative val="0"/>
          <c:cat>
            <c:strRef>
              <c:f>Examples!$A$34:$A$36</c:f>
              <c:strCache>
                <c:ptCount val="3"/>
                <c:pt idx="0">
                  <c:v>1975-76</c:v>
                </c:pt>
                <c:pt idx="1">
                  <c:v>1983-84</c:v>
                </c:pt>
                <c:pt idx="2">
                  <c:v>1988-89</c:v>
                </c:pt>
              </c:strCache>
            </c:strRef>
          </c:cat>
          <c:val>
            <c:numRef>
              <c:f>Examples!$D$34:$D$36</c:f>
              <c:numCache>
                <c:formatCode>General</c:formatCode>
                <c:ptCount val="3"/>
                <c:pt idx="0">
                  <c:v>21.56</c:v>
                </c:pt>
                <c:pt idx="1">
                  <c:v>21.6</c:v>
                </c:pt>
                <c:pt idx="2">
                  <c:v>18.350000000000001</c:v>
                </c:pt>
              </c:numCache>
            </c:numRef>
          </c:val>
          <c:extLst>
            <c:ext xmlns:c16="http://schemas.microsoft.com/office/drawing/2014/chart" uri="{C3380CC4-5D6E-409C-BE32-E72D297353CC}">
              <c16:uniqueId val="{00000002-26CF-4B47-95E0-5E6231023CD9}"/>
            </c:ext>
          </c:extLst>
        </c:ser>
        <c:ser>
          <c:idx val="3"/>
          <c:order val="3"/>
          <c:tx>
            <c:strRef>
              <c:f>Examples!$E$33</c:f>
              <c:strCache>
                <c:ptCount val="1"/>
                <c:pt idx="0">
                  <c:v>Green</c:v>
                </c:pt>
              </c:strCache>
            </c:strRef>
          </c:tx>
          <c:spPr>
            <a:solidFill>
              <a:srgbClr val="46B849"/>
            </a:solidFill>
            <a:ln w="25400">
              <a:noFill/>
            </a:ln>
          </c:spPr>
          <c:invertIfNegative val="0"/>
          <c:cat>
            <c:strRef>
              <c:f>Examples!$A$34:$A$36</c:f>
              <c:strCache>
                <c:ptCount val="3"/>
                <c:pt idx="0">
                  <c:v>1975-76</c:v>
                </c:pt>
                <c:pt idx="1">
                  <c:v>1983-84</c:v>
                </c:pt>
                <c:pt idx="2">
                  <c:v>1988-89</c:v>
                </c:pt>
              </c:strCache>
            </c:strRef>
          </c:cat>
          <c:val>
            <c:numRef>
              <c:f>Examples!$E$34:$E$36</c:f>
              <c:numCache>
                <c:formatCode>General</c:formatCode>
                <c:ptCount val="3"/>
                <c:pt idx="0">
                  <c:v>5.36</c:v>
                </c:pt>
                <c:pt idx="1">
                  <c:v>7.01</c:v>
                </c:pt>
                <c:pt idx="2">
                  <c:v>6.33</c:v>
                </c:pt>
              </c:numCache>
            </c:numRef>
          </c:val>
          <c:extLst>
            <c:ext xmlns:c16="http://schemas.microsoft.com/office/drawing/2014/chart" uri="{C3380CC4-5D6E-409C-BE32-E72D297353CC}">
              <c16:uniqueId val="{00000003-26CF-4B47-95E0-5E6231023CD9}"/>
            </c:ext>
          </c:extLst>
        </c:ser>
        <c:ser>
          <c:idx val="4"/>
          <c:order val="4"/>
          <c:tx>
            <c:strRef>
              <c:f>Examples!$F$33</c:f>
              <c:strCache>
                <c:ptCount val="1"/>
                <c:pt idx="0">
                  <c:v>Charcoal</c:v>
                </c:pt>
              </c:strCache>
            </c:strRef>
          </c:tx>
          <c:spPr>
            <a:solidFill>
              <a:srgbClr val="212122"/>
            </a:solidFill>
            <a:ln w="25400">
              <a:noFill/>
            </a:ln>
          </c:spPr>
          <c:invertIfNegative val="0"/>
          <c:cat>
            <c:strRef>
              <c:f>Examples!$A$34:$A$36</c:f>
              <c:strCache>
                <c:ptCount val="3"/>
                <c:pt idx="0">
                  <c:v>1975-76</c:v>
                </c:pt>
                <c:pt idx="1">
                  <c:v>1983-84</c:v>
                </c:pt>
                <c:pt idx="2">
                  <c:v>1988-89</c:v>
                </c:pt>
              </c:strCache>
            </c:strRef>
          </c:cat>
          <c:val>
            <c:numRef>
              <c:f>Examples!$F$34:$F$36</c:f>
              <c:numCache>
                <c:formatCode>General</c:formatCode>
                <c:ptCount val="3"/>
                <c:pt idx="0">
                  <c:v>3.01</c:v>
                </c:pt>
                <c:pt idx="1">
                  <c:v>3.36</c:v>
                </c:pt>
                <c:pt idx="2">
                  <c:v>2.63</c:v>
                </c:pt>
              </c:numCache>
            </c:numRef>
          </c:val>
          <c:extLst>
            <c:ext xmlns:c16="http://schemas.microsoft.com/office/drawing/2014/chart" uri="{C3380CC4-5D6E-409C-BE32-E72D297353CC}">
              <c16:uniqueId val="{00000004-26CF-4B47-95E0-5E6231023CD9}"/>
            </c:ext>
          </c:extLst>
        </c:ser>
        <c:ser>
          <c:idx val="5"/>
          <c:order val="5"/>
          <c:tx>
            <c:strRef>
              <c:f>Examples!$G$33</c:f>
              <c:strCache>
                <c:ptCount val="1"/>
                <c:pt idx="0">
                  <c:v>Orange</c:v>
                </c:pt>
              </c:strCache>
            </c:strRef>
          </c:tx>
          <c:spPr>
            <a:solidFill>
              <a:srgbClr val="F68B1F"/>
            </a:solidFill>
            <a:ln w="25400">
              <a:noFill/>
            </a:ln>
          </c:spPr>
          <c:invertIfNegative val="0"/>
          <c:cat>
            <c:strRef>
              <c:f>Examples!$A$34:$A$36</c:f>
              <c:strCache>
                <c:ptCount val="3"/>
                <c:pt idx="0">
                  <c:v>1975-76</c:v>
                </c:pt>
                <c:pt idx="1">
                  <c:v>1983-84</c:v>
                </c:pt>
                <c:pt idx="2">
                  <c:v>1988-89</c:v>
                </c:pt>
              </c:strCache>
            </c:strRef>
          </c:cat>
          <c:val>
            <c:numRef>
              <c:f>Examples!$G$34:$G$36</c:f>
              <c:numCache>
                <c:formatCode>General</c:formatCode>
                <c:ptCount val="3"/>
                <c:pt idx="0">
                  <c:v>10</c:v>
                </c:pt>
                <c:pt idx="1">
                  <c:v>12</c:v>
                </c:pt>
                <c:pt idx="2">
                  <c:v>14</c:v>
                </c:pt>
              </c:numCache>
            </c:numRef>
          </c:val>
          <c:extLst>
            <c:ext xmlns:c16="http://schemas.microsoft.com/office/drawing/2014/chart" uri="{C3380CC4-5D6E-409C-BE32-E72D297353CC}">
              <c16:uniqueId val="{00000005-26CF-4B47-95E0-5E6231023CD9}"/>
            </c:ext>
          </c:extLst>
        </c:ser>
        <c:ser>
          <c:idx val="6"/>
          <c:order val="6"/>
          <c:tx>
            <c:strRef>
              <c:f>Examples!$H$33</c:f>
              <c:strCache>
                <c:ptCount val="1"/>
                <c:pt idx="0">
                  <c:v>Purple</c:v>
                </c:pt>
              </c:strCache>
            </c:strRef>
          </c:tx>
          <c:spPr>
            <a:solidFill>
              <a:srgbClr val="8F439B"/>
            </a:solidFill>
            <a:ln w="25400">
              <a:noFill/>
            </a:ln>
          </c:spPr>
          <c:invertIfNegative val="0"/>
          <c:cat>
            <c:strRef>
              <c:f>Examples!$A$34:$A$36</c:f>
              <c:strCache>
                <c:ptCount val="3"/>
                <c:pt idx="0">
                  <c:v>1975-76</c:v>
                </c:pt>
                <c:pt idx="1">
                  <c:v>1983-84</c:v>
                </c:pt>
                <c:pt idx="2">
                  <c:v>1988-89</c:v>
                </c:pt>
              </c:strCache>
            </c:strRef>
          </c:cat>
          <c:val>
            <c:numRef>
              <c:f>Examples!$H$34:$H$36</c:f>
              <c:numCache>
                <c:formatCode>General</c:formatCode>
                <c:ptCount val="3"/>
                <c:pt idx="0">
                  <c:v>3.01</c:v>
                </c:pt>
                <c:pt idx="1">
                  <c:v>3.36</c:v>
                </c:pt>
                <c:pt idx="2">
                  <c:v>2.63</c:v>
                </c:pt>
              </c:numCache>
            </c:numRef>
          </c:val>
          <c:extLst>
            <c:ext xmlns:c16="http://schemas.microsoft.com/office/drawing/2014/chart" uri="{C3380CC4-5D6E-409C-BE32-E72D297353CC}">
              <c16:uniqueId val="{00000006-26CF-4B47-95E0-5E6231023CD9}"/>
            </c:ext>
          </c:extLst>
        </c:ser>
        <c:ser>
          <c:idx val="7"/>
          <c:order val="7"/>
          <c:tx>
            <c:strRef>
              <c:f>Examples!$I$33</c:f>
              <c:strCache>
                <c:ptCount val="1"/>
                <c:pt idx="0">
                  <c:v>Pink</c:v>
                </c:pt>
              </c:strCache>
            </c:strRef>
          </c:tx>
          <c:spPr>
            <a:solidFill>
              <a:srgbClr val="EDA6A8"/>
            </a:solidFill>
            <a:ln w="25400">
              <a:noFill/>
            </a:ln>
          </c:spPr>
          <c:invertIfNegative val="0"/>
          <c:cat>
            <c:strRef>
              <c:f>Examples!$A$34:$A$36</c:f>
              <c:strCache>
                <c:ptCount val="3"/>
                <c:pt idx="0">
                  <c:v>1975-76</c:v>
                </c:pt>
                <c:pt idx="1">
                  <c:v>1983-84</c:v>
                </c:pt>
                <c:pt idx="2">
                  <c:v>1988-89</c:v>
                </c:pt>
              </c:strCache>
            </c:strRef>
          </c:cat>
          <c:val>
            <c:numRef>
              <c:f>Examples!$I$34:$I$36</c:f>
              <c:numCache>
                <c:formatCode>General</c:formatCode>
                <c:ptCount val="3"/>
                <c:pt idx="0">
                  <c:v>10</c:v>
                </c:pt>
                <c:pt idx="1">
                  <c:v>12</c:v>
                </c:pt>
                <c:pt idx="2">
                  <c:v>14</c:v>
                </c:pt>
              </c:numCache>
            </c:numRef>
          </c:val>
          <c:extLst>
            <c:ext xmlns:c16="http://schemas.microsoft.com/office/drawing/2014/chart" uri="{C3380CC4-5D6E-409C-BE32-E72D297353CC}">
              <c16:uniqueId val="{00000007-26CF-4B47-95E0-5E6231023CD9}"/>
            </c:ext>
          </c:extLst>
        </c:ser>
        <c:dLbls>
          <c:showLegendKey val="0"/>
          <c:showVal val="0"/>
          <c:showCatName val="0"/>
          <c:showSerName val="0"/>
          <c:showPercent val="0"/>
          <c:showBubbleSize val="0"/>
        </c:dLbls>
        <c:gapWidth val="150"/>
        <c:overlap val="100"/>
        <c:axId val="684298984"/>
        <c:axId val="684299376"/>
      </c:barChart>
      <c:catAx>
        <c:axId val="684298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en-US"/>
          </a:p>
        </c:txPr>
        <c:crossAx val="684299376"/>
        <c:crosses val="autoZero"/>
        <c:auto val="1"/>
        <c:lblAlgn val="ctr"/>
        <c:lblOffset val="100"/>
        <c:tickLblSkip val="1"/>
        <c:tickMarkSkip val="1"/>
        <c:noMultiLvlLbl val="0"/>
      </c:catAx>
      <c:valAx>
        <c:axId val="684299376"/>
        <c:scaling>
          <c:orientation val="minMax"/>
        </c:scaling>
        <c:delete val="0"/>
        <c:axPos val="l"/>
        <c:majorGridlines>
          <c:spPr>
            <a:ln w="3175">
              <a:solidFill>
                <a:srgbClr val="000000"/>
              </a:solidFill>
              <a:prstDash val="solid"/>
            </a:ln>
          </c:spPr>
        </c:majorGridlines>
        <c:numFmt formatCode="General" sourceLinked="1"/>
        <c:majorTickMark val="none"/>
        <c:minorTickMark val="none"/>
        <c:tickLblPos val="nextTo"/>
        <c:spPr>
          <a:ln w="9525">
            <a:noFill/>
          </a:ln>
        </c:spPr>
        <c:txPr>
          <a:bodyPr rot="0" vert="horz"/>
          <a:lstStyle/>
          <a:p>
            <a:pPr>
              <a:defRPr/>
            </a:pPr>
            <a:endParaRPr lang="en-US"/>
          </a:p>
        </c:txPr>
        <c:crossAx val="684298984"/>
        <c:crosses val="autoZero"/>
        <c:crossBetween val="between"/>
      </c:valAx>
      <c:spPr>
        <a:solidFill>
          <a:srgbClr val="FFFFFF"/>
        </a:solidFill>
        <a:ln w="25400">
          <a:noFill/>
        </a:ln>
      </c:spPr>
    </c:plotArea>
    <c:legend>
      <c:legendPos val="r"/>
      <c:layout>
        <c:manualLayout>
          <c:xMode val="edge"/>
          <c:yMode val="edge"/>
          <c:x val="0.86385694628367304"/>
          <c:y val="2.2364330639842781E-2"/>
          <c:w val="0.11204839052215008"/>
          <c:h val="0.81789552054282166"/>
        </c:manualLayout>
      </c:layout>
      <c:overlay val="0"/>
      <c:spPr>
        <a:no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pitchFamily="34" charset="0"/>
          <a:ea typeface="Myriad Pro"/>
          <a:cs typeface="Arial" pitchFamily="34" charset="0"/>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7248576850095"/>
          <c:y val="4.5627376425855515E-2"/>
          <c:w val="0.84060721062618593"/>
          <c:h val="0.82509505703422048"/>
        </c:manualLayout>
      </c:layout>
      <c:barChart>
        <c:barDir val="bar"/>
        <c:grouping val="clustered"/>
        <c:varyColors val="0"/>
        <c:ser>
          <c:idx val="2"/>
          <c:order val="0"/>
          <c:tx>
            <c:strRef>
              <c:f>Examples!$A$34</c:f>
              <c:strCache>
                <c:ptCount val="1"/>
                <c:pt idx="0">
                  <c:v>1975-76</c:v>
                </c:pt>
              </c:strCache>
            </c:strRef>
          </c:tx>
          <c:spPr>
            <a:solidFill>
              <a:srgbClr val="007BC4"/>
            </a:solidFill>
            <a:ln w="25400">
              <a:noFill/>
            </a:ln>
          </c:spPr>
          <c:invertIfNegative val="0"/>
          <c:cat>
            <c:strRef>
              <c:f>Examples!$B$33:$E$33</c:f>
              <c:strCache>
                <c:ptCount val="4"/>
                <c:pt idx="0">
                  <c:v>Blue</c:v>
                </c:pt>
                <c:pt idx="1">
                  <c:v>Mid Grey</c:v>
                </c:pt>
                <c:pt idx="2">
                  <c:v>Pale Blue</c:v>
                </c:pt>
                <c:pt idx="3">
                  <c:v>Green</c:v>
                </c:pt>
              </c:strCache>
            </c:strRef>
          </c:cat>
          <c:val>
            <c:numRef>
              <c:f>Examples!$B$34:$E$34</c:f>
              <c:numCache>
                <c:formatCode>General</c:formatCode>
                <c:ptCount val="4"/>
                <c:pt idx="0">
                  <c:v>36.19</c:v>
                </c:pt>
                <c:pt idx="1">
                  <c:v>36.880000000000003</c:v>
                </c:pt>
                <c:pt idx="2">
                  <c:v>21.56</c:v>
                </c:pt>
                <c:pt idx="3">
                  <c:v>5.36</c:v>
                </c:pt>
              </c:numCache>
            </c:numRef>
          </c:val>
          <c:extLst>
            <c:ext xmlns:c16="http://schemas.microsoft.com/office/drawing/2014/chart" uri="{C3380CC4-5D6E-409C-BE32-E72D297353CC}">
              <c16:uniqueId val="{00000000-7558-4D69-A61D-1A73B1533F5E}"/>
            </c:ext>
          </c:extLst>
        </c:ser>
        <c:ser>
          <c:idx val="1"/>
          <c:order val="1"/>
          <c:tx>
            <c:strRef>
              <c:f>Examples!$A$35</c:f>
              <c:strCache>
                <c:ptCount val="1"/>
                <c:pt idx="0">
                  <c:v>1983-84</c:v>
                </c:pt>
              </c:strCache>
            </c:strRef>
          </c:tx>
          <c:spPr>
            <a:solidFill>
              <a:srgbClr val="A0A09A"/>
            </a:solidFill>
            <a:ln w="25400">
              <a:noFill/>
            </a:ln>
          </c:spPr>
          <c:invertIfNegative val="0"/>
          <c:cat>
            <c:strRef>
              <c:f>Examples!$B$33:$E$33</c:f>
              <c:strCache>
                <c:ptCount val="4"/>
                <c:pt idx="0">
                  <c:v>Blue</c:v>
                </c:pt>
                <c:pt idx="1">
                  <c:v>Mid Grey</c:v>
                </c:pt>
                <c:pt idx="2">
                  <c:v>Pale Blue</c:v>
                </c:pt>
                <c:pt idx="3">
                  <c:v>Green</c:v>
                </c:pt>
              </c:strCache>
            </c:strRef>
          </c:cat>
          <c:val>
            <c:numRef>
              <c:f>Examples!$B$35:$E$35</c:f>
              <c:numCache>
                <c:formatCode>General</c:formatCode>
                <c:ptCount val="4"/>
                <c:pt idx="0">
                  <c:v>39.39</c:v>
                </c:pt>
                <c:pt idx="1">
                  <c:v>32.020000000000003</c:v>
                </c:pt>
                <c:pt idx="2">
                  <c:v>21.6</c:v>
                </c:pt>
                <c:pt idx="3">
                  <c:v>7.01</c:v>
                </c:pt>
              </c:numCache>
            </c:numRef>
          </c:val>
          <c:extLst>
            <c:ext xmlns:c16="http://schemas.microsoft.com/office/drawing/2014/chart" uri="{C3380CC4-5D6E-409C-BE32-E72D297353CC}">
              <c16:uniqueId val="{00000001-7558-4D69-A61D-1A73B1533F5E}"/>
            </c:ext>
          </c:extLst>
        </c:ser>
        <c:ser>
          <c:idx val="0"/>
          <c:order val="2"/>
          <c:tx>
            <c:strRef>
              <c:f>Examples!$A$36</c:f>
              <c:strCache>
                <c:ptCount val="1"/>
                <c:pt idx="0">
                  <c:v>1988-89</c:v>
                </c:pt>
              </c:strCache>
            </c:strRef>
          </c:tx>
          <c:spPr>
            <a:solidFill>
              <a:srgbClr val="CBD4D9"/>
            </a:solidFill>
            <a:ln w="25400">
              <a:noFill/>
            </a:ln>
          </c:spPr>
          <c:invertIfNegative val="0"/>
          <c:cat>
            <c:strRef>
              <c:f>Examples!$B$33:$E$33</c:f>
              <c:strCache>
                <c:ptCount val="4"/>
                <c:pt idx="0">
                  <c:v>Blue</c:v>
                </c:pt>
                <c:pt idx="1">
                  <c:v>Mid Grey</c:v>
                </c:pt>
                <c:pt idx="2">
                  <c:v>Pale Blue</c:v>
                </c:pt>
                <c:pt idx="3">
                  <c:v>Green</c:v>
                </c:pt>
              </c:strCache>
            </c:strRef>
          </c:cat>
          <c:val>
            <c:numRef>
              <c:f>Examples!$B$36:$E$36</c:f>
              <c:numCache>
                <c:formatCode>General</c:formatCode>
                <c:ptCount val="4"/>
                <c:pt idx="0">
                  <c:v>42.78</c:v>
                </c:pt>
                <c:pt idx="1">
                  <c:v>29.91</c:v>
                </c:pt>
                <c:pt idx="2">
                  <c:v>18.350000000000001</c:v>
                </c:pt>
                <c:pt idx="3">
                  <c:v>6.33</c:v>
                </c:pt>
              </c:numCache>
            </c:numRef>
          </c:val>
          <c:extLst>
            <c:ext xmlns:c16="http://schemas.microsoft.com/office/drawing/2014/chart" uri="{C3380CC4-5D6E-409C-BE32-E72D297353CC}">
              <c16:uniqueId val="{00000002-7558-4D69-A61D-1A73B1533F5E}"/>
            </c:ext>
          </c:extLst>
        </c:ser>
        <c:ser>
          <c:idx val="3"/>
          <c:order val="3"/>
          <c:tx>
            <c:strRef>
              <c:f>Examples!$A$37</c:f>
              <c:strCache>
                <c:ptCount val="1"/>
                <c:pt idx="0">
                  <c:v>1993-94</c:v>
                </c:pt>
              </c:strCache>
            </c:strRef>
          </c:tx>
          <c:spPr>
            <a:solidFill>
              <a:srgbClr val="46B849"/>
            </a:solidFill>
            <a:ln w="25400">
              <a:noFill/>
            </a:ln>
          </c:spPr>
          <c:invertIfNegative val="0"/>
          <c:cat>
            <c:strRef>
              <c:f>Examples!$B$33:$E$33</c:f>
              <c:strCache>
                <c:ptCount val="4"/>
                <c:pt idx="0">
                  <c:v>Blue</c:v>
                </c:pt>
                <c:pt idx="1">
                  <c:v>Mid Grey</c:v>
                </c:pt>
                <c:pt idx="2">
                  <c:v>Pale Blue</c:v>
                </c:pt>
                <c:pt idx="3">
                  <c:v>Green</c:v>
                </c:pt>
              </c:strCache>
            </c:strRef>
          </c:cat>
          <c:val>
            <c:numRef>
              <c:f>Examples!$B$37:$E$37</c:f>
              <c:numCache>
                <c:formatCode>General</c:formatCode>
                <c:ptCount val="4"/>
                <c:pt idx="0">
                  <c:v>42.13</c:v>
                </c:pt>
                <c:pt idx="1">
                  <c:v>26.53</c:v>
                </c:pt>
                <c:pt idx="2">
                  <c:v>21.6</c:v>
                </c:pt>
                <c:pt idx="3">
                  <c:v>7.01</c:v>
                </c:pt>
              </c:numCache>
            </c:numRef>
          </c:val>
          <c:extLst>
            <c:ext xmlns:c16="http://schemas.microsoft.com/office/drawing/2014/chart" uri="{C3380CC4-5D6E-409C-BE32-E72D297353CC}">
              <c16:uniqueId val="{00000003-7558-4D69-A61D-1A73B1533F5E}"/>
            </c:ext>
          </c:extLst>
        </c:ser>
        <c:ser>
          <c:idx val="4"/>
          <c:order val="4"/>
          <c:tx>
            <c:strRef>
              <c:f>Examples!$A$38</c:f>
              <c:strCache>
                <c:ptCount val="1"/>
                <c:pt idx="0">
                  <c:v>1996-97</c:v>
                </c:pt>
              </c:strCache>
            </c:strRef>
          </c:tx>
          <c:spPr>
            <a:solidFill>
              <a:srgbClr val="212122"/>
            </a:solidFill>
            <a:ln w="25400">
              <a:noFill/>
            </a:ln>
          </c:spPr>
          <c:invertIfNegative val="0"/>
          <c:cat>
            <c:strRef>
              <c:f>Examples!$B$33:$E$33</c:f>
              <c:strCache>
                <c:ptCount val="4"/>
                <c:pt idx="0">
                  <c:v>Blue</c:v>
                </c:pt>
                <c:pt idx="1">
                  <c:v>Mid Grey</c:v>
                </c:pt>
                <c:pt idx="2">
                  <c:v>Pale Blue</c:v>
                </c:pt>
                <c:pt idx="3">
                  <c:v>Green</c:v>
                </c:pt>
              </c:strCache>
            </c:strRef>
          </c:cat>
          <c:val>
            <c:numRef>
              <c:f>Examples!$B$38:$E$38</c:f>
              <c:numCache>
                <c:formatCode>General</c:formatCode>
                <c:ptCount val="4"/>
                <c:pt idx="0">
                  <c:v>41.69</c:v>
                </c:pt>
                <c:pt idx="1">
                  <c:v>24.76</c:v>
                </c:pt>
                <c:pt idx="2">
                  <c:v>23.98</c:v>
                </c:pt>
                <c:pt idx="3">
                  <c:v>7</c:v>
                </c:pt>
              </c:numCache>
            </c:numRef>
          </c:val>
          <c:extLst>
            <c:ext xmlns:c16="http://schemas.microsoft.com/office/drawing/2014/chart" uri="{C3380CC4-5D6E-409C-BE32-E72D297353CC}">
              <c16:uniqueId val="{00000004-7558-4D69-A61D-1A73B1533F5E}"/>
            </c:ext>
          </c:extLst>
        </c:ser>
        <c:ser>
          <c:idx val="5"/>
          <c:order val="5"/>
          <c:tx>
            <c:strRef>
              <c:f>Examples!$A$39</c:f>
              <c:strCache>
                <c:ptCount val="1"/>
                <c:pt idx="0">
                  <c:v>1997-98</c:v>
                </c:pt>
              </c:strCache>
            </c:strRef>
          </c:tx>
          <c:spPr>
            <a:solidFill>
              <a:srgbClr val="F68B1F"/>
            </a:solidFill>
            <a:ln w="25400">
              <a:noFill/>
            </a:ln>
          </c:spPr>
          <c:invertIfNegative val="0"/>
          <c:cat>
            <c:strRef>
              <c:f>Examples!$B$33:$E$33</c:f>
              <c:strCache>
                <c:ptCount val="4"/>
                <c:pt idx="0">
                  <c:v>Blue</c:v>
                </c:pt>
                <c:pt idx="1">
                  <c:v>Mid Grey</c:v>
                </c:pt>
                <c:pt idx="2">
                  <c:v>Pale Blue</c:v>
                </c:pt>
                <c:pt idx="3">
                  <c:v>Green</c:v>
                </c:pt>
              </c:strCache>
            </c:strRef>
          </c:cat>
          <c:val>
            <c:numRef>
              <c:f>Examples!$B$39:$E$39</c:f>
              <c:numCache>
                <c:formatCode>General</c:formatCode>
                <c:ptCount val="4"/>
                <c:pt idx="0">
                  <c:v>39.39</c:v>
                </c:pt>
                <c:pt idx="1">
                  <c:v>32.020000000000003</c:v>
                </c:pt>
                <c:pt idx="2">
                  <c:v>21.6</c:v>
                </c:pt>
                <c:pt idx="3">
                  <c:v>7.01</c:v>
                </c:pt>
              </c:numCache>
            </c:numRef>
          </c:val>
          <c:extLst>
            <c:ext xmlns:c16="http://schemas.microsoft.com/office/drawing/2014/chart" uri="{C3380CC4-5D6E-409C-BE32-E72D297353CC}">
              <c16:uniqueId val="{00000005-7558-4D69-A61D-1A73B1533F5E}"/>
            </c:ext>
          </c:extLst>
        </c:ser>
        <c:ser>
          <c:idx val="6"/>
          <c:order val="6"/>
          <c:tx>
            <c:strRef>
              <c:f>Examples!$A$40</c:f>
              <c:strCache>
                <c:ptCount val="1"/>
                <c:pt idx="0">
                  <c:v>1998-99</c:v>
                </c:pt>
              </c:strCache>
            </c:strRef>
          </c:tx>
          <c:spPr>
            <a:solidFill>
              <a:srgbClr val="8F439B"/>
            </a:solidFill>
            <a:ln w="25400">
              <a:noFill/>
            </a:ln>
          </c:spPr>
          <c:invertIfNegative val="0"/>
          <c:cat>
            <c:strRef>
              <c:f>Examples!$B$33:$E$33</c:f>
              <c:strCache>
                <c:ptCount val="4"/>
                <c:pt idx="0">
                  <c:v>Blue</c:v>
                </c:pt>
                <c:pt idx="1">
                  <c:v>Mid Grey</c:v>
                </c:pt>
                <c:pt idx="2">
                  <c:v>Pale Blue</c:v>
                </c:pt>
                <c:pt idx="3">
                  <c:v>Green</c:v>
                </c:pt>
              </c:strCache>
            </c:strRef>
          </c:cat>
          <c:val>
            <c:numRef>
              <c:f>Examples!$B$40:$E$40</c:f>
              <c:numCache>
                <c:formatCode>General</c:formatCode>
                <c:ptCount val="4"/>
                <c:pt idx="0">
                  <c:v>42.13</c:v>
                </c:pt>
                <c:pt idx="1">
                  <c:v>26.53</c:v>
                </c:pt>
                <c:pt idx="2">
                  <c:v>21.6</c:v>
                </c:pt>
                <c:pt idx="3">
                  <c:v>7.01</c:v>
                </c:pt>
              </c:numCache>
            </c:numRef>
          </c:val>
          <c:extLst>
            <c:ext xmlns:c16="http://schemas.microsoft.com/office/drawing/2014/chart" uri="{C3380CC4-5D6E-409C-BE32-E72D297353CC}">
              <c16:uniqueId val="{00000006-7558-4D69-A61D-1A73B1533F5E}"/>
            </c:ext>
          </c:extLst>
        </c:ser>
        <c:ser>
          <c:idx val="7"/>
          <c:order val="7"/>
          <c:tx>
            <c:strRef>
              <c:f>Examples!$A$41</c:f>
              <c:strCache>
                <c:ptCount val="1"/>
                <c:pt idx="0">
                  <c:v>1999-00</c:v>
                </c:pt>
              </c:strCache>
            </c:strRef>
          </c:tx>
          <c:spPr>
            <a:solidFill>
              <a:srgbClr val="EDA6A8"/>
            </a:solidFill>
            <a:ln w="25400">
              <a:noFill/>
            </a:ln>
          </c:spPr>
          <c:invertIfNegative val="0"/>
          <c:cat>
            <c:strRef>
              <c:f>Examples!$B$33:$E$33</c:f>
              <c:strCache>
                <c:ptCount val="4"/>
                <c:pt idx="0">
                  <c:v>Blue</c:v>
                </c:pt>
                <c:pt idx="1">
                  <c:v>Mid Grey</c:v>
                </c:pt>
                <c:pt idx="2">
                  <c:v>Pale Blue</c:v>
                </c:pt>
                <c:pt idx="3">
                  <c:v>Green</c:v>
                </c:pt>
              </c:strCache>
            </c:strRef>
          </c:cat>
          <c:val>
            <c:numRef>
              <c:f>Examples!$B$41:$E$41</c:f>
              <c:numCache>
                <c:formatCode>General</c:formatCode>
                <c:ptCount val="4"/>
                <c:pt idx="0">
                  <c:v>45</c:v>
                </c:pt>
                <c:pt idx="1">
                  <c:v>22</c:v>
                </c:pt>
                <c:pt idx="2">
                  <c:v>26</c:v>
                </c:pt>
                <c:pt idx="3">
                  <c:v>8</c:v>
                </c:pt>
              </c:numCache>
            </c:numRef>
          </c:val>
          <c:extLst>
            <c:ext xmlns:c16="http://schemas.microsoft.com/office/drawing/2014/chart" uri="{C3380CC4-5D6E-409C-BE32-E72D297353CC}">
              <c16:uniqueId val="{00000007-7558-4D69-A61D-1A73B1533F5E}"/>
            </c:ext>
          </c:extLst>
        </c:ser>
        <c:dLbls>
          <c:showLegendKey val="0"/>
          <c:showVal val="0"/>
          <c:showCatName val="0"/>
          <c:showSerName val="0"/>
          <c:showPercent val="0"/>
          <c:showBubbleSize val="0"/>
        </c:dLbls>
        <c:gapWidth val="150"/>
        <c:axId val="684300944"/>
        <c:axId val="684301728"/>
      </c:barChart>
      <c:catAx>
        <c:axId val="68430094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a:pPr>
            <a:endParaRPr lang="en-US"/>
          </a:p>
        </c:txPr>
        <c:crossAx val="684301728"/>
        <c:crosses val="autoZero"/>
        <c:auto val="1"/>
        <c:lblAlgn val="ctr"/>
        <c:lblOffset val="100"/>
        <c:tickLblSkip val="1"/>
        <c:tickMarkSkip val="1"/>
        <c:noMultiLvlLbl val="0"/>
      </c:catAx>
      <c:valAx>
        <c:axId val="684301728"/>
        <c:scaling>
          <c:orientation val="minMax"/>
        </c:scaling>
        <c:delete val="0"/>
        <c:axPos val="b"/>
        <c:majorGridlines>
          <c:spPr>
            <a:ln w="3175">
              <a:solidFill>
                <a:srgbClr val="000000"/>
              </a:solidFill>
              <a:prstDash val="solid"/>
            </a:ln>
          </c:spPr>
        </c:majorGridlines>
        <c:numFmt formatCode="General" sourceLinked="1"/>
        <c:majorTickMark val="none"/>
        <c:minorTickMark val="none"/>
        <c:tickLblPos val="nextTo"/>
        <c:spPr>
          <a:ln w="9525">
            <a:noFill/>
          </a:ln>
        </c:spPr>
        <c:txPr>
          <a:bodyPr rot="0" vert="horz"/>
          <a:lstStyle/>
          <a:p>
            <a:pPr>
              <a:defRPr/>
            </a:pPr>
            <a:endParaRPr lang="en-US"/>
          </a:p>
        </c:txPr>
        <c:crossAx val="684300944"/>
        <c:crosses val="max"/>
        <c:crossBetween val="between"/>
      </c:valAx>
      <c:spPr>
        <a:solidFill>
          <a:srgbClr val="FFFFFF"/>
        </a:solidFill>
        <a:ln w="25400">
          <a:noFill/>
        </a:ln>
      </c:spPr>
    </c:plotArea>
    <c:legend>
      <c:legendPos val="r"/>
      <c:layout>
        <c:manualLayout>
          <c:xMode val="edge"/>
          <c:yMode val="edge"/>
          <c:x val="0.79759176909315421"/>
          <c:y val="0.23397536594841806"/>
          <c:w val="0.10240981929443824"/>
          <c:h val="0.564104991875637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pitchFamily="34" charset="0"/>
          <a:ea typeface="Myriad Pro"/>
          <a:cs typeface="Arial" pitchFamily="34" charset="0"/>
        </a:defRPr>
      </a:pPr>
      <a:endParaRPr lang="en-US"/>
    </a:p>
  </c:txPr>
  <c:printSettings>
    <c:headerFooter alignWithMargins="0"/>
    <c:pageMargins b="0.98425196850393704" l="0.74803149606299213" r="0.74803149606299213" t="0.98425196850393704" header="0.51181102362204722" footer="0.51181102362204722"/>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2141752415094E-2"/>
          <c:y val="6.7524354290904406E-2"/>
          <c:w val="0.89397748137027266"/>
          <c:h val="0.79099957883630856"/>
        </c:manualLayout>
      </c:layout>
      <c:barChart>
        <c:barDir val="col"/>
        <c:grouping val="clustered"/>
        <c:varyColors val="0"/>
        <c:ser>
          <c:idx val="1"/>
          <c:order val="0"/>
          <c:tx>
            <c:strRef>
              <c:f>Examples!$X$33</c:f>
              <c:strCache>
                <c:ptCount val="1"/>
                <c:pt idx="0">
                  <c:v>Black</c:v>
                </c:pt>
              </c:strCache>
            </c:strRef>
          </c:tx>
          <c:spPr>
            <a:solidFill>
              <a:srgbClr val="007BC4"/>
            </a:solidFill>
            <a:ln w="25400">
              <a:noFill/>
            </a:ln>
          </c:spPr>
          <c:invertIfNegative val="0"/>
          <c:cat>
            <c:strRef>
              <c:f>Examples!$W$34:$W$41</c:f>
              <c:strCache>
                <c:ptCount val="8"/>
                <c:pt idx="0">
                  <c:v>1975-76</c:v>
                </c:pt>
                <c:pt idx="1">
                  <c:v>1983-84</c:v>
                </c:pt>
                <c:pt idx="2">
                  <c:v>1988-89</c:v>
                </c:pt>
                <c:pt idx="3">
                  <c:v>1993-94</c:v>
                </c:pt>
                <c:pt idx="4">
                  <c:v>1996-97</c:v>
                </c:pt>
                <c:pt idx="5">
                  <c:v>1997-98</c:v>
                </c:pt>
                <c:pt idx="6">
                  <c:v>1998-99</c:v>
                </c:pt>
                <c:pt idx="7">
                  <c:v>1999-00</c:v>
                </c:pt>
              </c:strCache>
            </c:strRef>
          </c:cat>
          <c:val>
            <c:numRef>
              <c:f>Examples!$X$34:$X$41</c:f>
              <c:numCache>
                <c:formatCode>General</c:formatCode>
                <c:ptCount val="8"/>
                <c:pt idx="0">
                  <c:v>33.19</c:v>
                </c:pt>
                <c:pt idx="1">
                  <c:v>39.39</c:v>
                </c:pt>
                <c:pt idx="2">
                  <c:v>42.78</c:v>
                </c:pt>
                <c:pt idx="3">
                  <c:v>42.13</c:v>
                </c:pt>
                <c:pt idx="4">
                  <c:v>41.69</c:v>
                </c:pt>
                <c:pt idx="5">
                  <c:v>39.39</c:v>
                </c:pt>
                <c:pt idx="6">
                  <c:v>42.13</c:v>
                </c:pt>
                <c:pt idx="7">
                  <c:v>45</c:v>
                </c:pt>
              </c:numCache>
            </c:numRef>
          </c:val>
          <c:extLst>
            <c:ext xmlns:c16="http://schemas.microsoft.com/office/drawing/2014/chart" uri="{C3380CC4-5D6E-409C-BE32-E72D297353CC}">
              <c16:uniqueId val="{00000000-980F-46A8-9A75-D69E35C09226}"/>
            </c:ext>
          </c:extLst>
        </c:ser>
        <c:ser>
          <c:idx val="0"/>
          <c:order val="1"/>
          <c:tx>
            <c:strRef>
              <c:f>Examples!$Y$33</c:f>
              <c:strCache>
                <c:ptCount val="1"/>
                <c:pt idx="0">
                  <c:v>Red 100%</c:v>
                </c:pt>
              </c:strCache>
            </c:strRef>
          </c:tx>
          <c:spPr>
            <a:solidFill>
              <a:srgbClr val="A0A09A"/>
            </a:solidFill>
            <a:ln w="25400">
              <a:noFill/>
            </a:ln>
          </c:spPr>
          <c:invertIfNegative val="0"/>
          <c:cat>
            <c:strRef>
              <c:f>Examples!$W$34:$W$41</c:f>
              <c:strCache>
                <c:ptCount val="8"/>
                <c:pt idx="0">
                  <c:v>1975-76</c:v>
                </c:pt>
                <c:pt idx="1">
                  <c:v>1983-84</c:v>
                </c:pt>
                <c:pt idx="2">
                  <c:v>1988-89</c:v>
                </c:pt>
                <c:pt idx="3">
                  <c:v>1993-94</c:v>
                </c:pt>
                <c:pt idx="4">
                  <c:v>1996-97</c:v>
                </c:pt>
                <c:pt idx="5">
                  <c:v>1997-98</c:v>
                </c:pt>
                <c:pt idx="6">
                  <c:v>1998-99</c:v>
                </c:pt>
                <c:pt idx="7">
                  <c:v>1999-00</c:v>
                </c:pt>
              </c:strCache>
            </c:strRef>
          </c:cat>
          <c:val>
            <c:numRef>
              <c:f>Examples!$Y$34:$Y$41</c:f>
              <c:numCache>
                <c:formatCode>General</c:formatCode>
                <c:ptCount val="8"/>
                <c:pt idx="0">
                  <c:v>36.880000000000003</c:v>
                </c:pt>
                <c:pt idx="1">
                  <c:v>32.020000000000003</c:v>
                </c:pt>
                <c:pt idx="2">
                  <c:v>29.91</c:v>
                </c:pt>
                <c:pt idx="3">
                  <c:v>26.53</c:v>
                </c:pt>
                <c:pt idx="4">
                  <c:v>24.76</c:v>
                </c:pt>
                <c:pt idx="5">
                  <c:v>32.020000000000003</c:v>
                </c:pt>
                <c:pt idx="6">
                  <c:v>26.53</c:v>
                </c:pt>
                <c:pt idx="7">
                  <c:v>22</c:v>
                </c:pt>
              </c:numCache>
            </c:numRef>
          </c:val>
          <c:extLst>
            <c:ext xmlns:c16="http://schemas.microsoft.com/office/drawing/2014/chart" uri="{C3380CC4-5D6E-409C-BE32-E72D297353CC}">
              <c16:uniqueId val="{00000001-980F-46A8-9A75-D69E35C09226}"/>
            </c:ext>
          </c:extLst>
        </c:ser>
        <c:dLbls>
          <c:showLegendKey val="0"/>
          <c:showVal val="0"/>
          <c:showCatName val="0"/>
          <c:showSerName val="0"/>
          <c:showPercent val="0"/>
          <c:showBubbleSize val="0"/>
        </c:dLbls>
        <c:gapWidth val="150"/>
        <c:axId val="684302512"/>
        <c:axId val="684302904"/>
      </c:barChart>
      <c:lineChart>
        <c:grouping val="standard"/>
        <c:varyColors val="0"/>
        <c:ser>
          <c:idx val="2"/>
          <c:order val="2"/>
          <c:tx>
            <c:strRef>
              <c:f>Examples!$Z$33</c:f>
              <c:strCache>
                <c:ptCount val="1"/>
                <c:pt idx="0">
                  <c:v>Red 70%</c:v>
                </c:pt>
              </c:strCache>
            </c:strRef>
          </c:tx>
          <c:spPr>
            <a:ln w="25400">
              <a:solidFill>
                <a:srgbClr val="CBD4D9"/>
              </a:solidFill>
              <a:prstDash val="solid"/>
            </a:ln>
          </c:spPr>
          <c:marker>
            <c:symbol val="none"/>
          </c:marker>
          <c:cat>
            <c:strRef>
              <c:f>Examples!$W$34:$W$41</c:f>
              <c:strCache>
                <c:ptCount val="8"/>
                <c:pt idx="0">
                  <c:v>1975-76</c:v>
                </c:pt>
                <c:pt idx="1">
                  <c:v>1983-84</c:v>
                </c:pt>
                <c:pt idx="2">
                  <c:v>1988-89</c:v>
                </c:pt>
                <c:pt idx="3">
                  <c:v>1993-94</c:v>
                </c:pt>
                <c:pt idx="4">
                  <c:v>1996-97</c:v>
                </c:pt>
                <c:pt idx="5">
                  <c:v>1997-98</c:v>
                </c:pt>
                <c:pt idx="6">
                  <c:v>1998-99</c:v>
                </c:pt>
                <c:pt idx="7">
                  <c:v>1999-00</c:v>
                </c:pt>
              </c:strCache>
            </c:strRef>
          </c:cat>
          <c:val>
            <c:numRef>
              <c:f>Examples!$Z$34:$Z$41</c:f>
              <c:numCache>
                <c:formatCode>General</c:formatCode>
                <c:ptCount val="8"/>
                <c:pt idx="0">
                  <c:v>21.56</c:v>
                </c:pt>
                <c:pt idx="1">
                  <c:v>21.6</c:v>
                </c:pt>
                <c:pt idx="2">
                  <c:v>18.350000000000001</c:v>
                </c:pt>
                <c:pt idx="3">
                  <c:v>21.6</c:v>
                </c:pt>
                <c:pt idx="4">
                  <c:v>23.98</c:v>
                </c:pt>
                <c:pt idx="5">
                  <c:v>21.6</c:v>
                </c:pt>
                <c:pt idx="6">
                  <c:v>21.6</c:v>
                </c:pt>
                <c:pt idx="7">
                  <c:v>26</c:v>
                </c:pt>
              </c:numCache>
            </c:numRef>
          </c:val>
          <c:smooth val="0"/>
          <c:extLst>
            <c:ext xmlns:c16="http://schemas.microsoft.com/office/drawing/2014/chart" uri="{C3380CC4-5D6E-409C-BE32-E72D297353CC}">
              <c16:uniqueId val="{00000002-980F-46A8-9A75-D69E35C09226}"/>
            </c:ext>
          </c:extLst>
        </c:ser>
        <c:ser>
          <c:idx val="3"/>
          <c:order val="3"/>
          <c:tx>
            <c:strRef>
              <c:f>Examples!$AA$33</c:f>
              <c:strCache>
                <c:ptCount val="1"/>
                <c:pt idx="0">
                  <c:v>Grey 40%</c:v>
                </c:pt>
              </c:strCache>
            </c:strRef>
          </c:tx>
          <c:spPr>
            <a:ln w="25400">
              <a:solidFill>
                <a:srgbClr val="46B849"/>
              </a:solidFill>
              <a:prstDash val="solid"/>
            </a:ln>
          </c:spPr>
          <c:marker>
            <c:symbol val="none"/>
          </c:marker>
          <c:cat>
            <c:strRef>
              <c:f>Examples!$W$34:$W$41</c:f>
              <c:strCache>
                <c:ptCount val="8"/>
                <c:pt idx="0">
                  <c:v>1975-76</c:v>
                </c:pt>
                <c:pt idx="1">
                  <c:v>1983-84</c:v>
                </c:pt>
                <c:pt idx="2">
                  <c:v>1988-89</c:v>
                </c:pt>
                <c:pt idx="3">
                  <c:v>1993-94</c:v>
                </c:pt>
                <c:pt idx="4">
                  <c:v>1996-97</c:v>
                </c:pt>
                <c:pt idx="5">
                  <c:v>1997-98</c:v>
                </c:pt>
                <c:pt idx="6">
                  <c:v>1998-99</c:v>
                </c:pt>
                <c:pt idx="7">
                  <c:v>1999-00</c:v>
                </c:pt>
              </c:strCache>
            </c:strRef>
          </c:cat>
          <c:val>
            <c:numRef>
              <c:f>Examples!$AA$34:$AA$41</c:f>
              <c:numCache>
                <c:formatCode>General</c:formatCode>
                <c:ptCount val="8"/>
                <c:pt idx="0">
                  <c:v>5.36</c:v>
                </c:pt>
                <c:pt idx="1">
                  <c:v>7.01</c:v>
                </c:pt>
                <c:pt idx="2">
                  <c:v>6.33</c:v>
                </c:pt>
                <c:pt idx="3">
                  <c:v>7.01</c:v>
                </c:pt>
                <c:pt idx="4">
                  <c:v>7</c:v>
                </c:pt>
                <c:pt idx="5">
                  <c:v>7.01</c:v>
                </c:pt>
                <c:pt idx="6">
                  <c:v>7.01</c:v>
                </c:pt>
                <c:pt idx="7">
                  <c:v>8</c:v>
                </c:pt>
              </c:numCache>
            </c:numRef>
          </c:val>
          <c:smooth val="0"/>
          <c:extLst>
            <c:ext xmlns:c16="http://schemas.microsoft.com/office/drawing/2014/chart" uri="{C3380CC4-5D6E-409C-BE32-E72D297353CC}">
              <c16:uniqueId val="{00000003-980F-46A8-9A75-D69E35C09226}"/>
            </c:ext>
          </c:extLst>
        </c:ser>
        <c:dLbls>
          <c:showLegendKey val="0"/>
          <c:showVal val="0"/>
          <c:showCatName val="0"/>
          <c:showSerName val="0"/>
          <c:showPercent val="0"/>
          <c:showBubbleSize val="0"/>
        </c:dLbls>
        <c:marker val="1"/>
        <c:smooth val="0"/>
        <c:axId val="684303296"/>
        <c:axId val="685385760"/>
      </c:lineChart>
      <c:catAx>
        <c:axId val="684302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pitchFamily="34" charset="0"/>
                <a:ea typeface="Myriad Pro"/>
                <a:cs typeface="Arial" pitchFamily="34" charset="0"/>
              </a:defRPr>
            </a:pPr>
            <a:endParaRPr lang="en-US"/>
          </a:p>
        </c:txPr>
        <c:crossAx val="684302904"/>
        <c:crosses val="autoZero"/>
        <c:auto val="0"/>
        <c:lblAlgn val="ctr"/>
        <c:lblOffset val="100"/>
        <c:tickLblSkip val="1"/>
        <c:tickMarkSkip val="1"/>
        <c:noMultiLvlLbl val="0"/>
      </c:catAx>
      <c:valAx>
        <c:axId val="684302904"/>
        <c:scaling>
          <c:orientation val="minMax"/>
        </c:scaling>
        <c:delete val="0"/>
        <c:axPos val="l"/>
        <c:majorGridlines>
          <c:spPr>
            <a:ln w="3175">
              <a:solidFill>
                <a:srgbClr val="000000"/>
              </a:solidFill>
              <a:prstDash val="solid"/>
            </a:ln>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Arial" pitchFamily="34" charset="0"/>
                <a:ea typeface="Myriad Pro"/>
                <a:cs typeface="Arial" pitchFamily="34" charset="0"/>
              </a:defRPr>
            </a:pPr>
            <a:endParaRPr lang="en-US"/>
          </a:p>
        </c:txPr>
        <c:crossAx val="684302512"/>
        <c:crosses val="autoZero"/>
        <c:crossBetween val="between"/>
      </c:valAx>
      <c:catAx>
        <c:axId val="684303296"/>
        <c:scaling>
          <c:orientation val="minMax"/>
        </c:scaling>
        <c:delete val="1"/>
        <c:axPos val="b"/>
        <c:numFmt formatCode="General" sourceLinked="1"/>
        <c:majorTickMark val="out"/>
        <c:minorTickMark val="none"/>
        <c:tickLblPos val="nextTo"/>
        <c:crossAx val="685385760"/>
        <c:crosses val="autoZero"/>
        <c:auto val="0"/>
        <c:lblAlgn val="ctr"/>
        <c:lblOffset val="100"/>
        <c:noMultiLvlLbl val="0"/>
      </c:catAx>
      <c:valAx>
        <c:axId val="685385760"/>
        <c:scaling>
          <c:orientation val="minMax"/>
        </c:scaling>
        <c:delete val="0"/>
        <c:axPos val="r"/>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Myriad Pro"/>
                <a:ea typeface="Myriad Pro"/>
                <a:cs typeface="Myriad Pro"/>
              </a:defRPr>
            </a:pPr>
            <a:endParaRPr lang="en-US"/>
          </a:p>
        </c:txPr>
        <c:crossAx val="684303296"/>
        <c:crosses val="max"/>
        <c:crossBetween val="between"/>
      </c:valAx>
      <c:spPr>
        <a:solidFill>
          <a:srgbClr val="FFFFFF"/>
        </a:solidFill>
        <a:ln w="25400">
          <a:noFill/>
        </a:ln>
      </c:spPr>
    </c:plotArea>
    <c:legend>
      <c:legendPos val="r"/>
      <c:layout>
        <c:manualLayout>
          <c:xMode val="edge"/>
          <c:yMode val="edge"/>
          <c:x val="0.21445820981658834"/>
          <c:y val="8.0386136060600466E-2"/>
          <c:w val="0.56024195261075038"/>
          <c:h val="6.7524354290904393E-2"/>
        </c:manualLayout>
      </c:layout>
      <c:overlay val="0"/>
      <c:spPr>
        <a:noFill/>
        <a:ln w="25400">
          <a:noFill/>
        </a:ln>
      </c:spPr>
      <c:txPr>
        <a:bodyPr/>
        <a:lstStyle/>
        <a:p>
          <a:pPr>
            <a:defRPr sz="825" b="0" i="0" u="none" strike="noStrike" baseline="0">
              <a:solidFill>
                <a:srgbClr val="000000"/>
              </a:solidFill>
              <a:latin typeface="Arial" pitchFamily="34" charset="0"/>
              <a:ea typeface="Myriad Pro"/>
              <a:cs typeface="Arial" pitchFamily="34" charset="0"/>
            </a:defRPr>
          </a:pPr>
          <a:endParaRPr lang="en-US"/>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Myriad Pro"/>
          <a:ea typeface="Myriad Pro"/>
          <a:cs typeface="Myriad Pro"/>
        </a:defRPr>
      </a:pPr>
      <a:endParaRPr lang="en-US"/>
    </a:p>
  </c:txPr>
  <c:printSettings>
    <c:headerFooter alignWithMargins="0">
      <c:oddHeader>&amp;A</c:oddHeader>
      <c:oddFooter>Page &amp;P</c:oddFooter>
    </c:headerFooter>
    <c:pageMargins b="1" l="0.75" r="0.75" t="1" header="0.5" footer="0.5"/>
    <c:pageSetup paperSize="9" orientation="portrait" horizontalDpi="-3"/>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06035578705488E-2"/>
          <c:y val="6.7307981985161358E-2"/>
          <c:w val="0.89397748137027266"/>
          <c:h val="0.79167007382546917"/>
        </c:manualLayout>
      </c:layout>
      <c:areaChart>
        <c:grouping val="stacked"/>
        <c:varyColors val="0"/>
        <c:ser>
          <c:idx val="0"/>
          <c:order val="0"/>
          <c:tx>
            <c:strRef>
              <c:f>Examples!$B$33</c:f>
              <c:strCache>
                <c:ptCount val="1"/>
                <c:pt idx="0">
                  <c:v>Blue</c:v>
                </c:pt>
              </c:strCache>
            </c:strRef>
          </c:tx>
          <c:spPr>
            <a:solidFill>
              <a:srgbClr val="007BC4"/>
            </a:solidFill>
            <a:ln w="25400">
              <a:noFill/>
            </a:ln>
          </c:spPr>
          <c:cat>
            <c:strRef>
              <c:f>Examples!$A$34:$A$41</c:f>
              <c:strCache>
                <c:ptCount val="8"/>
                <c:pt idx="0">
                  <c:v>1975-76</c:v>
                </c:pt>
                <c:pt idx="1">
                  <c:v>1983-84</c:v>
                </c:pt>
                <c:pt idx="2">
                  <c:v>1988-89</c:v>
                </c:pt>
                <c:pt idx="3">
                  <c:v>1993-94</c:v>
                </c:pt>
                <c:pt idx="4">
                  <c:v>1996-97</c:v>
                </c:pt>
                <c:pt idx="5">
                  <c:v>1997-98</c:v>
                </c:pt>
                <c:pt idx="6">
                  <c:v>1998-99</c:v>
                </c:pt>
                <c:pt idx="7">
                  <c:v>1999-00</c:v>
                </c:pt>
              </c:strCache>
            </c:strRef>
          </c:cat>
          <c:val>
            <c:numRef>
              <c:f>Examples!$B$34:$B$41</c:f>
              <c:numCache>
                <c:formatCode>General</c:formatCode>
                <c:ptCount val="8"/>
                <c:pt idx="0">
                  <c:v>36.19</c:v>
                </c:pt>
                <c:pt idx="1">
                  <c:v>39.39</c:v>
                </c:pt>
                <c:pt idx="2">
                  <c:v>42.78</c:v>
                </c:pt>
                <c:pt idx="3">
                  <c:v>42.13</c:v>
                </c:pt>
                <c:pt idx="4">
                  <c:v>41.69</c:v>
                </c:pt>
                <c:pt idx="5">
                  <c:v>39.39</c:v>
                </c:pt>
                <c:pt idx="6">
                  <c:v>42.13</c:v>
                </c:pt>
                <c:pt idx="7">
                  <c:v>45</c:v>
                </c:pt>
              </c:numCache>
            </c:numRef>
          </c:val>
          <c:extLst>
            <c:ext xmlns:c16="http://schemas.microsoft.com/office/drawing/2014/chart" uri="{C3380CC4-5D6E-409C-BE32-E72D297353CC}">
              <c16:uniqueId val="{00000000-03ED-48D8-857E-944CAECE14CC}"/>
            </c:ext>
          </c:extLst>
        </c:ser>
        <c:ser>
          <c:idx val="1"/>
          <c:order val="1"/>
          <c:tx>
            <c:strRef>
              <c:f>Examples!$C$33</c:f>
              <c:strCache>
                <c:ptCount val="1"/>
                <c:pt idx="0">
                  <c:v>Mid Grey</c:v>
                </c:pt>
              </c:strCache>
            </c:strRef>
          </c:tx>
          <c:spPr>
            <a:solidFill>
              <a:srgbClr val="A0A09A"/>
            </a:solidFill>
            <a:ln w="25400">
              <a:noFill/>
            </a:ln>
          </c:spPr>
          <c:cat>
            <c:strRef>
              <c:f>Examples!$A$34:$A$41</c:f>
              <c:strCache>
                <c:ptCount val="8"/>
                <c:pt idx="0">
                  <c:v>1975-76</c:v>
                </c:pt>
                <c:pt idx="1">
                  <c:v>1983-84</c:v>
                </c:pt>
                <c:pt idx="2">
                  <c:v>1988-89</c:v>
                </c:pt>
                <c:pt idx="3">
                  <c:v>1993-94</c:v>
                </c:pt>
                <c:pt idx="4">
                  <c:v>1996-97</c:v>
                </c:pt>
                <c:pt idx="5">
                  <c:v>1997-98</c:v>
                </c:pt>
                <c:pt idx="6">
                  <c:v>1998-99</c:v>
                </c:pt>
                <c:pt idx="7">
                  <c:v>1999-00</c:v>
                </c:pt>
              </c:strCache>
            </c:strRef>
          </c:cat>
          <c:val>
            <c:numRef>
              <c:f>Examples!$C$34:$C$41</c:f>
              <c:numCache>
                <c:formatCode>General</c:formatCode>
                <c:ptCount val="8"/>
                <c:pt idx="0">
                  <c:v>36.880000000000003</c:v>
                </c:pt>
                <c:pt idx="1">
                  <c:v>32.020000000000003</c:v>
                </c:pt>
                <c:pt idx="2">
                  <c:v>29.91</c:v>
                </c:pt>
                <c:pt idx="3">
                  <c:v>26.53</c:v>
                </c:pt>
                <c:pt idx="4">
                  <c:v>24.76</c:v>
                </c:pt>
                <c:pt idx="5">
                  <c:v>32.020000000000003</c:v>
                </c:pt>
                <c:pt idx="6">
                  <c:v>26.53</c:v>
                </c:pt>
                <c:pt idx="7">
                  <c:v>22</c:v>
                </c:pt>
              </c:numCache>
            </c:numRef>
          </c:val>
          <c:extLst>
            <c:ext xmlns:c16="http://schemas.microsoft.com/office/drawing/2014/chart" uri="{C3380CC4-5D6E-409C-BE32-E72D297353CC}">
              <c16:uniqueId val="{00000001-03ED-48D8-857E-944CAECE14CC}"/>
            </c:ext>
          </c:extLst>
        </c:ser>
        <c:ser>
          <c:idx val="2"/>
          <c:order val="2"/>
          <c:tx>
            <c:strRef>
              <c:f>Examples!$D$33</c:f>
              <c:strCache>
                <c:ptCount val="1"/>
                <c:pt idx="0">
                  <c:v>Pale Blue</c:v>
                </c:pt>
              </c:strCache>
            </c:strRef>
          </c:tx>
          <c:spPr>
            <a:solidFill>
              <a:srgbClr val="CBD4D9"/>
            </a:solidFill>
            <a:ln w="25400">
              <a:noFill/>
            </a:ln>
          </c:spPr>
          <c:cat>
            <c:strRef>
              <c:f>Examples!$A$34:$A$41</c:f>
              <c:strCache>
                <c:ptCount val="8"/>
                <c:pt idx="0">
                  <c:v>1975-76</c:v>
                </c:pt>
                <c:pt idx="1">
                  <c:v>1983-84</c:v>
                </c:pt>
                <c:pt idx="2">
                  <c:v>1988-89</c:v>
                </c:pt>
                <c:pt idx="3">
                  <c:v>1993-94</c:v>
                </c:pt>
                <c:pt idx="4">
                  <c:v>1996-97</c:v>
                </c:pt>
                <c:pt idx="5">
                  <c:v>1997-98</c:v>
                </c:pt>
                <c:pt idx="6">
                  <c:v>1998-99</c:v>
                </c:pt>
                <c:pt idx="7">
                  <c:v>1999-00</c:v>
                </c:pt>
              </c:strCache>
            </c:strRef>
          </c:cat>
          <c:val>
            <c:numRef>
              <c:f>Examples!$D$34:$D$41</c:f>
              <c:numCache>
                <c:formatCode>General</c:formatCode>
                <c:ptCount val="8"/>
                <c:pt idx="0">
                  <c:v>21.56</c:v>
                </c:pt>
                <c:pt idx="1">
                  <c:v>21.6</c:v>
                </c:pt>
                <c:pt idx="2">
                  <c:v>18.350000000000001</c:v>
                </c:pt>
                <c:pt idx="3">
                  <c:v>21.6</c:v>
                </c:pt>
                <c:pt idx="4">
                  <c:v>23.98</c:v>
                </c:pt>
                <c:pt idx="5">
                  <c:v>21.6</c:v>
                </c:pt>
                <c:pt idx="6">
                  <c:v>21.6</c:v>
                </c:pt>
                <c:pt idx="7">
                  <c:v>26</c:v>
                </c:pt>
              </c:numCache>
            </c:numRef>
          </c:val>
          <c:extLst>
            <c:ext xmlns:c16="http://schemas.microsoft.com/office/drawing/2014/chart" uri="{C3380CC4-5D6E-409C-BE32-E72D297353CC}">
              <c16:uniqueId val="{00000002-03ED-48D8-857E-944CAECE14CC}"/>
            </c:ext>
          </c:extLst>
        </c:ser>
        <c:ser>
          <c:idx val="3"/>
          <c:order val="3"/>
          <c:tx>
            <c:strRef>
              <c:f>Examples!$E$33</c:f>
              <c:strCache>
                <c:ptCount val="1"/>
                <c:pt idx="0">
                  <c:v>Green</c:v>
                </c:pt>
              </c:strCache>
            </c:strRef>
          </c:tx>
          <c:spPr>
            <a:solidFill>
              <a:srgbClr val="46B849"/>
            </a:solidFill>
            <a:ln w="25400">
              <a:noFill/>
            </a:ln>
          </c:spPr>
          <c:cat>
            <c:strRef>
              <c:f>Examples!$A$34:$A$41</c:f>
              <c:strCache>
                <c:ptCount val="8"/>
                <c:pt idx="0">
                  <c:v>1975-76</c:v>
                </c:pt>
                <c:pt idx="1">
                  <c:v>1983-84</c:v>
                </c:pt>
                <c:pt idx="2">
                  <c:v>1988-89</c:v>
                </c:pt>
                <c:pt idx="3">
                  <c:v>1993-94</c:v>
                </c:pt>
                <c:pt idx="4">
                  <c:v>1996-97</c:v>
                </c:pt>
                <c:pt idx="5">
                  <c:v>1997-98</c:v>
                </c:pt>
                <c:pt idx="6">
                  <c:v>1998-99</c:v>
                </c:pt>
                <c:pt idx="7">
                  <c:v>1999-00</c:v>
                </c:pt>
              </c:strCache>
            </c:strRef>
          </c:cat>
          <c:val>
            <c:numRef>
              <c:f>Examples!$E$34:$E$41</c:f>
              <c:numCache>
                <c:formatCode>General</c:formatCode>
                <c:ptCount val="8"/>
                <c:pt idx="0">
                  <c:v>5.36</c:v>
                </c:pt>
                <c:pt idx="1">
                  <c:v>7.01</c:v>
                </c:pt>
                <c:pt idx="2">
                  <c:v>6.33</c:v>
                </c:pt>
                <c:pt idx="3">
                  <c:v>7.01</c:v>
                </c:pt>
                <c:pt idx="4">
                  <c:v>7</c:v>
                </c:pt>
                <c:pt idx="5">
                  <c:v>7.01</c:v>
                </c:pt>
                <c:pt idx="6">
                  <c:v>7.01</c:v>
                </c:pt>
                <c:pt idx="7">
                  <c:v>8</c:v>
                </c:pt>
              </c:numCache>
            </c:numRef>
          </c:val>
          <c:extLst>
            <c:ext xmlns:c16="http://schemas.microsoft.com/office/drawing/2014/chart" uri="{C3380CC4-5D6E-409C-BE32-E72D297353CC}">
              <c16:uniqueId val="{00000003-03ED-48D8-857E-944CAECE14CC}"/>
            </c:ext>
          </c:extLst>
        </c:ser>
        <c:ser>
          <c:idx val="4"/>
          <c:order val="4"/>
          <c:tx>
            <c:strRef>
              <c:f>Examples!$F$33</c:f>
              <c:strCache>
                <c:ptCount val="1"/>
                <c:pt idx="0">
                  <c:v>Charcoal</c:v>
                </c:pt>
              </c:strCache>
            </c:strRef>
          </c:tx>
          <c:spPr>
            <a:solidFill>
              <a:srgbClr val="212122"/>
            </a:solidFill>
            <a:ln w="25400">
              <a:noFill/>
            </a:ln>
          </c:spPr>
          <c:cat>
            <c:strRef>
              <c:f>Examples!$A$34:$A$41</c:f>
              <c:strCache>
                <c:ptCount val="8"/>
                <c:pt idx="0">
                  <c:v>1975-76</c:v>
                </c:pt>
                <c:pt idx="1">
                  <c:v>1983-84</c:v>
                </c:pt>
                <c:pt idx="2">
                  <c:v>1988-89</c:v>
                </c:pt>
                <c:pt idx="3">
                  <c:v>1993-94</c:v>
                </c:pt>
                <c:pt idx="4">
                  <c:v>1996-97</c:v>
                </c:pt>
                <c:pt idx="5">
                  <c:v>1997-98</c:v>
                </c:pt>
                <c:pt idx="6">
                  <c:v>1998-99</c:v>
                </c:pt>
                <c:pt idx="7">
                  <c:v>1999-00</c:v>
                </c:pt>
              </c:strCache>
            </c:strRef>
          </c:cat>
          <c:val>
            <c:numRef>
              <c:f>Examples!$F$34:$F$41</c:f>
              <c:numCache>
                <c:formatCode>General</c:formatCode>
                <c:ptCount val="8"/>
                <c:pt idx="0">
                  <c:v>3.01</c:v>
                </c:pt>
                <c:pt idx="1">
                  <c:v>3.36</c:v>
                </c:pt>
                <c:pt idx="2">
                  <c:v>2.63</c:v>
                </c:pt>
                <c:pt idx="3">
                  <c:v>2.72</c:v>
                </c:pt>
                <c:pt idx="4">
                  <c:v>2.57</c:v>
                </c:pt>
                <c:pt idx="5">
                  <c:v>3.36</c:v>
                </c:pt>
                <c:pt idx="6">
                  <c:v>2.72</c:v>
                </c:pt>
                <c:pt idx="7">
                  <c:v>2</c:v>
                </c:pt>
              </c:numCache>
            </c:numRef>
          </c:val>
          <c:extLst>
            <c:ext xmlns:c16="http://schemas.microsoft.com/office/drawing/2014/chart" uri="{C3380CC4-5D6E-409C-BE32-E72D297353CC}">
              <c16:uniqueId val="{00000004-03ED-48D8-857E-944CAECE14CC}"/>
            </c:ext>
          </c:extLst>
        </c:ser>
        <c:ser>
          <c:idx val="5"/>
          <c:order val="5"/>
          <c:tx>
            <c:strRef>
              <c:f>Examples!$G$33</c:f>
              <c:strCache>
                <c:ptCount val="1"/>
                <c:pt idx="0">
                  <c:v>Orange</c:v>
                </c:pt>
              </c:strCache>
            </c:strRef>
          </c:tx>
          <c:spPr>
            <a:solidFill>
              <a:srgbClr val="F68B1F"/>
            </a:solidFill>
            <a:ln w="25400">
              <a:noFill/>
            </a:ln>
          </c:spPr>
          <c:cat>
            <c:strRef>
              <c:f>Examples!$A$34:$A$41</c:f>
              <c:strCache>
                <c:ptCount val="8"/>
                <c:pt idx="0">
                  <c:v>1975-76</c:v>
                </c:pt>
                <c:pt idx="1">
                  <c:v>1983-84</c:v>
                </c:pt>
                <c:pt idx="2">
                  <c:v>1988-89</c:v>
                </c:pt>
                <c:pt idx="3">
                  <c:v>1993-94</c:v>
                </c:pt>
                <c:pt idx="4">
                  <c:v>1996-97</c:v>
                </c:pt>
                <c:pt idx="5">
                  <c:v>1997-98</c:v>
                </c:pt>
                <c:pt idx="6">
                  <c:v>1998-99</c:v>
                </c:pt>
                <c:pt idx="7">
                  <c:v>1999-00</c:v>
                </c:pt>
              </c:strCache>
            </c:strRef>
          </c:cat>
          <c:val>
            <c:numRef>
              <c:f>Examples!$G$34:$G$41</c:f>
              <c:numCache>
                <c:formatCode>General</c:formatCode>
                <c:ptCount val="8"/>
                <c:pt idx="0">
                  <c:v>10</c:v>
                </c:pt>
                <c:pt idx="1">
                  <c:v>12</c:v>
                </c:pt>
                <c:pt idx="2">
                  <c:v>14</c:v>
                </c:pt>
                <c:pt idx="3">
                  <c:v>16</c:v>
                </c:pt>
                <c:pt idx="4">
                  <c:v>18</c:v>
                </c:pt>
                <c:pt idx="5">
                  <c:v>12</c:v>
                </c:pt>
                <c:pt idx="6">
                  <c:v>16</c:v>
                </c:pt>
                <c:pt idx="7">
                  <c:v>20</c:v>
                </c:pt>
              </c:numCache>
            </c:numRef>
          </c:val>
          <c:extLst>
            <c:ext xmlns:c16="http://schemas.microsoft.com/office/drawing/2014/chart" uri="{C3380CC4-5D6E-409C-BE32-E72D297353CC}">
              <c16:uniqueId val="{00000005-03ED-48D8-857E-944CAECE14CC}"/>
            </c:ext>
          </c:extLst>
        </c:ser>
        <c:ser>
          <c:idx val="6"/>
          <c:order val="6"/>
          <c:tx>
            <c:strRef>
              <c:f>Examples!$H$33</c:f>
              <c:strCache>
                <c:ptCount val="1"/>
                <c:pt idx="0">
                  <c:v>Purple</c:v>
                </c:pt>
              </c:strCache>
            </c:strRef>
          </c:tx>
          <c:spPr>
            <a:solidFill>
              <a:srgbClr val="8F439B"/>
            </a:solidFill>
            <a:ln w="25400">
              <a:noFill/>
            </a:ln>
          </c:spPr>
          <c:cat>
            <c:strRef>
              <c:f>Examples!$A$34:$A$41</c:f>
              <c:strCache>
                <c:ptCount val="8"/>
                <c:pt idx="0">
                  <c:v>1975-76</c:v>
                </c:pt>
                <c:pt idx="1">
                  <c:v>1983-84</c:v>
                </c:pt>
                <c:pt idx="2">
                  <c:v>1988-89</c:v>
                </c:pt>
                <c:pt idx="3">
                  <c:v>1993-94</c:v>
                </c:pt>
                <c:pt idx="4">
                  <c:v>1996-97</c:v>
                </c:pt>
                <c:pt idx="5">
                  <c:v>1997-98</c:v>
                </c:pt>
                <c:pt idx="6">
                  <c:v>1998-99</c:v>
                </c:pt>
                <c:pt idx="7">
                  <c:v>1999-00</c:v>
                </c:pt>
              </c:strCache>
            </c:strRef>
          </c:cat>
          <c:val>
            <c:numRef>
              <c:f>Examples!$H$34:$H$41</c:f>
              <c:numCache>
                <c:formatCode>General</c:formatCode>
                <c:ptCount val="8"/>
                <c:pt idx="0">
                  <c:v>3.01</c:v>
                </c:pt>
                <c:pt idx="1">
                  <c:v>3.36</c:v>
                </c:pt>
                <c:pt idx="2">
                  <c:v>2.63</c:v>
                </c:pt>
                <c:pt idx="3">
                  <c:v>2.72</c:v>
                </c:pt>
                <c:pt idx="4">
                  <c:v>2.57</c:v>
                </c:pt>
                <c:pt idx="5">
                  <c:v>3.36</c:v>
                </c:pt>
                <c:pt idx="6">
                  <c:v>2.72</c:v>
                </c:pt>
                <c:pt idx="7">
                  <c:v>2</c:v>
                </c:pt>
              </c:numCache>
            </c:numRef>
          </c:val>
          <c:extLst>
            <c:ext xmlns:c16="http://schemas.microsoft.com/office/drawing/2014/chart" uri="{C3380CC4-5D6E-409C-BE32-E72D297353CC}">
              <c16:uniqueId val="{00000006-03ED-48D8-857E-944CAECE14CC}"/>
            </c:ext>
          </c:extLst>
        </c:ser>
        <c:ser>
          <c:idx val="7"/>
          <c:order val="7"/>
          <c:tx>
            <c:strRef>
              <c:f>Examples!$I$33</c:f>
              <c:strCache>
                <c:ptCount val="1"/>
                <c:pt idx="0">
                  <c:v>Pink</c:v>
                </c:pt>
              </c:strCache>
            </c:strRef>
          </c:tx>
          <c:spPr>
            <a:solidFill>
              <a:srgbClr val="EDA6A8"/>
            </a:solidFill>
            <a:ln w="25400">
              <a:noFill/>
            </a:ln>
          </c:spPr>
          <c:cat>
            <c:strRef>
              <c:f>Examples!$A$34:$A$41</c:f>
              <c:strCache>
                <c:ptCount val="8"/>
                <c:pt idx="0">
                  <c:v>1975-76</c:v>
                </c:pt>
                <c:pt idx="1">
                  <c:v>1983-84</c:v>
                </c:pt>
                <c:pt idx="2">
                  <c:v>1988-89</c:v>
                </c:pt>
                <c:pt idx="3">
                  <c:v>1993-94</c:v>
                </c:pt>
                <c:pt idx="4">
                  <c:v>1996-97</c:v>
                </c:pt>
                <c:pt idx="5">
                  <c:v>1997-98</c:v>
                </c:pt>
                <c:pt idx="6">
                  <c:v>1998-99</c:v>
                </c:pt>
                <c:pt idx="7">
                  <c:v>1999-00</c:v>
                </c:pt>
              </c:strCache>
            </c:strRef>
          </c:cat>
          <c:val>
            <c:numRef>
              <c:f>Examples!$I$34:$I$41</c:f>
              <c:numCache>
                <c:formatCode>General</c:formatCode>
                <c:ptCount val="8"/>
                <c:pt idx="0">
                  <c:v>10</c:v>
                </c:pt>
                <c:pt idx="1">
                  <c:v>12</c:v>
                </c:pt>
                <c:pt idx="2">
                  <c:v>14</c:v>
                </c:pt>
                <c:pt idx="3">
                  <c:v>16</c:v>
                </c:pt>
                <c:pt idx="4">
                  <c:v>18</c:v>
                </c:pt>
                <c:pt idx="5">
                  <c:v>12</c:v>
                </c:pt>
                <c:pt idx="6">
                  <c:v>16</c:v>
                </c:pt>
                <c:pt idx="7">
                  <c:v>20</c:v>
                </c:pt>
              </c:numCache>
            </c:numRef>
          </c:val>
          <c:extLst>
            <c:ext xmlns:c16="http://schemas.microsoft.com/office/drawing/2014/chart" uri="{C3380CC4-5D6E-409C-BE32-E72D297353CC}">
              <c16:uniqueId val="{00000007-03ED-48D8-857E-944CAECE14CC}"/>
            </c:ext>
          </c:extLst>
        </c:ser>
        <c:dLbls>
          <c:showLegendKey val="0"/>
          <c:showVal val="0"/>
          <c:showCatName val="0"/>
          <c:showSerName val="0"/>
          <c:showPercent val="0"/>
          <c:showBubbleSize val="0"/>
        </c:dLbls>
        <c:axId val="682321008"/>
        <c:axId val="682322184"/>
      </c:areaChart>
      <c:catAx>
        <c:axId val="682321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682322184"/>
        <c:crosses val="autoZero"/>
        <c:auto val="1"/>
        <c:lblAlgn val="ctr"/>
        <c:lblOffset val="100"/>
        <c:tickLblSkip val="1"/>
        <c:tickMarkSkip val="1"/>
        <c:noMultiLvlLbl val="0"/>
      </c:catAx>
      <c:valAx>
        <c:axId val="6823221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682321008"/>
        <c:crosses val="autoZero"/>
        <c:crossBetween val="midCat"/>
      </c:valAx>
      <c:spPr>
        <a:solidFill>
          <a:srgbClr val="FFFFFF"/>
        </a:solidFill>
        <a:ln w="3175">
          <a:solidFill>
            <a:srgbClr val="000000"/>
          </a:solidFill>
          <a:prstDash val="solid"/>
        </a:ln>
      </c:spPr>
    </c:plotArea>
    <c:legend>
      <c:legendPos val="r"/>
      <c:layout>
        <c:manualLayout>
          <c:xMode val="edge"/>
          <c:yMode val="edge"/>
          <c:x val="0.22530160244776412"/>
          <c:y val="7.0513123984454737E-2"/>
          <c:w val="0.64096498664283708"/>
          <c:h val="8.3333691981628349E-2"/>
        </c:manualLayout>
      </c:layout>
      <c:overlay val="0"/>
      <c:spPr>
        <a:noFill/>
        <a:ln w="25400">
          <a:noFill/>
        </a:ln>
      </c:spPr>
    </c:legend>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pitchFamily="34" charset="0"/>
          <a:ea typeface="Myriad Pro"/>
          <a:cs typeface="Arial" pitchFamily="34" charset="0"/>
        </a:defRPr>
      </a:pPr>
      <a:endParaRPr lang="en-US"/>
    </a:p>
  </c:txPr>
  <c:printSettings>
    <c:headerFooter alignWithMargins="0"/>
    <c:pageMargins b="0.98425196850393704" l="0.74803149606299213" r="0.74803149606299213" t="0.98425196850393704" header="0.51181102362204722" footer="0.5118110236220472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54459203036052"/>
          <c:y val="0.13307984790874525"/>
          <c:w val="0.82542694497153701"/>
          <c:h val="0.73764258555133078"/>
        </c:manualLayout>
      </c:layout>
      <c:areaChart>
        <c:grouping val="percentStacked"/>
        <c:varyColors val="0"/>
        <c:ser>
          <c:idx val="0"/>
          <c:order val="0"/>
          <c:tx>
            <c:strRef>
              <c:f>Examples!$B$33</c:f>
              <c:strCache>
                <c:ptCount val="1"/>
                <c:pt idx="0">
                  <c:v>Blue</c:v>
                </c:pt>
              </c:strCache>
            </c:strRef>
          </c:tx>
          <c:spPr>
            <a:solidFill>
              <a:srgbClr val="007BC4"/>
            </a:solidFill>
            <a:ln w="25400">
              <a:noFill/>
            </a:ln>
          </c:spPr>
          <c:cat>
            <c:strRef>
              <c:f>Examples!$A$34:$A$36</c:f>
              <c:strCache>
                <c:ptCount val="3"/>
                <c:pt idx="0">
                  <c:v>1975-76</c:v>
                </c:pt>
                <c:pt idx="1">
                  <c:v>1983-84</c:v>
                </c:pt>
                <c:pt idx="2">
                  <c:v>1988-89</c:v>
                </c:pt>
              </c:strCache>
            </c:strRef>
          </c:cat>
          <c:val>
            <c:numRef>
              <c:f>Examples!$B$34:$B$36</c:f>
              <c:numCache>
                <c:formatCode>General</c:formatCode>
                <c:ptCount val="3"/>
                <c:pt idx="0">
                  <c:v>36.19</c:v>
                </c:pt>
                <c:pt idx="1">
                  <c:v>39.39</c:v>
                </c:pt>
                <c:pt idx="2">
                  <c:v>42.78</c:v>
                </c:pt>
              </c:numCache>
            </c:numRef>
          </c:val>
          <c:extLst>
            <c:ext xmlns:c16="http://schemas.microsoft.com/office/drawing/2014/chart" uri="{C3380CC4-5D6E-409C-BE32-E72D297353CC}">
              <c16:uniqueId val="{00000000-847F-42FA-B670-F1EDAEBC8243}"/>
            </c:ext>
          </c:extLst>
        </c:ser>
        <c:ser>
          <c:idx val="1"/>
          <c:order val="1"/>
          <c:tx>
            <c:strRef>
              <c:f>Examples!$C$33</c:f>
              <c:strCache>
                <c:ptCount val="1"/>
                <c:pt idx="0">
                  <c:v>Mid Grey</c:v>
                </c:pt>
              </c:strCache>
            </c:strRef>
          </c:tx>
          <c:spPr>
            <a:solidFill>
              <a:srgbClr val="A0A09A"/>
            </a:solidFill>
            <a:ln w="25400">
              <a:noFill/>
            </a:ln>
          </c:spPr>
          <c:cat>
            <c:strRef>
              <c:f>Examples!$A$34:$A$36</c:f>
              <c:strCache>
                <c:ptCount val="3"/>
                <c:pt idx="0">
                  <c:v>1975-76</c:v>
                </c:pt>
                <c:pt idx="1">
                  <c:v>1983-84</c:v>
                </c:pt>
                <c:pt idx="2">
                  <c:v>1988-89</c:v>
                </c:pt>
              </c:strCache>
            </c:strRef>
          </c:cat>
          <c:val>
            <c:numRef>
              <c:f>Examples!$C$34:$C$36</c:f>
              <c:numCache>
                <c:formatCode>General</c:formatCode>
                <c:ptCount val="3"/>
                <c:pt idx="0">
                  <c:v>36.880000000000003</c:v>
                </c:pt>
                <c:pt idx="1">
                  <c:v>32.020000000000003</c:v>
                </c:pt>
                <c:pt idx="2">
                  <c:v>29.91</c:v>
                </c:pt>
              </c:numCache>
            </c:numRef>
          </c:val>
          <c:extLst>
            <c:ext xmlns:c16="http://schemas.microsoft.com/office/drawing/2014/chart" uri="{C3380CC4-5D6E-409C-BE32-E72D297353CC}">
              <c16:uniqueId val="{00000001-847F-42FA-B670-F1EDAEBC8243}"/>
            </c:ext>
          </c:extLst>
        </c:ser>
        <c:ser>
          <c:idx val="2"/>
          <c:order val="2"/>
          <c:tx>
            <c:strRef>
              <c:f>Examples!$D$33</c:f>
              <c:strCache>
                <c:ptCount val="1"/>
                <c:pt idx="0">
                  <c:v>Pale Blue</c:v>
                </c:pt>
              </c:strCache>
            </c:strRef>
          </c:tx>
          <c:spPr>
            <a:solidFill>
              <a:srgbClr val="CBD4D9"/>
            </a:solidFill>
            <a:ln w="25400">
              <a:noFill/>
            </a:ln>
          </c:spPr>
          <c:cat>
            <c:strRef>
              <c:f>Examples!$A$34:$A$36</c:f>
              <c:strCache>
                <c:ptCount val="3"/>
                <c:pt idx="0">
                  <c:v>1975-76</c:v>
                </c:pt>
                <c:pt idx="1">
                  <c:v>1983-84</c:v>
                </c:pt>
                <c:pt idx="2">
                  <c:v>1988-89</c:v>
                </c:pt>
              </c:strCache>
            </c:strRef>
          </c:cat>
          <c:val>
            <c:numRef>
              <c:f>Examples!$D$34:$D$36</c:f>
              <c:numCache>
                <c:formatCode>General</c:formatCode>
                <c:ptCount val="3"/>
                <c:pt idx="0">
                  <c:v>21.56</c:v>
                </c:pt>
                <c:pt idx="1">
                  <c:v>21.6</c:v>
                </c:pt>
                <c:pt idx="2">
                  <c:v>18.350000000000001</c:v>
                </c:pt>
              </c:numCache>
            </c:numRef>
          </c:val>
          <c:extLst>
            <c:ext xmlns:c16="http://schemas.microsoft.com/office/drawing/2014/chart" uri="{C3380CC4-5D6E-409C-BE32-E72D297353CC}">
              <c16:uniqueId val="{00000002-847F-42FA-B670-F1EDAEBC8243}"/>
            </c:ext>
          </c:extLst>
        </c:ser>
        <c:ser>
          <c:idx val="3"/>
          <c:order val="3"/>
          <c:tx>
            <c:strRef>
              <c:f>Examples!$E$33</c:f>
              <c:strCache>
                <c:ptCount val="1"/>
                <c:pt idx="0">
                  <c:v>Green</c:v>
                </c:pt>
              </c:strCache>
            </c:strRef>
          </c:tx>
          <c:spPr>
            <a:solidFill>
              <a:srgbClr val="46B849"/>
            </a:solidFill>
            <a:ln w="25400">
              <a:noFill/>
            </a:ln>
          </c:spPr>
          <c:cat>
            <c:strRef>
              <c:f>Examples!$A$34:$A$36</c:f>
              <c:strCache>
                <c:ptCount val="3"/>
                <c:pt idx="0">
                  <c:v>1975-76</c:v>
                </c:pt>
                <c:pt idx="1">
                  <c:v>1983-84</c:v>
                </c:pt>
                <c:pt idx="2">
                  <c:v>1988-89</c:v>
                </c:pt>
              </c:strCache>
            </c:strRef>
          </c:cat>
          <c:val>
            <c:numRef>
              <c:f>Examples!$E$34:$E$36</c:f>
              <c:numCache>
                <c:formatCode>General</c:formatCode>
                <c:ptCount val="3"/>
                <c:pt idx="0">
                  <c:v>5.36</c:v>
                </c:pt>
                <c:pt idx="1">
                  <c:v>7.01</c:v>
                </c:pt>
                <c:pt idx="2">
                  <c:v>6.33</c:v>
                </c:pt>
              </c:numCache>
            </c:numRef>
          </c:val>
          <c:extLst>
            <c:ext xmlns:c16="http://schemas.microsoft.com/office/drawing/2014/chart" uri="{C3380CC4-5D6E-409C-BE32-E72D297353CC}">
              <c16:uniqueId val="{00000003-847F-42FA-B670-F1EDAEBC8243}"/>
            </c:ext>
          </c:extLst>
        </c:ser>
        <c:ser>
          <c:idx val="4"/>
          <c:order val="4"/>
          <c:tx>
            <c:strRef>
              <c:f>Examples!$F$33</c:f>
              <c:strCache>
                <c:ptCount val="1"/>
                <c:pt idx="0">
                  <c:v>Charcoal</c:v>
                </c:pt>
              </c:strCache>
            </c:strRef>
          </c:tx>
          <c:spPr>
            <a:solidFill>
              <a:srgbClr val="212122"/>
            </a:solidFill>
            <a:ln w="25400">
              <a:noFill/>
            </a:ln>
          </c:spPr>
          <c:cat>
            <c:strRef>
              <c:f>Examples!$A$34:$A$36</c:f>
              <c:strCache>
                <c:ptCount val="3"/>
                <c:pt idx="0">
                  <c:v>1975-76</c:v>
                </c:pt>
                <c:pt idx="1">
                  <c:v>1983-84</c:v>
                </c:pt>
                <c:pt idx="2">
                  <c:v>1988-89</c:v>
                </c:pt>
              </c:strCache>
            </c:strRef>
          </c:cat>
          <c:val>
            <c:numRef>
              <c:f>Examples!$F$34:$F$36</c:f>
              <c:numCache>
                <c:formatCode>General</c:formatCode>
                <c:ptCount val="3"/>
                <c:pt idx="0">
                  <c:v>3.01</c:v>
                </c:pt>
                <c:pt idx="1">
                  <c:v>3.36</c:v>
                </c:pt>
                <c:pt idx="2">
                  <c:v>2.63</c:v>
                </c:pt>
              </c:numCache>
            </c:numRef>
          </c:val>
          <c:extLst>
            <c:ext xmlns:c16="http://schemas.microsoft.com/office/drawing/2014/chart" uri="{C3380CC4-5D6E-409C-BE32-E72D297353CC}">
              <c16:uniqueId val="{00000004-847F-42FA-B670-F1EDAEBC8243}"/>
            </c:ext>
          </c:extLst>
        </c:ser>
        <c:ser>
          <c:idx val="5"/>
          <c:order val="5"/>
          <c:tx>
            <c:strRef>
              <c:f>Examples!$G$33</c:f>
              <c:strCache>
                <c:ptCount val="1"/>
                <c:pt idx="0">
                  <c:v>Orange</c:v>
                </c:pt>
              </c:strCache>
            </c:strRef>
          </c:tx>
          <c:spPr>
            <a:solidFill>
              <a:srgbClr val="F68B1F"/>
            </a:solidFill>
            <a:ln w="25400">
              <a:noFill/>
            </a:ln>
          </c:spPr>
          <c:cat>
            <c:strRef>
              <c:f>Examples!$A$34:$A$36</c:f>
              <c:strCache>
                <c:ptCount val="3"/>
                <c:pt idx="0">
                  <c:v>1975-76</c:v>
                </c:pt>
                <c:pt idx="1">
                  <c:v>1983-84</c:v>
                </c:pt>
                <c:pt idx="2">
                  <c:v>1988-89</c:v>
                </c:pt>
              </c:strCache>
            </c:strRef>
          </c:cat>
          <c:val>
            <c:numRef>
              <c:f>Examples!$G$34:$G$36</c:f>
              <c:numCache>
                <c:formatCode>General</c:formatCode>
                <c:ptCount val="3"/>
                <c:pt idx="0">
                  <c:v>10</c:v>
                </c:pt>
                <c:pt idx="1">
                  <c:v>12</c:v>
                </c:pt>
                <c:pt idx="2">
                  <c:v>14</c:v>
                </c:pt>
              </c:numCache>
            </c:numRef>
          </c:val>
          <c:extLst>
            <c:ext xmlns:c16="http://schemas.microsoft.com/office/drawing/2014/chart" uri="{C3380CC4-5D6E-409C-BE32-E72D297353CC}">
              <c16:uniqueId val="{00000005-847F-42FA-B670-F1EDAEBC8243}"/>
            </c:ext>
          </c:extLst>
        </c:ser>
        <c:ser>
          <c:idx val="6"/>
          <c:order val="6"/>
          <c:tx>
            <c:strRef>
              <c:f>Examples!$H$33</c:f>
              <c:strCache>
                <c:ptCount val="1"/>
                <c:pt idx="0">
                  <c:v>Purple</c:v>
                </c:pt>
              </c:strCache>
            </c:strRef>
          </c:tx>
          <c:spPr>
            <a:solidFill>
              <a:srgbClr val="8F439B"/>
            </a:solidFill>
            <a:ln w="25400">
              <a:noFill/>
            </a:ln>
          </c:spPr>
          <c:cat>
            <c:strRef>
              <c:f>Examples!$A$34:$A$36</c:f>
              <c:strCache>
                <c:ptCount val="3"/>
                <c:pt idx="0">
                  <c:v>1975-76</c:v>
                </c:pt>
                <c:pt idx="1">
                  <c:v>1983-84</c:v>
                </c:pt>
                <c:pt idx="2">
                  <c:v>1988-89</c:v>
                </c:pt>
              </c:strCache>
            </c:strRef>
          </c:cat>
          <c:val>
            <c:numRef>
              <c:f>Examples!$H$34:$H$36</c:f>
              <c:numCache>
                <c:formatCode>General</c:formatCode>
                <c:ptCount val="3"/>
                <c:pt idx="0">
                  <c:v>3.01</c:v>
                </c:pt>
                <c:pt idx="1">
                  <c:v>3.36</c:v>
                </c:pt>
                <c:pt idx="2">
                  <c:v>2.63</c:v>
                </c:pt>
              </c:numCache>
            </c:numRef>
          </c:val>
          <c:extLst>
            <c:ext xmlns:c16="http://schemas.microsoft.com/office/drawing/2014/chart" uri="{C3380CC4-5D6E-409C-BE32-E72D297353CC}">
              <c16:uniqueId val="{00000006-847F-42FA-B670-F1EDAEBC8243}"/>
            </c:ext>
          </c:extLst>
        </c:ser>
        <c:ser>
          <c:idx val="7"/>
          <c:order val="7"/>
          <c:tx>
            <c:strRef>
              <c:f>Examples!$I$33</c:f>
              <c:strCache>
                <c:ptCount val="1"/>
                <c:pt idx="0">
                  <c:v>Pink</c:v>
                </c:pt>
              </c:strCache>
            </c:strRef>
          </c:tx>
          <c:spPr>
            <a:solidFill>
              <a:srgbClr val="EDA6A8"/>
            </a:solidFill>
            <a:ln w="25400">
              <a:noFill/>
            </a:ln>
          </c:spPr>
          <c:cat>
            <c:strRef>
              <c:f>Examples!$A$34:$A$36</c:f>
              <c:strCache>
                <c:ptCount val="3"/>
                <c:pt idx="0">
                  <c:v>1975-76</c:v>
                </c:pt>
                <c:pt idx="1">
                  <c:v>1983-84</c:v>
                </c:pt>
                <c:pt idx="2">
                  <c:v>1988-89</c:v>
                </c:pt>
              </c:strCache>
            </c:strRef>
          </c:cat>
          <c:val>
            <c:numRef>
              <c:f>Examples!$I$34:$I$36</c:f>
              <c:numCache>
                <c:formatCode>General</c:formatCode>
                <c:ptCount val="3"/>
                <c:pt idx="0">
                  <c:v>10</c:v>
                </c:pt>
                <c:pt idx="1">
                  <c:v>12</c:v>
                </c:pt>
                <c:pt idx="2">
                  <c:v>14</c:v>
                </c:pt>
              </c:numCache>
            </c:numRef>
          </c:val>
          <c:extLst>
            <c:ext xmlns:c16="http://schemas.microsoft.com/office/drawing/2014/chart" uri="{C3380CC4-5D6E-409C-BE32-E72D297353CC}">
              <c16:uniqueId val="{00000007-847F-42FA-B670-F1EDAEBC8243}"/>
            </c:ext>
          </c:extLst>
        </c:ser>
        <c:dLbls>
          <c:showLegendKey val="0"/>
          <c:showVal val="0"/>
          <c:showCatName val="0"/>
          <c:showSerName val="0"/>
          <c:showPercent val="0"/>
          <c:showBubbleSize val="0"/>
        </c:dLbls>
        <c:axId val="682322968"/>
        <c:axId val="682319440"/>
      </c:areaChart>
      <c:catAx>
        <c:axId val="682322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pitchFamily="34" charset="0"/>
                <a:ea typeface="Myriad Pro"/>
                <a:cs typeface="Arial" pitchFamily="34" charset="0"/>
              </a:defRPr>
            </a:pPr>
            <a:endParaRPr lang="en-US"/>
          </a:p>
        </c:txPr>
        <c:crossAx val="682319440"/>
        <c:crosses val="autoZero"/>
        <c:auto val="1"/>
        <c:lblAlgn val="ctr"/>
        <c:lblOffset val="100"/>
        <c:tickLblSkip val="1"/>
        <c:tickMarkSkip val="1"/>
        <c:noMultiLvlLbl val="0"/>
      </c:catAx>
      <c:valAx>
        <c:axId val="68231944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pitchFamily="34" charset="0"/>
                <a:ea typeface="Myriad Pro"/>
                <a:cs typeface="Arial" pitchFamily="34" charset="0"/>
              </a:defRPr>
            </a:pPr>
            <a:endParaRPr lang="en-US"/>
          </a:p>
        </c:txPr>
        <c:crossAx val="682322968"/>
        <c:crosses val="autoZero"/>
        <c:crossBetween val="midCat"/>
      </c:valAx>
      <c:spPr>
        <a:solidFill>
          <a:srgbClr val="FFFFFF"/>
        </a:solidFill>
        <a:ln w="3175">
          <a:solidFill>
            <a:srgbClr val="000000"/>
          </a:solidFill>
          <a:prstDash val="solid"/>
        </a:ln>
      </c:spPr>
    </c:plotArea>
    <c:legend>
      <c:legendPos val="r"/>
      <c:layout>
        <c:manualLayout>
          <c:xMode val="edge"/>
          <c:yMode val="edge"/>
          <c:x val="0.10120499789097427"/>
          <c:y val="2.2364330639842781E-2"/>
          <c:w val="0.78072426944465856"/>
          <c:h val="0.12140636633057508"/>
        </c:manualLayout>
      </c:layout>
      <c:overlay val="0"/>
      <c:spPr>
        <a:noFill/>
        <a:ln w="25400">
          <a:noFill/>
        </a:ln>
      </c:spPr>
      <c:txPr>
        <a:bodyPr/>
        <a:lstStyle/>
        <a:p>
          <a:pPr>
            <a:defRPr sz="825" b="0" i="0" u="none" strike="noStrike" baseline="0">
              <a:solidFill>
                <a:srgbClr val="000000"/>
              </a:solidFill>
              <a:latin typeface="Arial" pitchFamily="34" charset="0"/>
              <a:ea typeface="Myriad Pro"/>
              <a:cs typeface="Arial" pitchFamily="34" charset="0"/>
            </a:defRPr>
          </a:pPr>
          <a:endParaRPr lang="en-US"/>
        </a:p>
      </c:txPr>
    </c:legend>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Myriad Pro"/>
          <a:ea typeface="Myriad Pro"/>
          <a:cs typeface="Myriad Pro"/>
        </a:defRPr>
      </a:pPr>
      <a:endParaRPr lang="en-US"/>
    </a:p>
  </c:txPr>
  <c:printSettings>
    <c:headerFooter alignWithMargins="0"/>
    <c:pageMargins b="1" l="0.75" r="0.75" t="1" header="0.5" footer="0.5"/>
    <c:pageSetup paperSize="9" orientation="landscape" horizontalDpi="-3"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54459203036052"/>
          <c:y val="6.0836501901140684E-2"/>
          <c:w val="0.72485768500948766"/>
          <c:h val="0.8098859315589354"/>
        </c:manualLayout>
      </c:layout>
      <c:barChart>
        <c:barDir val="col"/>
        <c:grouping val="percentStacked"/>
        <c:varyColors val="0"/>
        <c:ser>
          <c:idx val="0"/>
          <c:order val="0"/>
          <c:tx>
            <c:strRef>
              <c:f>Examples!$B$33</c:f>
              <c:strCache>
                <c:ptCount val="1"/>
                <c:pt idx="0">
                  <c:v>Blue</c:v>
                </c:pt>
              </c:strCache>
            </c:strRef>
          </c:tx>
          <c:spPr>
            <a:solidFill>
              <a:srgbClr val="007BC4"/>
            </a:solidFill>
            <a:ln w="25400">
              <a:noFill/>
            </a:ln>
          </c:spPr>
          <c:invertIfNegative val="0"/>
          <c:cat>
            <c:strRef>
              <c:f>Examples!$A$34:$A$36</c:f>
              <c:strCache>
                <c:ptCount val="3"/>
                <c:pt idx="0">
                  <c:v>1975-76</c:v>
                </c:pt>
                <c:pt idx="1">
                  <c:v>1983-84</c:v>
                </c:pt>
                <c:pt idx="2">
                  <c:v>1988-89</c:v>
                </c:pt>
              </c:strCache>
            </c:strRef>
          </c:cat>
          <c:val>
            <c:numRef>
              <c:f>Examples!$B$34:$B$36</c:f>
              <c:numCache>
                <c:formatCode>General</c:formatCode>
                <c:ptCount val="3"/>
                <c:pt idx="0">
                  <c:v>36.19</c:v>
                </c:pt>
                <c:pt idx="1">
                  <c:v>39.39</c:v>
                </c:pt>
                <c:pt idx="2">
                  <c:v>42.78</c:v>
                </c:pt>
              </c:numCache>
            </c:numRef>
          </c:val>
          <c:extLst>
            <c:ext xmlns:c16="http://schemas.microsoft.com/office/drawing/2014/chart" uri="{C3380CC4-5D6E-409C-BE32-E72D297353CC}">
              <c16:uniqueId val="{00000000-3562-43FA-804E-E559FC4448DA}"/>
            </c:ext>
          </c:extLst>
        </c:ser>
        <c:ser>
          <c:idx val="1"/>
          <c:order val="1"/>
          <c:tx>
            <c:strRef>
              <c:f>Examples!$C$33</c:f>
              <c:strCache>
                <c:ptCount val="1"/>
                <c:pt idx="0">
                  <c:v>Mid Grey</c:v>
                </c:pt>
              </c:strCache>
            </c:strRef>
          </c:tx>
          <c:spPr>
            <a:solidFill>
              <a:srgbClr val="A0A09A"/>
            </a:solidFill>
            <a:ln w="25400">
              <a:noFill/>
            </a:ln>
          </c:spPr>
          <c:invertIfNegative val="0"/>
          <c:cat>
            <c:strRef>
              <c:f>Examples!$A$34:$A$36</c:f>
              <c:strCache>
                <c:ptCount val="3"/>
                <c:pt idx="0">
                  <c:v>1975-76</c:v>
                </c:pt>
                <c:pt idx="1">
                  <c:v>1983-84</c:v>
                </c:pt>
                <c:pt idx="2">
                  <c:v>1988-89</c:v>
                </c:pt>
              </c:strCache>
            </c:strRef>
          </c:cat>
          <c:val>
            <c:numRef>
              <c:f>Examples!$C$34:$C$36</c:f>
              <c:numCache>
                <c:formatCode>General</c:formatCode>
                <c:ptCount val="3"/>
                <c:pt idx="0">
                  <c:v>36.880000000000003</c:v>
                </c:pt>
                <c:pt idx="1">
                  <c:v>32.020000000000003</c:v>
                </c:pt>
                <c:pt idx="2">
                  <c:v>29.91</c:v>
                </c:pt>
              </c:numCache>
            </c:numRef>
          </c:val>
          <c:extLst>
            <c:ext xmlns:c16="http://schemas.microsoft.com/office/drawing/2014/chart" uri="{C3380CC4-5D6E-409C-BE32-E72D297353CC}">
              <c16:uniqueId val="{00000001-3562-43FA-804E-E559FC4448DA}"/>
            </c:ext>
          </c:extLst>
        </c:ser>
        <c:ser>
          <c:idx val="2"/>
          <c:order val="2"/>
          <c:tx>
            <c:strRef>
              <c:f>Examples!$D$33</c:f>
              <c:strCache>
                <c:ptCount val="1"/>
                <c:pt idx="0">
                  <c:v>Pale Blue</c:v>
                </c:pt>
              </c:strCache>
            </c:strRef>
          </c:tx>
          <c:spPr>
            <a:solidFill>
              <a:srgbClr val="CBD4D9"/>
            </a:solidFill>
            <a:ln w="25400">
              <a:noFill/>
            </a:ln>
          </c:spPr>
          <c:invertIfNegative val="0"/>
          <c:cat>
            <c:strRef>
              <c:f>Examples!$A$34:$A$36</c:f>
              <c:strCache>
                <c:ptCount val="3"/>
                <c:pt idx="0">
                  <c:v>1975-76</c:v>
                </c:pt>
                <c:pt idx="1">
                  <c:v>1983-84</c:v>
                </c:pt>
                <c:pt idx="2">
                  <c:v>1988-89</c:v>
                </c:pt>
              </c:strCache>
            </c:strRef>
          </c:cat>
          <c:val>
            <c:numRef>
              <c:f>Examples!$D$34:$D$36</c:f>
              <c:numCache>
                <c:formatCode>General</c:formatCode>
                <c:ptCount val="3"/>
                <c:pt idx="0">
                  <c:v>21.56</c:v>
                </c:pt>
                <c:pt idx="1">
                  <c:v>21.6</c:v>
                </c:pt>
                <c:pt idx="2">
                  <c:v>18.350000000000001</c:v>
                </c:pt>
              </c:numCache>
            </c:numRef>
          </c:val>
          <c:extLst>
            <c:ext xmlns:c16="http://schemas.microsoft.com/office/drawing/2014/chart" uri="{C3380CC4-5D6E-409C-BE32-E72D297353CC}">
              <c16:uniqueId val="{00000002-3562-43FA-804E-E559FC4448DA}"/>
            </c:ext>
          </c:extLst>
        </c:ser>
        <c:ser>
          <c:idx val="3"/>
          <c:order val="3"/>
          <c:tx>
            <c:strRef>
              <c:f>Examples!$E$33</c:f>
              <c:strCache>
                <c:ptCount val="1"/>
                <c:pt idx="0">
                  <c:v>Green</c:v>
                </c:pt>
              </c:strCache>
            </c:strRef>
          </c:tx>
          <c:spPr>
            <a:solidFill>
              <a:srgbClr val="46B849"/>
            </a:solidFill>
            <a:ln w="25400">
              <a:noFill/>
            </a:ln>
          </c:spPr>
          <c:invertIfNegative val="0"/>
          <c:cat>
            <c:strRef>
              <c:f>Examples!$A$34:$A$36</c:f>
              <c:strCache>
                <c:ptCount val="3"/>
                <c:pt idx="0">
                  <c:v>1975-76</c:v>
                </c:pt>
                <c:pt idx="1">
                  <c:v>1983-84</c:v>
                </c:pt>
                <c:pt idx="2">
                  <c:v>1988-89</c:v>
                </c:pt>
              </c:strCache>
            </c:strRef>
          </c:cat>
          <c:val>
            <c:numRef>
              <c:f>Examples!$E$34:$E$36</c:f>
              <c:numCache>
                <c:formatCode>General</c:formatCode>
                <c:ptCount val="3"/>
                <c:pt idx="0">
                  <c:v>5.36</c:v>
                </c:pt>
                <c:pt idx="1">
                  <c:v>7.01</c:v>
                </c:pt>
                <c:pt idx="2">
                  <c:v>6.33</c:v>
                </c:pt>
              </c:numCache>
            </c:numRef>
          </c:val>
          <c:extLst>
            <c:ext xmlns:c16="http://schemas.microsoft.com/office/drawing/2014/chart" uri="{C3380CC4-5D6E-409C-BE32-E72D297353CC}">
              <c16:uniqueId val="{00000003-3562-43FA-804E-E559FC4448DA}"/>
            </c:ext>
          </c:extLst>
        </c:ser>
        <c:ser>
          <c:idx val="4"/>
          <c:order val="4"/>
          <c:tx>
            <c:strRef>
              <c:f>Examples!$F$33</c:f>
              <c:strCache>
                <c:ptCount val="1"/>
                <c:pt idx="0">
                  <c:v>Charcoal</c:v>
                </c:pt>
              </c:strCache>
            </c:strRef>
          </c:tx>
          <c:spPr>
            <a:solidFill>
              <a:srgbClr val="212122"/>
            </a:solidFill>
            <a:ln w="25400">
              <a:noFill/>
            </a:ln>
          </c:spPr>
          <c:invertIfNegative val="0"/>
          <c:cat>
            <c:strRef>
              <c:f>Examples!$A$34:$A$36</c:f>
              <c:strCache>
                <c:ptCount val="3"/>
                <c:pt idx="0">
                  <c:v>1975-76</c:v>
                </c:pt>
                <c:pt idx="1">
                  <c:v>1983-84</c:v>
                </c:pt>
                <c:pt idx="2">
                  <c:v>1988-89</c:v>
                </c:pt>
              </c:strCache>
            </c:strRef>
          </c:cat>
          <c:val>
            <c:numRef>
              <c:f>Examples!$F$34:$F$36</c:f>
              <c:numCache>
                <c:formatCode>General</c:formatCode>
                <c:ptCount val="3"/>
                <c:pt idx="0">
                  <c:v>3.01</c:v>
                </c:pt>
                <c:pt idx="1">
                  <c:v>3.36</c:v>
                </c:pt>
                <c:pt idx="2">
                  <c:v>2.63</c:v>
                </c:pt>
              </c:numCache>
            </c:numRef>
          </c:val>
          <c:extLst>
            <c:ext xmlns:c16="http://schemas.microsoft.com/office/drawing/2014/chart" uri="{C3380CC4-5D6E-409C-BE32-E72D297353CC}">
              <c16:uniqueId val="{00000004-3562-43FA-804E-E559FC4448DA}"/>
            </c:ext>
          </c:extLst>
        </c:ser>
        <c:ser>
          <c:idx val="5"/>
          <c:order val="5"/>
          <c:tx>
            <c:strRef>
              <c:f>Examples!$G$33</c:f>
              <c:strCache>
                <c:ptCount val="1"/>
                <c:pt idx="0">
                  <c:v>Orange</c:v>
                </c:pt>
              </c:strCache>
            </c:strRef>
          </c:tx>
          <c:spPr>
            <a:solidFill>
              <a:srgbClr val="F68B1F"/>
            </a:solidFill>
            <a:ln w="25400">
              <a:noFill/>
            </a:ln>
          </c:spPr>
          <c:invertIfNegative val="0"/>
          <c:cat>
            <c:strRef>
              <c:f>Examples!$A$34:$A$36</c:f>
              <c:strCache>
                <c:ptCount val="3"/>
                <c:pt idx="0">
                  <c:v>1975-76</c:v>
                </c:pt>
                <c:pt idx="1">
                  <c:v>1983-84</c:v>
                </c:pt>
                <c:pt idx="2">
                  <c:v>1988-89</c:v>
                </c:pt>
              </c:strCache>
            </c:strRef>
          </c:cat>
          <c:val>
            <c:numRef>
              <c:f>Examples!$G$34:$G$36</c:f>
              <c:numCache>
                <c:formatCode>General</c:formatCode>
                <c:ptCount val="3"/>
                <c:pt idx="0">
                  <c:v>10</c:v>
                </c:pt>
                <c:pt idx="1">
                  <c:v>12</c:v>
                </c:pt>
                <c:pt idx="2">
                  <c:v>14</c:v>
                </c:pt>
              </c:numCache>
            </c:numRef>
          </c:val>
          <c:extLst>
            <c:ext xmlns:c16="http://schemas.microsoft.com/office/drawing/2014/chart" uri="{C3380CC4-5D6E-409C-BE32-E72D297353CC}">
              <c16:uniqueId val="{00000005-3562-43FA-804E-E559FC4448DA}"/>
            </c:ext>
          </c:extLst>
        </c:ser>
        <c:ser>
          <c:idx val="6"/>
          <c:order val="6"/>
          <c:tx>
            <c:strRef>
              <c:f>Examples!$H$33</c:f>
              <c:strCache>
                <c:ptCount val="1"/>
                <c:pt idx="0">
                  <c:v>Purple</c:v>
                </c:pt>
              </c:strCache>
            </c:strRef>
          </c:tx>
          <c:spPr>
            <a:solidFill>
              <a:srgbClr val="8F439B"/>
            </a:solidFill>
            <a:ln w="25400">
              <a:noFill/>
            </a:ln>
          </c:spPr>
          <c:invertIfNegative val="0"/>
          <c:cat>
            <c:strRef>
              <c:f>Examples!$A$34:$A$36</c:f>
              <c:strCache>
                <c:ptCount val="3"/>
                <c:pt idx="0">
                  <c:v>1975-76</c:v>
                </c:pt>
                <c:pt idx="1">
                  <c:v>1983-84</c:v>
                </c:pt>
                <c:pt idx="2">
                  <c:v>1988-89</c:v>
                </c:pt>
              </c:strCache>
            </c:strRef>
          </c:cat>
          <c:val>
            <c:numRef>
              <c:f>Examples!$H$34:$H$36</c:f>
              <c:numCache>
                <c:formatCode>General</c:formatCode>
                <c:ptCount val="3"/>
                <c:pt idx="0">
                  <c:v>3.01</c:v>
                </c:pt>
                <c:pt idx="1">
                  <c:v>3.36</c:v>
                </c:pt>
                <c:pt idx="2">
                  <c:v>2.63</c:v>
                </c:pt>
              </c:numCache>
            </c:numRef>
          </c:val>
          <c:extLst>
            <c:ext xmlns:c16="http://schemas.microsoft.com/office/drawing/2014/chart" uri="{C3380CC4-5D6E-409C-BE32-E72D297353CC}">
              <c16:uniqueId val="{00000006-3562-43FA-804E-E559FC4448DA}"/>
            </c:ext>
          </c:extLst>
        </c:ser>
        <c:ser>
          <c:idx val="7"/>
          <c:order val="7"/>
          <c:tx>
            <c:strRef>
              <c:f>Examples!$I$33</c:f>
              <c:strCache>
                <c:ptCount val="1"/>
                <c:pt idx="0">
                  <c:v>Pink</c:v>
                </c:pt>
              </c:strCache>
            </c:strRef>
          </c:tx>
          <c:spPr>
            <a:solidFill>
              <a:srgbClr val="EDA6A8"/>
            </a:solidFill>
            <a:ln w="25400">
              <a:noFill/>
            </a:ln>
          </c:spPr>
          <c:invertIfNegative val="0"/>
          <c:cat>
            <c:strRef>
              <c:f>Examples!$A$34:$A$36</c:f>
              <c:strCache>
                <c:ptCount val="3"/>
                <c:pt idx="0">
                  <c:v>1975-76</c:v>
                </c:pt>
                <c:pt idx="1">
                  <c:v>1983-84</c:v>
                </c:pt>
                <c:pt idx="2">
                  <c:v>1988-89</c:v>
                </c:pt>
              </c:strCache>
            </c:strRef>
          </c:cat>
          <c:val>
            <c:numRef>
              <c:f>Examples!$I$34:$I$36</c:f>
              <c:numCache>
                <c:formatCode>General</c:formatCode>
                <c:ptCount val="3"/>
                <c:pt idx="0">
                  <c:v>10</c:v>
                </c:pt>
                <c:pt idx="1">
                  <c:v>12</c:v>
                </c:pt>
                <c:pt idx="2">
                  <c:v>14</c:v>
                </c:pt>
              </c:numCache>
            </c:numRef>
          </c:val>
          <c:extLst>
            <c:ext xmlns:c16="http://schemas.microsoft.com/office/drawing/2014/chart" uri="{C3380CC4-5D6E-409C-BE32-E72D297353CC}">
              <c16:uniqueId val="{00000007-3562-43FA-804E-E559FC4448DA}"/>
            </c:ext>
          </c:extLst>
        </c:ser>
        <c:dLbls>
          <c:showLegendKey val="0"/>
          <c:showVal val="0"/>
          <c:showCatName val="0"/>
          <c:showSerName val="0"/>
          <c:showPercent val="0"/>
          <c:showBubbleSize val="0"/>
        </c:dLbls>
        <c:gapWidth val="150"/>
        <c:overlap val="100"/>
        <c:axId val="682321400"/>
        <c:axId val="682320224"/>
      </c:barChart>
      <c:catAx>
        <c:axId val="682321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en-US"/>
          </a:p>
        </c:txPr>
        <c:crossAx val="682320224"/>
        <c:crosses val="autoZero"/>
        <c:auto val="1"/>
        <c:lblAlgn val="ctr"/>
        <c:lblOffset val="100"/>
        <c:tickLblSkip val="1"/>
        <c:tickMarkSkip val="1"/>
        <c:noMultiLvlLbl val="0"/>
      </c:catAx>
      <c:valAx>
        <c:axId val="68232022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9525">
            <a:noFill/>
          </a:ln>
        </c:spPr>
        <c:txPr>
          <a:bodyPr rot="0" vert="horz"/>
          <a:lstStyle/>
          <a:p>
            <a:pPr>
              <a:defRPr/>
            </a:pPr>
            <a:endParaRPr lang="en-US"/>
          </a:p>
        </c:txPr>
        <c:crossAx val="682321400"/>
        <c:crosses val="autoZero"/>
        <c:crossBetween val="between"/>
      </c:valAx>
      <c:spPr>
        <a:solidFill>
          <a:srgbClr val="FFFFFF"/>
        </a:solidFill>
        <a:ln w="25400">
          <a:noFill/>
        </a:ln>
      </c:spPr>
    </c:plotArea>
    <c:legend>
      <c:legendPos val="r"/>
      <c:layout>
        <c:manualLayout>
          <c:xMode val="edge"/>
          <c:yMode val="edge"/>
          <c:x val="0.87349551751138499"/>
          <c:y val="2.2435993995053784E-2"/>
          <c:w val="0.10481946210136618"/>
          <c:h val="0.84615748781345701"/>
        </c:manualLayout>
      </c:layout>
      <c:overlay val="0"/>
      <c:spPr>
        <a:no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pitchFamily="34" charset="0"/>
          <a:ea typeface="Myriad Pro"/>
          <a:cs typeface="Arial" pitchFamily="34" charset="0"/>
        </a:defRPr>
      </a:pPr>
      <a:endParaRPr lang="en-US"/>
    </a:p>
  </c:txPr>
  <c:printSettings>
    <c:headerFooter alignWithMargins="0"/>
    <c:pageMargins b="0.98425196850393704" l="0.74803149606299213" r="0.74803149606299213" t="0.98425196850393704" header="0.51181102362204722" footer="0.51181102362204722"/>
    <c:pageSetup paperSize="9" orientation="portrait"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21784559343046E-2"/>
          <c:y val="7.987260942800993E-2"/>
          <c:w val="0.93132694487765588"/>
          <c:h val="0.77955666801737677"/>
        </c:manualLayout>
      </c:layout>
      <c:barChart>
        <c:barDir val="col"/>
        <c:grouping val="clustered"/>
        <c:varyColors val="0"/>
        <c:ser>
          <c:idx val="0"/>
          <c:order val="0"/>
          <c:tx>
            <c:strRef>
              <c:f>Examples!$A$34</c:f>
              <c:strCache>
                <c:ptCount val="1"/>
                <c:pt idx="0">
                  <c:v>1975-76</c:v>
                </c:pt>
              </c:strCache>
            </c:strRef>
          </c:tx>
          <c:spPr>
            <a:solidFill>
              <a:srgbClr val="007BC4"/>
            </a:solidFill>
            <a:ln w="25400">
              <a:noFill/>
            </a:ln>
          </c:spPr>
          <c:invertIfNegative val="0"/>
          <c:cat>
            <c:strRef>
              <c:f>Examples!$B$33:$D$33</c:f>
              <c:strCache>
                <c:ptCount val="3"/>
                <c:pt idx="0">
                  <c:v>Blue</c:v>
                </c:pt>
                <c:pt idx="1">
                  <c:v>Mid Grey</c:v>
                </c:pt>
                <c:pt idx="2">
                  <c:v>Pale Blue</c:v>
                </c:pt>
              </c:strCache>
            </c:strRef>
          </c:cat>
          <c:val>
            <c:numRef>
              <c:f>Examples!$B$34:$D$34</c:f>
              <c:numCache>
                <c:formatCode>General</c:formatCode>
                <c:ptCount val="3"/>
                <c:pt idx="0">
                  <c:v>36.19</c:v>
                </c:pt>
                <c:pt idx="1">
                  <c:v>36.880000000000003</c:v>
                </c:pt>
                <c:pt idx="2">
                  <c:v>21.56</c:v>
                </c:pt>
              </c:numCache>
            </c:numRef>
          </c:val>
          <c:extLst>
            <c:ext xmlns:c16="http://schemas.microsoft.com/office/drawing/2014/chart" uri="{C3380CC4-5D6E-409C-BE32-E72D297353CC}">
              <c16:uniqueId val="{00000000-5F76-4480-A21A-CDDD3AEF2CBB}"/>
            </c:ext>
          </c:extLst>
        </c:ser>
        <c:ser>
          <c:idx val="1"/>
          <c:order val="1"/>
          <c:tx>
            <c:strRef>
              <c:f>Examples!$A$35</c:f>
              <c:strCache>
                <c:ptCount val="1"/>
                <c:pt idx="0">
                  <c:v>1983-84</c:v>
                </c:pt>
              </c:strCache>
            </c:strRef>
          </c:tx>
          <c:spPr>
            <a:solidFill>
              <a:srgbClr val="A0A09A"/>
            </a:solidFill>
            <a:ln w="25400">
              <a:noFill/>
            </a:ln>
          </c:spPr>
          <c:invertIfNegative val="0"/>
          <c:cat>
            <c:strRef>
              <c:f>Examples!$B$33:$D$33</c:f>
              <c:strCache>
                <c:ptCount val="3"/>
                <c:pt idx="0">
                  <c:v>Blue</c:v>
                </c:pt>
                <c:pt idx="1">
                  <c:v>Mid Grey</c:v>
                </c:pt>
                <c:pt idx="2">
                  <c:v>Pale Blue</c:v>
                </c:pt>
              </c:strCache>
            </c:strRef>
          </c:cat>
          <c:val>
            <c:numRef>
              <c:f>Examples!$B$35:$D$35</c:f>
              <c:numCache>
                <c:formatCode>General</c:formatCode>
                <c:ptCount val="3"/>
                <c:pt idx="0">
                  <c:v>39.39</c:v>
                </c:pt>
                <c:pt idx="1">
                  <c:v>32.020000000000003</c:v>
                </c:pt>
                <c:pt idx="2">
                  <c:v>21.6</c:v>
                </c:pt>
              </c:numCache>
            </c:numRef>
          </c:val>
          <c:extLst>
            <c:ext xmlns:c16="http://schemas.microsoft.com/office/drawing/2014/chart" uri="{C3380CC4-5D6E-409C-BE32-E72D297353CC}">
              <c16:uniqueId val="{00000001-5F76-4480-A21A-CDDD3AEF2CBB}"/>
            </c:ext>
          </c:extLst>
        </c:ser>
        <c:ser>
          <c:idx val="2"/>
          <c:order val="2"/>
          <c:tx>
            <c:strRef>
              <c:f>Examples!$A$36</c:f>
              <c:strCache>
                <c:ptCount val="1"/>
                <c:pt idx="0">
                  <c:v>1988-89</c:v>
                </c:pt>
              </c:strCache>
            </c:strRef>
          </c:tx>
          <c:spPr>
            <a:solidFill>
              <a:srgbClr val="CBD4D9"/>
            </a:solidFill>
            <a:ln w="25400">
              <a:noFill/>
            </a:ln>
          </c:spPr>
          <c:invertIfNegative val="0"/>
          <c:cat>
            <c:strRef>
              <c:f>Examples!$B$33:$D$33</c:f>
              <c:strCache>
                <c:ptCount val="3"/>
                <c:pt idx="0">
                  <c:v>Blue</c:v>
                </c:pt>
                <c:pt idx="1">
                  <c:v>Mid Grey</c:v>
                </c:pt>
                <c:pt idx="2">
                  <c:v>Pale Blue</c:v>
                </c:pt>
              </c:strCache>
            </c:strRef>
          </c:cat>
          <c:val>
            <c:numRef>
              <c:f>Examples!$B$36:$D$36</c:f>
              <c:numCache>
                <c:formatCode>General</c:formatCode>
                <c:ptCount val="3"/>
                <c:pt idx="0">
                  <c:v>42.78</c:v>
                </c:pt>
                <c:pt idx="1">
                  <c:v>29.91</c:v>
                </c:pt>
                <c:pt idx="2">
                  <c:v>18.350000000000001</c:v>
                </c:pt>
              </c:numCache>
            </c:numRef>
          </c:val>
          <c:extLst>
            <c:ext xmlns:c16="http://schemas.microsoft.com/office/drawing/2014/chart" uri="{C3380CC4-5D6E-409C-BE32-E72D297353CC}">
              <c16:uniqueId val="{00000002-5F76-4480-A21A-CDDD3AEF2CBB}"/>
            </c:ext>
          </c:extLst>
        </c:ser>
        <c:ser>
          <c:idx val="3"/>
          <c:order val="3"/>
          <c:tx>
            <c:strRef>
              <c:f>Examples!$A$37</c:f>
              <c:strCache>
                <c:ptCount val="1"/>
                <c:pt idx="0">
                  <c:v>1993-94</c:v>
                </c:pt>
              </c:strCache>
            </c:strRef>
          </c:tx>
          <c:spPr>
            <a:solidFill>
              <a:srgbClr val="46B849"/>
            </a:solidFill>
            <a:ln w="25400">
              <a:noFill/>
            </a:ln>
          </c:spPr>
          <c:invertIfNegative val="0"/>
          <c:cat>
            <c:strRef>
              <c:f>Examples!$B$33:$D$33</c:f>
              <c:strCache>
                <c:ptCount val="3"/>
                <c:pt idx="0">
                  <c:v>Blue</c:v>
                </c:pt>
                <c:pt idx="1">
                  <c:v>Mid Grey</c:v>
                </c:pt>
                <c:pt idx="2">
                  <c:v>Pale Blue</c:v>
                </c:pt>
              </c:strCache>
            </c:strRef>
          </c:cat>
          <c:val>
            <c:numRef>
              <c:f>Examples!$B$37:$D$37</c:f>
              <c:numCache>
                <c:formatCode>General</c:formatCode>
                <c:ptCount val="3"/>
                <c:pt idx="0">
                  <c:v>42.13</c:v>
                </c:pt>
                <c:pt idx="1">
                  <c:v>26.53</c:v>
                </c:pt>
                <c:pt idx="2">
                  <c:v>21.6</c:v>
                </c:pt>
              </c:numCache>
            </c:numRef>
          </c:val>
          <c:extLst>
            <c:ext xmlns:c16="http://schemas.microsoft.com/office/drawing/2014/chart" uri="{C3380CC4-5D6E-409C-BE32-E72D297353CC}">
              <c16:uniqueId val="{00000003-5F76-4480-A21A-CDDD3AEF2CBB}"/>
            </c:ext>
          </c:extLst>
        </c:ser>
        <c:ser>
          <c:idx val="4"/>
          <c:order val="4"/>
          <c:tx>
            <c:strRef>
              <c:f>Examples!$A$38</c:f>
              <c:strCache>
                <c:ptCount val="1"/>
                <c:pt idx="0">
                  <c:v>1996-97</c:v>
                </c:pt>
              </c:strCache>
            </c:strRef>
          </c:tx>
          <c:spPr>
            <a:solidFill>
              <a:srgbClr val="212122"/>
            </a:solidFill>
            <a:ln w="25400">
              <a:noFill/>
            </a:ln>
          </c:spPr>
          <c:invertIfNegative val="0"/>
          <c:cat>
            <c:strRef>
              <c:f>Examples!$B$33:$D$33</c:f>
              <c:strCache>
                <c:ptCount val="3"/>
                <c:pt idx="0">
                  <c:v>Blue</c:v>
                </c:pt>
                <c:pt idx="1">
                  <c:v>Mid Grey</c:v>
                </c:pt>
                <c:pt idx="2">
                  <c:v>Pale Blue</c:v>
                </c:pt>
              </c:strCache>
            </c:strRef>
          </c:cat>
          <c:val>
            <c:numRef>
              <c:f>Examples!$B$38:$D$38</c:f>
              <c:numCache>
                <c:formatCode>General</c:formatCode>
                <c:ptCount val="3"/>
                <c:pt idx="0">
                  <c:v>41.69</c:v>
                </c:pt>
                <c:pt idx="1">
                  <c:v>24.76</c:v>
                </c:pt>
                <c:pt idx="2">
                  <c:v>23.98</c:v>
                </c:pt>
              </c:numCache>
            </c:numRef>
          </c:val>
          <c:extLst>
            <c:ext xmlns:c16="http://schemas.microsoft.com/office/drawing/2014/chart" uri="{C3380CC4-5D6E-409C-BE32-E72D297353CC}">
              <c16:uniqueId val="{00000004-5F76-4480-A21A-CDDD3AEF2CBB}"/>
            </c:ext>
          </c:extLst>
        </c:ser>
        <c:ser>
          <c:idx val="5"/>
          <c:order val="5"/>
          <c:tx>
            <c:strRef>
              <c:f>Examples!$A$39</c:f>
              <c:strCache>
                <c:ptCount val="1"/>
                <c:pt idx="0">
                  <c:v>1997-98</c:v>
                </c:pt>
              </c:strCache>
            </c:strRef>
          </c:tx>
          <c:spPr>
            <a:solidFill>
              <a:srgbClr val="F68B1F"/>
            </a:solidFill>
            <a:ln w="25400">
              <a:noFill/>
            </a:ln>
          </c:spPr>
          <c:invertIfNegative val="0"/>
          <c:cat>
            <c:strRef>
              <c:f>Examples!$B$33:$D$33</c:f>
              <c:strCache>
                <c:ptCount val="3"/>
                <c:pt idx="0">
                  <c:v>Blue</c:v>
                </c:pt>
                <c:pt idx="1">
                  <c:v>Mid Grey</c:v>
                </c:pt>
                <c:pt idx="2">
                  <c:v>Pale Blue</c:v>
                </c:pt>
              </c:strCache>
            </c:strRef>
          </c:cat>
          <c:val>
            <c:numRef>
              <c:f>Examples!$B$39:$D$39</c:f>
              <c:numCache>
                <c:formatCode>General</c:formatCode>
                <c:ptCount val="3"/>
                <c:pt idx="0">
                  <c:v>39.39</c:v>
                </c:pt>
                <c:pt idx="1">
                  <c:v>32.020000000000003</c:v>
                </c:pt>
                <c:pt idx="2">
                  <c:v>21.6</c:v>
                </c:pt>
              </c:numCache>
            </c:numRef>
          </c:val>
          <c:extLst>
            <c:ext xmlns:c16="http://schemas.microsoft.com/office/drawing/2014/chart" uri="{C3380CC4-5D6E-409C-BE32-E72D297353CC}">
              <c16:uniqueId val="{00000005-5F76-4480-A21A-CDDD3AEF2CBB}"/>
            </c:ext>
          </c:extLst>
        </c:ser>
        <c:ser>
          <c:idx val="6"/>
          <c:order val="6"/>
          <c:tx>
            <c:strRef>
              <c:f>Examples!$A$40</c:f>
              <c:strCache>
                <c:ptCount val="1"/>
                <c:pt idx="0">
                  <c:v>1998-99</c:v>
                </c:pt>
              </c:strCache>
            </c:strRef>
          </c:tx>
          <c:spPr>
            <a:solidFill>
              <a:srgbClr val="8F439B"/>
            </a:solidFill>
            <a:ln w="25400">
              <a:noFill/>
            </a:ln>
          </c:spPr>
          <c:invertIfNegative val="0"/>
          <c:cat>
            <c:strRef>
              <c:f>Examples!$B$33:$D$33</c:f>
              <c:strCache>
                <c:ptCount val="3"/>
                <c:pt idx="0">
                  <c:v>Blue</c:v>
                </c:pt>
                <c:pt idx="1">
                  <c:v>Mid Grey</c:v>
                </c:pt>
                <c:pt idx="2">
                  <c:v>Pale Blue</c:v>
                </c:pt>
              </c:strCache>
            </c:strRef>
          </c:cat>
          <c:val>
            <c:numRef>
              <c:f>Examples!$B$40:$D$40</c:f>
              <c:numCache>
                <c:formatCode>General</c:formatCode>
                <c:ptCount val="3"/>
                <c:pt idx="0">
                  <c:v>42.13</c:v>
                </c:pt>
                <c:pt idx="1">
                  <c:v>26.53</c:v>
                </c:pt>
                <c:pt idx="2">
                  <c:v>21.6</c:v>
                </c:pt>
              </c:numCache>
            </c:numRef>
          </c:val>
          <c:extLst>
            <c:ext xmlns:c16="http://schemas.microsoft.com/office/drawing/2014/chart" uri="{C3380CC4-5D6E-409C-BE32-E72D297353CC}">
              <c16:uniqueId val="{00000006-5F76-4480-A21A-CDDD3AEF2CBB}"/>
            </c:ext>
          </c:extLst>
        </c:ser>
        <c:ser>
          <c:idx val="7"/>
          <c:order val="7"/>
          <c:tx>
            <c:strRef>
              <c:f>Examples!$A$41</c:f>
              <c:strCache>
                <c:ptCount val="1"/>
                <c:pt idx="0">
                  <c:v>1999-00</c:v>
                </c:pt>
              </c:strCache>
            </c:strRef>
          </c:tx>
          <c:spPr>
            <a:solidFill>
              <a:srgbClr val="EDA6A8"/>
            </a:solidFill>
            <a:ln w="25400">
              <a:noFill/>
            </a:ln>
          </c:spPr>
          <c:invertIfNegative val="0"/>
          <c:cat>
            <c:strRef>
              <c:f>Examples!$B$33:$D$33</c:f>
              <c:strCache>
                <c:ptCount val="3"/>
                <c:pt idx="0">
                  <c:v>Blue</c:v>
                </c:pt>
                <c:pt idx="1">
                  <c:v>Mid Grey</c:v>
                </c:pt>
                <c:pt idx="2">
                  <c:v>Pale Blue</c:v>
                </c:pt>
              </c:strCache>
            </c:strRef>
          </c:cat>
          <c:val>
            <c:numRef>
              <c:f>Examples!$B$41:$D$41</c:f>
              <c:numCache>
                <c:formatCode>General</c:formatCode>
                <c:ptCount val="3"/>
                <c:pt idx="0">
                  <c:v>45</c:v>
                </c:pt>
                <c:pt idx="1">
                  <c:v>22</c:v>
                </c:pt>
                <c:pt idx="2">
                  <c:v>26</c:v>
                </c:pt>
              </c:numCache>
            </c:numRef>
          </c:val>
          <c:extLst>
            <c:ext xmlns:c16="http://schemas.microsoft.com/office/drawing/2014/chart" uri="{C3380CC4-5D6E-409C-BE32-E72D297353CC}">
              <c16:uniqueId val="{00000007-5F76-4480-A21A-CDDD3AEF2CBB}"/>
            </c:ext>
          </c:extLst>
        </c:ser>
        <c:dLbls>
          <c:showLegendKey val="0"/>
          <c:showVal val="0"/>
          <c:showCatName val="0"/>
          <c:showSerName val="0"/>
          <c:showPercent val="0"/>
          <c:showBubbleSize val="0"/>
        </c:dLbls>
        <c:gapWidth val="150"/>
        <c:axId val="682326496"/>
        <c:axId val="682324144"/>
      </c:barChart>
      <c:catAx>
        <c:axId val="6823264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en-US"/>
          </a:p>
        </c:txPr>
        <c:crossAx val="682324144"/>
        <c:crosses val="autoZero"/>
        <c:auto val="1"/>
        <c:lblAlgn val="ctr"/>
        <c:lblOffset val="100"/>
        <c:tickLblSkip val="1"/>
        <c:tickMarkSkip val="1"/>
        <c:noMultiLvlLbl val="0"/>
      </c:catAx>
      <c:valAx>
        <c:axId val="682324144"/>
        <c:scaling>
          <c:orientation val="minMax"/>
        </c:scaling>
        <c:delete val="0"/>
        <c:axPos val="l"/>
        <c:majorGridlines>
          <c:spPr>
            <a:ln w="3175">
              <a:solidFill>
                <a:srgbClr val="000000"/>
              </a:solidFill>
              <a:prstDash val="solid"/>
            </a:ln>
          </c:spPr>
        </c:majorGridlines>
        <c:numFmt formatCode="General" sourceLinked="1"/>
        <c:majorTickMark val="none"/>
        <c:minorTickMark val="none"/>
        <c:tickLblPos val="nextTo"/>
        <c:spPr>
          <a:ln w="9525">
            <a:noFill/>
          </a:ln>
        </c:spPr>
        <c:txPr>
          <a:bodyPr rot="0" vert="horz"/>
          <a:lstStyle/>
          <a:p>
            <a:pPr>
              <a:defRPr/>
            </a:pPr>
            <a:endParaRPr lang="en-US"/>
          </a:p>
        </c:txPr>
        <c:crossAx val="682326496"/>
        <c:crosses val="autoZero"/>
        <c:crossBetween val="between"/>
      </c:valAx>
      <c:spPr>
        <a:solidFill>
          <a:srgbClr val="FFFFFF"/>
        </a:solidFill>
        <a:ln w="25400">
          <a:noFill/>
        </a:ln>
      </c:spPr>
    </c:plotArea>
    <c:legend>
      <c:legendPos val="r"/>
      <c:layout>
        <c:manualLayout>
          <c:xMode val="edge"/>
          <c:yMode val="edge"/>
          <c:x val="0.44698874068513622"/>
          <c:y val="9.2652226936491514E-2"/>
          <c:w val="0.45180802629899219"/>
          <c:h val="0.13099107946193631"/>
        </c:manualLayout>
      </c:layout>
      <c:overlay val="0"/>
      <c:spPr>
        <a:no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pitchFamily="34" charset="0"/>
          <a:ea typeface="Myriad Pro"/>
          <a:cs typeface="Arial" pitchFamily="34" charset="0"/>
        </a:defRPr>
      </a:pPr>
      <a:endParaRPr lang="en-US"/>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831427366271004E-2"/>
          <c:y val="6.7092991919528347E-2"/>
          <c:w val="0.92650765926379997"/>
          <c:h val="0.79233628552585855"/>
        </c:manualLayout>
      </c:layout>
      <c:scatterChart>
        <c:scatterStyle val="lineMarker"/>
        <c:varyColors val="0"/>
        <c:ser>
          <c:idx val="0"/>
          <c:order val="0"/>
          <c:tx>
            <c:strRef>
              <c:f>Examples!$T$33</c:f>
              <c:strCache>
                <c:ptCount val="1"/>
                <c:pt idx="0">
                  <c:v>1st Y value</c:v>
                </c:pt>
              </c:strCache>
            </c:strRef>
          </c:tx>
          <c:spPr>
            <a:ln w="28575">
              <a:noFill/>
            </a:ln>
          </c:spPr>
          <c:marker>
            <c:symbol val="diamond"/>
            <c:size val="7"/>
            <c:spPr>
              <a:solidFill>
                <a:srgbClr val="007BC4"/>
              </a:solidFill>
              <a:ln>
                <a:solidFill>
                  <a:srgbClr val="007BC4"/>
                </a:solidFill>
                <a:prstDash val="solid"/>
              </a:ln>
            </c:spPr>
          </c:marker>
          <c:xVal>
            <c:numRef>
              <c:f>Examples!$S$34:$S$38</c:f>
              <c:numCache>
                <c:formatCode>General</c:formatCode>
                <c:ptCount val="5"/>
                <c:pt idx="0">
                  <c:v>1.8</c:v>
                </c:pt>
                <c:pt idx="1">
                  <c:v>2.2999999999999998</c:v>
                </c:pt>
                <c:pt idx="2">
                  <c:v>3.7</c:v>
                </c:pt>
                <c:pt idx="3">
                  <c:v>4.0999999999999996</c:v>
                </c:pt>
                <c:pt idx="4">
                  <c:v>5.5</c:v>
                </c:pt>
              </c:numCache>
            </c:numRef>
          </c:xVal>
          <c:yVal>
            <c:numRef>
              <c:f>Examples!$T$34:$T$38</c:f>
              <c:numCache>
                <c:formatCode>General</c:formatCode>
                <c:ptCount val="5"/>
                <c:pt idx="0">
                  <c:v>10</c:v>
                </c:pt>
                <c:pt idx="1">
                  <c:v>12</c:v>
                </c:pt>
                <c:pt idx="2">
                  <c:v>16</c:v>
                </c:pt>
                <c:pt idx="3">
                  <c:v>8</c:v>
                </c:pt>
                <c:pt idx="4">
                  <c:v>14</c:v>
                </c:pt>
              </c:numCache>
            </c:numRef>
          </c:yVal>
          <c:smooth val="0"/>
          <c:extLst>
            <c:ext xmlns:c16="http://schemas.microsoft.com/office/drawing/2014/chart" uri="{C3380CC4-5D6E-409C-BE32-E72D297353CC}">
              <c16:uniqueId val="{00000000-26D1-4123-827F-F5EFE8159CFE}"/>
            </c:ext>
          </c:extLst>
        </c:ser>
        <c:ser>
          <c:idx val="1"/>
          <c:order val="1"/>
          <c:tx>
            <c:strRef>
              <c:f>Examples!$U$33</c:f>
              <c:strCache>
                <c:ptCount val="1"/>
                <c:pt idx="0">
                  <c:v>2nd Y value</c:v>
                </c:pt>
              </c:strCache>
            </c:strRef>
          </c:tx>
          <c:spPr>
            <a:ln w="28575">
              <a:noFill/>
            </a:ln>
          </c:spPr>
          <c:marker>
            <c:symbol val="square"/>
            <c:size val="6"/>
            <c:spPr>
              <a:solidFill>
                <a:srgbClr val="A0A09A"/>
              </a:solidFill>
              <a:ln>
                <a:solidFill>
                  <a:srgbClr val="A0A09A"/>
                </a:solidFill>
                <a:prstDash val="solid"/>
              </a:ln>
            </c:spPr>
          </c:marker>
          <c:xVal>
            <c:numRef>
              <c:f>Examples!$S$34:$S$38</c:f>
              <c:numCache>
                <c:formatCode>General</c:formatCode>
                <c:ptCount val="5"/>
                <c:pt idx="0">
                  <c:v>1.8</c:v>
                </c:pt>
                <c:pt idx="1">
                  <c:v>2.2999999999999998</c:v>
                </c:pt>
                <c:pt idx="2">
                  <c:v>3.7</c:v>
                </c:pt>
                <c:pt idx="3">
                  <c:v>4.0999999999999996</c:v>
                </c:pt>
                <c:pt idx="4">
                  <c:v>5.5</c:v>
                </c:pt>
              </c:numCache>
            </c:numRef>
          </c:xVal>
          <c:yVal>
            <c:numRef>
              <c:f>Examples!$U$34:$U$38</c:f>
              <c:numCache>
                <c:formatCode>General</c:formatCode>
                <c:ptCount val="5"/>
                <c:pt idx="0">
                  <c:v>17</c:v>
                </c:pt>
                <c:pt idx="1">
                  <c:v>9</c:v>
                </c:pt>
                <c:pt idx="2">
                  <c:v>14</c:v>
                </c:pt>
                <c:pt idx="3">
                  <c:v>23</c:v>
                </c:pt>
                <c:pt idx="4">
                  <c:v>27</c:v>
                </c:pt>
              </c:numCache>
            </c:numRef>
          </c:yVal>
          <c:smooth val="0"/>
          <c:extLst>
            <c:ext xmlns:c16="http://schemas.microsoft.com/office/drawing/2014/chart" uri="{C3380CC4-5D6E-409C-BE32-E72D297353CC}">
              <c16:uniqueId val="{00000001-26D1-4123-827F-F5EFE8159CFE}"/>
            </c:ext>
          </c:extLst>
        </c:ser>
        <c:dLbls>
          <c:showLegendKey val="0"/>
          <c:showVal val="0"/>
          <c:showCatName val="0"/>
          <c:showSerName val="0"/>
          <c:showPercent val="0"/>
          <c:showBubbleSize val="0"/>
        </c:dLbls>
        <c:axId val="682326888"/>
        <c:axId val="682320616"/>
      </c:scatterChart>
      <c:valAx>
        <c:axId val="682326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682320616"/>
        <c:crosses val="autoZero"/>
        <c:crossBetween val="midCat"/>
      </c:valAx>
      <c:valAx>
        <c:axId val="682320616"/>
        <c:scaling>
          <c:orientation val="minMax"/>
        </c:scaling>
        <c:delete val="0"/>
        <c:axPos val="l"/>
        <c:majorGridlines>
          <c:spPr>
            <a:ln w="3175">
              <a:solidFill>
                <a:srgbClr val="000000"/>
              </a:solidFill>
              <a:prstDash val="solid"/>
            </a:ln>
          </c:spPr>
        </c:majorGridlines>
        <c:numFmt formatCode="General" sourceLinked="1"/>
        <c:majorTickMark val="none"/>
        <c:minorTickMark val="none"/>
        <c:tickLblPos val="nextTo"/>
        <c:spPr>
          <a:ln w="9525">
            <a:noFill/>
          </a:ln>
        </c:spPr>
        <c:txPr>
          <a:bodyPr rot="0" vert="horz"/>
          <a:lstStyle/>
          <a:p>
            <a:pPr>
              <a:defRPr/>
            </a:pPr>
            <a:endParaRPr lang="en-US"/>
          </a:p>
        </c:txPr>
        <c:crossAx val="682326888"/>
        <c:crosses val="autoZero"/>
        <c:crossBetween val="midCat"/>
      </c:valAx>
      <c:spPr>
        <a:solidFill>
          <a:srgbClr val="FFFFFF"/>
        </a:solidFill>
        <a:ln w="25400">
          <a:noFill/>
        </a:ln>
      </c:spPr>
    </c:plotArea>
    <c:legend>
      <c:legendPos val="r"/>
      <c:layout>
        <c:manualLayout>
          <c:xMode val="edge"/>
          <c:yMode val="edge"/>
          <c:x val="0.12530142596025384"/>
          <c:y val="9.5847131313611916E-2"/>
          <c:w val="0.31686802911102657"/>
          <c:h val="7.6677705050889541E-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pitchFamily="34" charset="0"/>
          <a:ea typeface="Myriad Pro"/>
          <a:cs typeface="Arial" pitchFamily="34" charset="0"/>
        </a:defRPr>
      </a:pPr>
      <a:endParaRPr lang="en-US"/>
    </a:p>
  </c:txPr>
  <c:printSettings>
    <c:headerFooter alignWithMargins="0"/>
    <c:pageMargins b="1" l="0.75" r="0.75" t="1" header="0.5" footer="0.5"/>
    <c:pageSetup paperSize="9" orientation="landscape"/>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11430</xdr:colOff>
      <xdr:row>42</xdr:row>
      <xdr:rowOff>0</xdr:rowOff>
    </xdr:from>
    <xdr:to>
      <xdr:col>2</xdr:col>
      <xdr:colOff>106680</xdr:colOff>
      <xdr:row>137</xdr:row>
      <xdr:rowOff>76200</xdr:rowOff>
    </xdr:to>
    <xdr:sp macro="" textlink="">
      <xdr:nvSpPr>
        <xdr:cNvPr id="2" name="Text Box 63">
          <a:extLst>
            <a:ext uri="{FF2B5EF4-FFF2-40B4-BE49-F238E27FC236}">
              <a16:creationId xmlns:a16="http://schemas.microsoft.com/office/drawing/2014/main" id="{00000000-0008-0000-0000-000002000000}"/>
            </a:ext>
          </a:extLst>
        </xdr:cNvPr>
        <xdr:cNvSpPr txBox="1">
          <a:spLocks noChangeArrowheads="1"/>
        </xdr:cNvSpPr>
      </xdr:nvSpPr>
      <xdr:spPr bwMode="auto">
        <a:xfrm>
          <a:off x="11430" y="6751320"/>
          <a:ext cx="1695450" cy="13830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AU" sz="1200" b="1" i="0" strike="noStrike">
              <a:solidFill>
                <a:srgbClr val="FF0000"/>
              </a:solidFill>
              <a:latin typeface="Arial Narrow"/>
            </a:rPr>
            <a:t>Please read</a:t>
          </a:r>
          <a:endParaRPr lang="en-AU" sz="1000" b="0" i="0" strike="noStrike">
            <a:solidFill>
              <a:srgbClr val="FF0000"/>
            </a:solidFill>
            <a:latin typeface="Arial Narrow"/>
          </a:endParaRPr>
        </a:p>
        <a:p>
          <a:pPr algn="l" rtl="0">
            <a:defRPr sz="1000"/>
          </a:pPr>
          <a:endParaRPr lang="en-AU" sz="1000" b="0" i="0" strike="noStrike">
            <a:solidFill>
              <a:srgbClr val="FF0000"/>
            </a:solidFill>
            <a:latin typeface="Arial Narrow"/>
          </a:endParaRPr>
        </a:p>
        <a:p>
          <a:pPr algn="l" rtl="0">
            <a:defRPr sz="1000"/>
          </a:pPr>
          <a:r>
            <a:rPr lang="en-AU" sz="1000" b="0" i="0" strike="noStrike">
              <a:solidFill>
                <a:srgbClr val="FF0000"/>
              </a:solidFill>
              <a:latin typeface="Arial Narrow"/>
            </a:rPr>
            <a:t>The charts in this Examples sheet are available when you use the Custom Chart macro on the IPART menu. </a:t>
          </a:r>
          <a:r>
            <a:rPr lang="en-AU" sz="1000" b="1" i="0" strike="noStrike">
              <a:solidFill>
                <a:srgbClr val="FF0000"/>
              </a:solidFill>
              <a:latin typeface="Arial Narrow"/>
            </a:rPr>
            <a:t>Note</a:t>
          </a:r>
          <a:r>
            <a:rPr lang="en-AU" sz="1000" b="0" i="0" strike="noStrike">
              <a:solidFill>
                <a:srgbClr val="FF0000"/>
              </a:solidFill>
              <a:latin typeface="Arial Narrow"/>
            </a:rPr>
            <a:t> their names, colours, font and its ize and other general features.</a:t>
          </a:r>
        </a:p>
        <a:p>
          <a:pPr algn="l" rtl="0">
            <a:defRPr sz="1000"/>
          </a:pPr>
          <a:endParaRPr lang="en-AU" sz="1000" b="0" i="0" strike="noStrike">
            <a:solidFill>
              <a:srgbClr val="FF0000"/>
            </a:solidFill>
            <a:latin typeface="Arial Narrow"/>
          </a:endParaRPr>
        </a:p>
        <a:p>
          <a:pPr algn="l" rtl="0">
            <a:defRPr sz="1000"/>
          </a:pPr>
          <a:r>
            <a:rPr lang="en-AU" sz="1000" b="1" i="0" strike="noStrike">
              <a:solidFill>
                <a:srgbClr val="FF0000"/>
              </a:solidFill>
              <a:latin typeface="Arial Narrow"/>
            </a:rPr>
            <a:t>To produce a customised IPART chart</a:t>
          </a:r>
          <a:r>
            <a:rPr lang="en-AU" sz="1000" b="0" i="0" strike="noStrike">
              <a:solidFill>
                <a:srgbClr val="FF0000"/>
              </a:solidFill>
              <a:latin typeface="Arial Narrow"/>
            </a:rPr>
            <a:t>, create or copy and paste link contiguous data that are to be plotted onto one of the other sheets.  Select the data and then under the IPART menu select Custom Chart. Complete the dialogue box. The smaller size option enables two charts to be pasted side by side in the figure framework and six charts to be included on an IPART report page (see below). </a:t>
          </a:r>
        </a:p>
        <a:p>
          <a:pPr algn="l" rtl="0">
            <a:defRPr sz="1000"/>
          </a:pPr>
          <a:endParaRPr lang="en-AU" sz="1000" b="0" i="0" strike="noStrike">
            <a:solidFill>
              <a:srgbClr val="FF0000"/>
            </a:solidFill>
            <a:latin typeface="Arial Narrow"/>
          </a:endParaRPr>
        </a:p>
        <a:p>
          <a:pPr algn="l" rtl="0">
            <a:defRPr sz="1000"/>
          </a:pPr>
          <a:r>
            <a:rPr lang="en-AU" sz="1000" b="1" i="0" strike="noStrike">
              <a:solidFill>
                <a:srgbClr val="FF0000"/>
              </a:solidFill>
              <a:latin typeface="Arial Narrow"/>
            </a:rPr>
            <a:t>Note</a:t>
          </a:r>
          <a:r>
            <a:rPr lang="en-AU" sz="1000" b="0" i="0" strike="noStrike">
              <a:solidFill>
                <a:srgbClr val="FF0000"/>
              </a:solidFill>
              <a:latin typeface="Arial Narrow"/>
            </a:rPr>
            <a:t> that after creating a customised chart you cannot change its type (only its size and titles) using the custom macro and if the chart has positive and negative values you will have to specify decimal places after creating the chart.</a:t>
          </a:r>
        </a:p>
        <a:p>
          <a:pPr algn="l" rtl="0">
            <a:defRPr sz="1000"/>
          </a:pPr>
          <a:endParaRPr lang="en-AU" sz="1000" b="0" i="0" strike="noStrike">
            <a:solidFill>
              <a:srgbClr val="FF0000"/>
            </a:solidFill>
            <a:latin typeface="Arial Narrow"/>
          </a:endParaRPr>
        </a:p>
        <a:p>
          <a:pPr algn="l" rtl="0">
            <a:defRPr sz="1000"/>
          </a:pPr>
          <a:r>
            <a:rPr lang="en-AU" sz="1000" b="1" i="0" strike="noStrike">
              <a:solidFill>
                <a:srgbClr val="FF0000"/>
              </a:solidFill>
              <a:latin typeface="Arial Narrow"/>
            </a:rPr>
            <a:t>Alternatively</a:t>
          </a:r>
          <a:r>
            <a:rPr lang="en-AU" sz="1000" b="0" i="0" strike="noStrike">
              <a:solidFill>
                <a:srgbClr val="FF0000"/>
              </a:solidFill>
              <a:latin typeface="Arial Narrow"/>
            </a:rPr>
            <a:t>,</a:t>
          </a:r>
          <a:r>
            <a:rPr lang="en-AU" sz="1000" b="1" i="0" strike="noStrike">
              <a:solidFill>
                <a:srgbClr val="FF0000"/>
              </a:solidFill>
              <a:latin typeface="Arial Narrow"/>
            </a:rPr>
            <a:t> </a:t>
          </a:r>
          <a:r>
            <a:rPr lang="en-AU" sz="1000" b="0" i="0" strike="noStrike">
              <a:solidFill>
                <a:srgbClr val="FF0000"/>
              </a:solidFill>
              <a:latin typeface="Arial Narrow"/>
            </a:rPr>
            <a:t>copy the chart on this sheet that is closest to what you require and paste it onto one of the other sheets with the contiguous data to be plotted. If necessary, alter the 'Chart Type...', then resource the 'Source Data...'. Fix the placement of the legend or directly label the chart elements.</a:t>
          </a:r>
        </a:p>
        <a:p>
          <a:pPr algn="l" rtl="0">
            <a:defRPr sz="1000"/>
          </a:pPr>
          <a:endParaRPr lang="en-AU" sz="1000" b="0" i="0" strike="noStrike">
            <a:solidFill>
              <a:srgbClr val="FF0000"/>
            </a:solidFill>
            <a:latin typeface="Arial Narrow"/>
          </a:endParaRPr>
        </a:p>
        <a:p>
          <a:pPr algn="l" rtl="0">
            <a:defRPr sz="1000"/>
          </a:pPr>
          <a:r>
            <a:rPr lang="en-AU" sz="1000" b="1" i="0" strike="noStrike">
              <a:solidFill>
                <a:srgbClr val="FF0000"/>
              </a:solidFill>
              <a:latin typeface="Arial Narrow"/>
            </a:rPr>
            <a:t>Alternatively</a:t>
          </a:r>
          <a:r>
            <a:rPr lang="en-AU" sz="1000" b="0" i="0" strike="noStrike">
              <a:solidFill>
                <a:srgbClr val="FF0000"/>
              </a:solidFill>
              <a:latin typeface="Arial Narrow"/>
            </a:rPr>
            <a:t>, use Excel's chart wizard and then apply  the features of the charts on this sheet to your chart by formatting the chart area and altering chart options.</a:t>
          </a:r>
        </a:p>
        <a:p>
          <a:pPr algn="l" rtl="0">
            <a:defRPr sz="1000"/>
          </a:pPr>
          <a:endParaRPr lang="en-AU" sz="1000" b="0" i="0" strike="noStrike">
            <a:solidFill>
              <a:srgbClr val="FF0000"/>
            </a:solidFill>
            <a:latin typeface="Arial Narrow"/>
          </a:endParaRPr>
        </a:p>
        <a:p>
          <a:pPr algn="l" rtl="0">
            <a:defRPr sz="1000"/>
          </a:pPr>
          <a:r>
            <a:rPr lang="en-AU" sz="1000" b="1" i="0" strike="noStrike">
              <a:solidFill>
                <a:srgbClr val="FF0000"/>
              </a:solidFill>
              <a:latin typeface="Arial Narrow"/>
            </a:rPr>
            <a:t>A recommended way  to get Excel charts into a Word document</a:t>
          </a:r>
          <a:r>
            <a:rPr lang="en-AU" sz="1000" b="0" i="0" strike="noStrike">
              <a:solidFill>
                <a:srgbClr val="FF0000"/>
              </a:solidFill>
              <a:latin typeface="Arial Narrow"/>
            </a:rPr>
            <a:t>  (so that file sizes are kept to a minimum and Word file recipients cannot access your work sheets) follows.</a:t>
          </a:r>
        </a:p>
        <a:p>
          <a:pPr algn="l" rtl="0">
            <a:defRPr sz="1000"/>
          </a:pPr>
          <a:endParaRPr lang="en-AU" sz="1000" b="0" i="0" strike="noStrike">
            <a:solidFill>
              <a:srgbClr val="FF0000"/>
            </a:solidFill>
            <a:latin typeface="Arial Narrow"/>
          </a:endParaRPr>
        </a:p>
        <a:p>
          <a:pPr algn="l" rtl="0">
            <a:defRPr sz="1000"/>
          </a:pPr>
          <a:r>
            <a:rPr lang="en-AU" sz="1000" b="0" i="0" strike="noStrike">
              <a:solidFill>
                <a:srgbClr val="FF0000"/>
              </a:solidFill>
              <a:latin typeface="Arial Narrow"/>
            </a:rPr>
            <a:t>Select the chart </a:t>
          </a:r>
          <a:r>
            <a:rPr lang="en-AU" sz="1000" b="1" i="0" strike="noStrike">
              <a:solidFill>
                <a:srgbClr val="FF0000"/>
              </a:solidFill>
              <a:latin typeface="Arial Narrow"/>
            </a:rPr>
            <a:t>in Excel</a:t>
          </a:r>
          <a:r>
            <a:rPr lang="en-AU" sz="1000" b="0" i="0" strike="noStrike">
              <a:solidFill>
                <a:srgbClr val="FF0000"/>
              </a:solidFill>
              <a:latin typeface="Arial Narrow"/>
            </a:rPr>
            <a:t> and then under the IPART menu select </a:t>
          </a:r>
          <a:r>
            <a:rPr lang="en-AU" sz="1000" b="1" i="0" strike="noStrike">
              <a:solidFill>
                <a:srgbClr val="FF0000"/>
              </a:solidFill>
              <a:latin typeface="Arial Narrow"/>
            </a:rPr>
            <a:t>Copy Chart as Picture</a:t>
          </a:r>
          <a:r>
            <a:rPr lang="en-AU" sz="1000" b="0" i="0" strike="noStrike">
              <a:solidFill>
                <a:srgbClr val="FF0000"/>
              </a:solidFill>
              <a:latin typeface="Arial Narrow"/>
            </a:rPr>
            <a:t>.</a:t>
          </a:r>
        </a:p>
        <a:p>
          <a:pPr algn="l" rtl="0">
            <a:defRPr sz="1000"/>
          </a:pPr>
          <a:endParaRPr lang="en-AU" sz="1000" b="0" i="0" strike="noStrike">
            <a:solidFill>
              <a:srgbClr val="FF0000"/>
            </a:solidFill>
            <a:latin typeface="Arial Narrow"/>
          </a:endParaRPr>
        </a:p>
        <a:p>
          <a:pPr algn="l" rtl="0">
            <a:defRPr sz="1000"/>
          </a:pPr>
          <a:r>
            <a:rPr lang="en-AU" sz="1000" b="0" i="0" strike="noStrike">
              <a:solidFill>
                <a:srgbClr val="FF0000"/>
              </a:solidFill>
              <a:latin typeface="Arial Narrow"/>
            </a:rPr>
            <a:t>Then </a:t>
          </a:r>
          <a:r>
            <a:rPr lang="en-AU" sz="1000" b="1" i="0" strike="noStrike">
              <a:solidFill>
                <a:srgbClr val="FF0000"/>
              </a:solidFill>
              <a:latin typeface="Arial Narrow"/>
            </a:rPr>
            <a:t>in the destination Word document</a:t>
          </a:r>
          <a:r>
            <a:rPr lang="en-AU" sz="1000" b="0" i="0" strike="noStrike">
              <a:solidFill>
                <a:srgbClr val="FF0000"/>
              </a:solidFill>
              <a:latin typeface="Arial Narrow"/>
            </a:rPr>
            <a:t> created from the template Report &amp; determination, </a:t>
          </a:r>
          <a:r>
            <a:rPr lang="en-AU" sz="1000" b="1" i="0" strike="noStrike">
              <a:solidFill>
                <a:srgbClr val="FF0000"/>
              </a:solidFill>
              <a:latin typeface="Arial Narrow"/>
            </a:rPr>
            <a:t>Insert Figure framework</a:t>
          </a:r>
          <a:r>
            <a:rPr lang="en-AU" sz="1000" b="0" i="0" strike="noStrike">
              <a:solidFill>
                <a:srgbClr val="FF0000"/>
              </a:solidFill>
              <a:latin typeface="Arial Narrow"/>
            </a:rPr>
            <a:t> from the Report menu, put your cursor in the framework's cell, and then select </a:t>
          </a:r>
          <a:r>
            <a:rPr lang="en-AU" sz="1000" b="1" i="0" strike="noStrike">
              <a:solidFill>
                <a:srgbClr val="FF0000"/>
              </a:solidFill>
              <a:latin typeface="Arial Narrow"/>
            </a:rPr>
            <a:t>Paste Excel chart as a picutre</a:t>
          </a:r>
          <a:r>
            <a:rPr lang="en-AU" sz="1000" b="0" i="0" strike="noStrike">
              <a:solidFill>
                <a:srgbClr val="FF0000"/>
              </a:solidFill>
              <a:latin typeface="Arial Narrow"/>
            </a:rPr>
            <a:t> from the Report menu. (The chart is pasted as a Picture (Windows Metafile).)</a:t>
          </a:r>
        </a:p>
        <a:p>
          <a:pPr algn="l" rtl="0">
            <a:defRPr sz="1000"/>
          </a:pPr>
          <a:endParaRPr lang="en-AU" sz="1000" b="0" i="0" strike="noStrike">
            <a:solidFill>
              <a:srgbClr val="FF0000"/>
            </a:solidFill>
            <a:latin typeface="Arial Narrow"/>
          </a:endParaRPr>
        </a:p>
        <a:p>
          <a:pPr algn="l" rtl="0">
            <a:defRPr sz="1000"/>
          </a:pPr>
          <a:r>
            <a:rPr lang="en-AU" sz="1000" b="0" i="0" strike="noStrike">
              <a:solidFill>
                <a:srgbClr val="FF0000"/>
              </a:solidFill>
              <a:latin typeface="Arial Narrow"/>
            </a:rPr>
            <a:t>If you have elected in Word to </a:t>
          </a:r>
          <a:r>
            <a:rPr lang="en-AU" sz="1000" b="1" i="0" strike="noStrike">
              <a:solidFill>
                <a:srgbClr val="FF0000"/>
              </a:solidFill>
              <a:latin typeface="Arial Narrow"/>
            </a:rPr>
            <a:t>Insert/paste pictures as: In line with text</a:t>
          </a:r>
          <a:r>
            <a:rPr lang="en-AU" sz="1000" b="0" i="0" strike="noStrike">
              <a:solidFill>
                <a:srgbClr val="FF0000"/>
              </a:solidFill>
              <a:latin typeface="Arial Narrow"/>
            </a:rPr>
            <a:t> under Tools, Options..., Edit, you will be able to see the chart whether viewing the Word document as Normal, Print Layout or Print Preview.</a:t>
          </a:r>
        </a:p>
      </xdr:txBody>
    </xdr:sp>
    <xdr:clientData/>
  </xdr:twoCellAnchor>
  <xdr:twoCellAnchor>
    <xdr:from>
      <xdr:col>2</xdr:col>
      <xdr:colOff>147320</xdr:colOff>
      <xdr:row>42</xdr:row>
      <xdr:rowOff>45720</xdr:rowOff>
    </xdr:from>
    <xdr:to>
      <xdr:col>18</xdr:col>
      <xdr:colOff>482600</xdr:colOff>
      <xdr:row>201</xdr:row>
      <xdr:rowOff>137160</xdr:rowOff>
    </xdr:to>
    <xdr:sp macro="" textlink="">
      <xdr:nvSpPr>
        <xdr:cNvPr id="3" name="Rectangle 119">
          <a:extLst>
            <a:ext uri="{FF2B5EF4-FFF2-40B4-BE49-F238E27FC236}">
              <a16:creationId xmlns:a16="http://schemas.microsoft.com/office/drawing/2014/main" id="{00000000-0008-0000-0000-000003000000}"/>
            </a:ext>
          </a:extLst>
        </xdr:cNvPr>
        <xdr:cNvSpPr>
          <a:spLocks noChangeArrowheads="1"/>
        </xdr:cNvSpPr>
      </xdr:nvSpPr>
      <xdr:spPr bwMode="auto">
        <a:xfrm>
          <a:off x="1747520" y="6797040"/>
          <a:ext cx="13136880" cy="23111460"/>
        </a:xfrm>
        <a:prstGeom prst="rect">
          <a:avLst/>
        </a:prstGeom>
        <a:solidFill>
          <a:srgbClr val="C0C0C0"/>
        </a:solidFill>
        <a:ln w="9525">
          <a:solidFill>
            <a:srgbClr val="000000"/>
          </a:solidFill>
          <a:miter lim="800000"/>
          <a:headEnd/>
          <a:tailEnd/>
        </a:ln>
      </xdr:spPr>
    </xdr:sp>
    <xdr:clientData/>
  </xdr:twoCellAnchor>
  <xdr:twoCellAnchor>
    <xdr:from>
      <xdr:col>2</xdr:col>
      <xdr:colOff>266700</xdr:colOff>
      <xdr:row>43</xdr:row>
      <xdr:rowOff>60960</xdr:rowOff>
    </xdr:from>
    <xdr:to>
      <xdr:col>10</xdr:col>
      <xdr:colOff>190500</xdr:colOff>
      <xdr:row>59</xdr:row>
      <xdr:rowOff>129540</xdr:rowOff>
    </xdr:to>
    <xdr:graphicFrame macro="">
      <xdr:nvGraphicFramePr>
        <xdr:cNvPr id="4" name="1. Line">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388620</xdr:colOff>
      <xdr:row>119</xdr:row>
      <xdr:rowOff>106680</xdr:rowOff>
    </xdr:from>
    <xdr:to>
      <xdr:col>18</xdr:col>
      <xdr:colOff>312420</xdr:colOff>
      <xdr:row>136</xdr:row>
      <xdr:rowOff>30480</xdr:rowOff>
    </xdr:to>
    <xdr:graphicFrame macro="">
      <xdr:nvGraphicFramePr>
        <xdr:cNvPr id="5" name="10. Stacked column">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419100</xdr:colOff>
      <xdr:row>80</xdr:row>
      <xdr:rowOff>53340</xdr:rowOff>
    </xdr:from>
    <xdr:to>
      <xdr:col>18</xdr:col>
      <xdr:colOff>342900</xdr:colOff>
      <xdr:row>96</xdr:row>
      <xdr:rowOff>114300</xdr:rowOff>
    </xdr:to>
    <xdr:graphicFrame macro="">
      <xdr:nvGraphicFramePr>
        <xdr:cNvPr id="6" name="6. Cluster bar">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381000</xdr:colOff>
      <xdr:row>138</xdr:row>
      <xdr:rowOff>53340</xdr:rowOff>
    </xdr:from>
    <xdr:to>
      <xdr:col>18</xdr:col>
      <xdr:colOff>304800</xdr:colOff>
      <xdr:row>154</xdr:row>
      <xdr:rowOff>106680</xdr:rowOff>
    </xdr:to>
    <xdr:graphicFrame macro="">
      <xdr:nvGraphicFramePr>
        <xdr:cNvPr id="7" name="12. Line-column on 2 axes">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419100</xdr:colOff>
      <xdr:row>61</xdr:row>
      <xdr:rowOff>129540</xdr:rowOff>
    </xdr:from>
    <xdr:to>
      <xdr:col>18</xdr:col>
      <xdr:colOff>342900</xdr:colOff>
      <xdr:row>78</xdr:row>
      <xdr:rowOff>45720</xdr:rowOff>
    </xdr:to>
    <xdr:graphicFrame macro="">
      <xdr:nvGraphicFramePr>
        <xdr:cNvPr id="8" name="4. Stacked area">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251460</xdr:colOff>
      <xdr:row>80</xdr:row>
      <xdr:rowOff>60960</xdr:rowOff>
    </xdr:from>
    <xdr:to>
      <xdr:col>10</xdr:col>
      <xdr:colOff>175260</xdr:colOff>
      <xdr:row>96</xdr:row>
      <xdr:rowOff>129540</xdr:rowOff>
    </xdr:to>
    <xdr:graphicFrame macro="">
      <xdr:nvGraphicFramePr>
        <xdr:cNvPr id="9" name="5. 100% Stacked area">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243840</xdr:colOff>
      <xdr:row>138</xdr:row>
      <xdr:rowOff>53340</xdr:rowOff>
    </xdr:from>
    <xdr:to>
      <xdr:col>10</xdr:col>
      <xdr:colOff>167640</xdr:colOff>
      <xdr:row>154</xdr:row>
      <xdr:rowOff>114300</xdr:rowOff>
    </xdr:to>
    <xdr:graphicFrame macro="">
      <xdr:nvGraphicFramePr>
        <xdr:cNvPr id="10" name="11. 100% Stacked column">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243840</xdr:colOff>
      <xdr:row>119</xdr:row>
      <xdr:rowOff>114300</xdr:rowOff>
    </xdr:from>
    <xdr:to>
      <xdr:col>10</xdr:col>
      <xdr:colOff>167640</xdr:colOff>
      <xdr:row>136</xdr:row>
      <xdr:rowOff>38100</xdr:rowOff>
    </xdr:to>
    <xdr:graphicFrame macro="">
      <xdr:nvGraphicFramePr>
        <xdr:cNvPr id="11" name="9. Cluster column">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371475</xdr:colOff>
      <xdr:row>155</xdr:row>
      <xdr:rowOff>9525</xdr:rowOff>
    </xdr:from>
    <xdr:to>
      <xdr:col>18</xdr:col>
      <xdr:colOff>302895</xdr:colOff>
      <xdr:row>156</xdr:row>
      <xdr:rowOff>47625</xdr:rowOff>
    </xdr:to>
    <xdr:sp macro="" textlink="">
      <xdr:nvSpPr>
        <xdr:cNvPr id="12" name="Text Box 51">
          <a:extLst>
            <a:ext uri="{FF2B5EF4-FFF2-40B4-BE49-F238E27FC236}">
              <a16:creationId xmlns:a16="http://schemas.microsoft.com/office/drawing/2014/main" id="{00000000-0008-0000-0000-00000C000000}"/>
            </a:ext>
          </a:extLst>
        </xdr:cNvPr>
        <xdr:cNvSpPr txBox="1">
          <a:spLocks noChangeArrowheads="1"/>
        </xdr:cNvSpPr>
      </xdr:nvSpPr>
      <xdr:spPr bwMode="auto">
        <a:xfrm>
          <a:off x="8372475" y="23120985"/>
          <a:ext cx="6332220" cy="18288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strike="noStrike">
              <a:solidFill>
                <a:srgbClr val="FF0000"/>
              </a:solidFill>
              <a:latin typeface="Arial Narrow"/>
            </a:rPr>
            <a:t>Don't forget to alter the value axes so that the grid aligns with the values on each side.</a:t>
          </a:r>
        </a:p>
      </xdr:txBody>
    </xdr:sp>
    <xdr:clientData/>
  </xdr:twoCellAnchor>
  <xdr:twoCellAnchor>
    <xdr:from>
      <xdr:col>10</xdr:col>
      <xdr:colOff>428625</xdr:colOff>
      <xdr:row>97</xdr:row>
      <xdr:rowOff>0</xdr:rowOff>
    </xdr:from>
    <xdr:to>
      <xdr:col>18</xdr:col>
      <xdr:colOff>340990</xdr:colOff>
      <xdr:row>98</xdr:row>
      <xdr:rowOff>49671</xdr:rowOff>
    </xdr:to>
    <xdr:sp macro="" textlink="">
      <xdr:nvSpPr>
        <xdr:cNvPr id="13" name="Text Box 52">
          <a:extLst>
            <a:ext uri="{FF2B5EF4-FFF2-40B4-BE49-F238E27FC236}">
              <a16:creationId xmlns:a16="http://schemas.microsoft.com/office/drawing/2014/main" id="{00000000-0008-0000-0000-00000D000000}"/>
            </a:ext>
          </a:extLst>
        </xdr:cNvPr>
        <xdr:cNvSpPr txBox="1">
          <a:spLocks noChangeArrowheads="1"/>
        </xdr:cNvSpPr>
      </xdr:nvSpPr>
      <xdr:spPr bwMode="auto">
        <a:xfrm>
          <a:off x="8429625" y="14714220"/>
          <a:ext cx="6313165" cy="19445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strike="noStrike">
              <a:solidFill>
                <a:srgbClr val="FF0000"/>
              </a:solidFill>
              <a:latin typeface="Arial Narrow"/>
            </a:rPr>
            <a:t>Alter the height of the bar graph to suit the number of categories you have to display.</a:t>
          </a:r>
        </a:p>
      </xdr:txBody>
    </xdr:sp>
    <xdr:clientData/>
  </xdr:twoCellAnchor>
  <xdr:twoCellAnchor>
    <xdr:from>
      <xdr:col>10</xdr:col>
      <xdr:colOff>419100</xdr:colOff>
      <xdr:row>43</xdr:row>
      <xdr:rowOff>60960</xdr:rowOff>
    </xdr:from>
    <xdr:to>
      <xdr:col>18</xdr:col>
      <xdr:colOff>342900</xdr:colOff>
      <xdr:row>59</xdr:row>
      <xdr:rowOff>129540</xdr:rowOff>
    </xdr:to>
    <xdr:graphicFrame macro="">
      <xdr:nvGraphicFramePr>
        <xdr:cNvPr id="14" name="2. Scatter">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259080</xdr:colOff>
      <xdr:row>61</xdr:row>
      <xdr:rowOff>137160</xdr:rowOff>
    </xdr:from>
    <xdr:to>
      <xdr:col>10</xdr:col>
      <xdr:colOff>182880</xdr:colOff>
      <xdr:row>78</xdr:row>
      <xdr:rowOff>53340</xdr:rowOff>
    </xdr:to>
    <xdr:graphicFrame macro="">
      <xdr:nvGraphicFramePr>
        <xdr:cNvPr id="15" name="3. Scatter connected by line">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243840</xdr:colOff>
      <xdr:row>158</xdr:row>
      <xdr:rowOff>0</xdr:rowOff>
    </xdr:from>
    <xdr:to>
      <xdr:col>10</xdr:col>
      <xdr:colOff>167640</xdr:colOff>
      <xdr:row>174</xdr:row>
      <xdr:rowOff>60960</xdr:rowOff>
    </xdr:to>
    <xdr:graphicFrame macro="">
      <xdr:nvGraphicFramePr>
        <xdr:cNvPr id="16" name="13. Pie">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381000</xdr:colOff>
      <xdr:row>158</xdr:row>
      <xdr:rowOff>0</xdr:rowOff>
    </xdr:from>
    <xdr:to>
      <xdr:col>18</xdr:col>
      <xdr:colOff>304800</xdr:colOff>
      <xdr:row>174</xdr:row>
      <xdr:rowOff>60960</xdr:rowOff>
    </xdr:to>
    <xdr:graphicFrame macro="">
      <xdr:nvGraphicFramePr>
        <xdr:cNvPr id="17" name="14. Pie of pie">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251460</xdr:colOff>
      <xdr:row>176</xdr:row>
      <xdr:rowOff>91440</xdr:rowOff>
    </xdr:from>
    <xdr:to>
      <xdr:col>10</xdr:col>
      <xdr:colOff>175260</xdr:colOff>
      <xdr:row>193</xdr:row>
      <xdr:rowOff>7620</xdr:rowOff>
    </xdr:to>
    <xdr:graphicFrame macro="">
      <xdr:nvGraphicFramePr>
        <xdr:cNvPr id="18" name="15. Bar of pie">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251460</xdr:colOff>
      <xdr:row>101</xdr:row>
      <xdr:rowOff>53340</xdr:rowOff>
    </xdr:from>
    <xdr:to>
      <xdr:col>10</xdr:col>
      <xdr:colOff>175260</xdr:colOff>
      <xdr:row>117</xdr:row>
      <xdr:rowOff>114300</xdr:rowOff>
    </xdr:to>
    <xdr:graphicFrame macro="">
      <xdr:nvGraphicFramePr>
        <xdr:cNvPr id="19" name="7. Stacked bar">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403860</xdr:colOff>
      <xdr:row>101</xdr:row>
      <xdr:rowOff>45720</xdr:rowOff>
    </xdr:from>
    <xdr:to>
      <xdr:col>18</xdr:col>
      <xdr:colOff>327660</xdr:colOff>
      <xdr:row>117</xdr:row>
      <xdr:rowOff>114300</xdr:rowOff>
    </xdr:to>
    <xdr:graphicFrame macro="">
      <xdr:nvGraphicFramePr>
        <xdr:cNvPr id="20" name="8. 100% Stacked bar">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255270</xdr:colOff>
      <xdr:row>42</xdr:row>
      <xdr:rowOff>47625</xdr:rowOff>
    </xdr:from>
    <xdr:to>
      <xdr:col>10</xdr:col>
      <xdr:colOff>186690</xdr:colOff>
      <xdr:row>43</xdr:row>
      <xdr:rowOff>85725</xdr:rowOff>
    </xdr:to>
    <xdr:sp macro="" textlink="">
      <xdr:nvSpPr>
        <xdr:cNvPr id="21" name="Text Box 121">
          <a:extLst>
            <a:ext uri="{FF2B5EF4-FFF2-40B4-BE49-F238E27FC236}">
              <a16:creationId xmlns:a16="http://schemas.microsoft.com/office/drawing/2014/main" id="{00000000-0008-0000-0000-000015000000}"/>
            </a:ext>
          </a:extLst>
        </xdr:cNvPr>
        <xdr:cNvSpPr txBox="1">
          <a:spLocks noChangeArrowheads="1"/>
        </xdr:cNvSpPr>
      </xdr:nvSpPr>
      <xdr:spPr bwMode="auto">
        <a:xfrm>
          <a:off x="1855470" y="6798945"/>
          <a:ext cx="6332220" cy="18288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1. Line</a:t>
          </a:r>
        </a:p>
      </xdr:txBody>
    </xdr:sp>
    <xdr:clientData/>
  </xdr:twoCellAnchor>
  <xdr:twoCellAnchor>
    <xdr:from>
      <xdr:col>10</xdr:col>
      <xdr:colOff>409575</xdr:colOff>
      <xdr:row>42</xdr:row>
      <xdr:rowOff>47625</xdr:rowOff>
    </xdr:from>
    <xdr:to>
      <xdr:col>18</xdr:col>
      <xdr:colOff>340995</xdr:colOff>
      <xdr:row>43</xdr:row>
      <xdr:rowOff>85725</xdr:rowOff>
    </xdr:to>
    <xdr:sp macro="" textlink="">
      <xdr:nvSpPr>
        <xdr:cNvPr id="22" name="Text Box 122">
          <a:extLst>
            <a:ext uri="{FF2B5EF4-FFF2-40B4-BE49-F238E27FC236}">
              <a16:creationId xmlns:a16="http://schemas.microsoft.com/office/drawing/2014/main" id="{00000000-0008-0000-0000-000016000000}"/>
            </a:ext>
          </a:extLst>
        </xdr:cNvPr>
        <xdr:cNvSpPr txBox="1">
          <a:spLocks noChangeArrowheads="1"/>
        </xdr:cNvSpPr>
      </xdr:nvSpPr>
      <xdr:spPr bwMode="auto">
        <a:xfrm>
          <a:off x="8410575" y="6798945"/>
          <a:ext cx="6332220" cy="18288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2. Scatter</a:t>
          </a:r>
        </a:p>
      </xdr:txBody>
    </xdr:sp>
    <xdr:clientData/>
  </xdr:twoCellAnchor>
  <xdr:twoCellAnchor>
    <xdr:from>
      <xdr:col>2</xdr:col>
      <xdr:colOff>255270</xdr:colOff>
      <xdr:row>60</xdr:row>
      <xdr:rowOff>106680</xdr:rowOff>
    </xdr:from>
    <xdr:to>
      <xdr:col>10</xdr:col>
      <xdr:colOff>186690</xdr:colOff>
      <xdr:row>62</xdr:row>
      <xdr:rowOff>0</xdr:rowOff>
    </xdr:to>
    <xdr:sp macro="" textlink="">
      <xdr:nvSpPr>
        <xdr:cNvPr id="23" name="Text Box 123">
          <a:extLst>
            <a:ext uri="{FF2B5EF4-FFF2-40B4-BE49-F238E27FC236}">
              <a16:creationId xmlns:a16="http://schemas.microsoft.com/office/drawing/2014/main" id="{00000000-0008-0000-0000-000017000000}"/>
            </a:ext>
          </a:extLst>
        </xdr:cNvPr>
        <xdr:cNvSpPr txBox="1">
          <a:spLocks noChangeArrowheads="1"/>
        </xdr:cNvSpPr>
      </xdr:nvSpPr>
      <xdr:spPr bwMode="auto">
        <a:xfrm>
          <a:off x="1855470" y="9464040"/>
          <a:ext cx="6332220" cy="18288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3. Scatter connected by line</a:t>
          </a:r>
        </a:p>
      </xdr:txBody>
    </xdr:sp>
    <xdr:clientData/>
  </xdr:twoCellAnchor>
  <xdr:twoCellAnchor>
    <xdr:from>
      <xdr:col>10</xdr:col>
      <xdr:colOff>419100</xdr:colOff>
      <xdr:row>60</xdr:row>
      <xdr:rowOff>106680</xdr:rowOff>
    </xdr:from>
    <xdr:to>
      <xdr:col>18</xdr:col>
      <xdr:colOff>350520</xdr:colOff>
      <xdr:row>62</xdr:row>
      <xdr:rowOff>0</xdr:rowOff>
    </xdr:to>
    <xdr:sp macro="" textlink="">
      <xdr:nvSpPr>
        <xdr:cNvPr id="24" name="Text Box 124">
          <a:extLst>
            <a:ext uri="{FF2B5EF4-FFF2-40B4-BE49-F238E27FC236}">
              <a16:creationId xmlns:a16="http://schemas.microsoft.com/office/drawing/2014/main" id="{00000000-0008-0000-0000-000018000000}"/>
            </a:ext>
          </a:extLst>
        </xdr:cNvPr>
        <xdr:cNvSpPr txBox="1">
          <a:spLocks noChangeArrowheads="1"/>
        </xdr:cNvSpPr>
      </xdr:nvSpPr>
      <xdr:spPr bwMode="auto">
        <a:xfrm>
          <a:off x="8420100" y="9464040"/>
          <a:ext cx="6332220" cy="18288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4. Stacked area</a:t>
          </a:r>
        </a:p>
      </xdr:txBody>
    </xdr:sp>
    <xdr:clientData/>
  </xdr:twoCellAnchor>
  <xdr:twoCellAnchor>
    <xdr:from>
      <xdr:col>2</xdr:col>
      <xdr:colOff>253365</xdr:colOff>
      <xdr:row>79</xdr:row>
      <xdr:rowOff>38100</xdr:rowOff>
    </xdr:from>
    <xdr:to>
      <xdr:col>10</xdr:col>
      <xdr:colOff>184785</xdr:colOff>
      <xdr:row>80</xdr:row>
      <xdr:rowOff>76200</xdr:rowOff>
    </xdr:to>
    <xdr:sp macro="" textlink="">
      <xdr:nvSpPr>
        <xdr:cNvPr id="25" name="Text Box 125">
          <a:extLst>
            <a:ext uri="{FF2B5EF4-FFF2-40B4-BE49-F238E27FC236}">
              <a16:creationId xmlns:a16="http://schemas.microsoft.com/office/drawing/2014/main" id="{00000000-0008-0000-0000-000019000000}"/>
            </a:ext>
          </a:extLst>
        </xdr:cNvPr>
        <xdr:cNvSpPr txBox="1">
          <a:spLocks noChangeArrowheads="1"/>
        </xdr:cNvSpPr>
      </xdr:nvSpPr>
      <xdr:spPr bwMode="auto">
        <a:xfrm>
          <a:off x="1853565" y="12146280"/>
          <a:ext cx="6332220" cy="18288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5. 100% Stacked area</a:t>
          </a:r>
        </a:p>
      </xdr:txBody>
    </xdr:sp>
    <xdr:clientData/>
  </xdr:twoCellAnchor>
  <xdr:twoCellAnchor>
    <xdr:from>
      <xdr:col>10</xdr:col>
      <xdr:colOff>409575</xdr:colOff>
      <xdr:row>79</xdr:row>
      <xdr:rowOff>11430</xdr:rowOff>
    </xdr:from>
    <xdr:to>
      <xdr:col>18</xdr:col>
      <xdr:colOff>340995</xdr:colOff>
      <xdr:row>80</xdr:row>
      <xdr:rowOff>49530</xdr:rowOff>
    </xdr:to>
    <xdr:sp macro="" textlink="">
      <xdr:nvSpPr>
        <xdr:cNvPr id="26" name="Text Box 126">
          <a:extLst>
            <a:ext uri="{FF2B5EF4-FFF2-40B4-BE49-F238E27FC236}">
              <a16:creationId xmlns:a16="http://schemas.microsoft.com/office/drawing/2014/main" id="{00000000-0008-0000-0000-00001A000000}"/>
            </a:ext>
          </a:extLst>
        </xdr:cNvPr>
        <xdr:cNvSpPr txBox="1">
          <a:spLocks noChangeArrowheads="1"/>
        </xdr:cNvSpPr>
      </xdr:nvSpPr>
      <xdr:spPr bwMode="auto">
        <a:xfrm>
          <a:off x="8410575" y="12119610"/>
          <a:ext cx="6332220" cy="18288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6. Cluster bar</a:t>
          </a:r>
        </a:p>
      </xdr:txBody>
    </xdr:sp>
    <xdr:clientData/>
  </xdr:twoCellAnchor>
  <xdr:twoCellAnchor>
    <xdr:from>
      <xdr:col>2</xdr:col>
      <xdr:colOff>243840</xdr:colOff>
      <xdr:row>100</xdr:row>
      <xdr:rowOff>28575</xdr:rowOff>
    </xdr:from>
    <xdr:to>
      <xdr:col>10</xdr:col>
      <xdr:colOff>175260</xdr:colOff>
      <xdr:row>101</xdr:row>
      <xdr:rowOff>59055</xdr:rowOff>
    </xdr:to>
    <xdr:sp macro="" textlink="">
      <xdr:nvSpPr>
        <xdr:cNvPr id="27" name="Text Box 127">
          <a:extLst>
            <a:ext uri="{FF2B5EF4-FFF2-40B4-BE49-F238E27FC236}">
              <a16:creationId xmlns:a16="http://schemas.microsoft.com/office/drawing/2014/main" id="{00000000-0008-0000-0000-00001B000000}"/>
            </a:ext>
          </a:extLst>
        </xdr:cNvPr>
        <xdr:cNvSpPr txBox="1">
          <a:spLocks noChangeArrowheads="1"/>
        </xdr:cNvSpPr>
      </xdr:nvSpPr>
      <xdr:spPr bwMode="auto">
        <a:xfrm>
          <a:off x="1844040" y="15177135"/>
          <a:ext cx="6332220" cy="17526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7. Stacked bar</a:t>
          </a:r>
        </a:p>
      </xdr:txBody>
    </xdr:sp>
    <xdr:clientData/>
  </xdr:twoCellAnchor>
  <xdr:twoCellAnchor>
    <xdr:from>
      <xdr:col>10</xdr:col>
      <xdr:colOff>400050</xdr:colOff>
      <xdr:row>100</xdr:row>
      <xdr:rowOff>28575</xdr:rowOff>
    </xdr:from>
    <xdr:to>
      <xdr:col>18</xdr:col>
      <xdr:colOff>323850</xdr:colOff>
      <xdr:row>101</xdr:row>
      <xdr:rowOff>59055</xdr:rowOff>
    </xdr:to>
    <xdr:sp macro="" textlink="">
      <xdr:nvSpPr>
        <xdr:cNvPr id="28" name="Text Box 128">
          <a:extLst>
            <a:ext uri="{FF2B5EF4-FFF2-40B4-BE49-F238E27FC236}">
              <a16:creationId xmlns:a16="http://schemas.microsoft.com/office/drawing/2014/main" id="{00000000-0008-0000-0000-00001C000000}"/>
            </a:ext>
          </a:extLst>
        </xdr:cNvPr>
        <xdr:cNvSpPr txBox="1">
          <a:spLocks noChangeArrowheads="1"/>
        </xdr:cNvSpPr>
      </xdr:nvSpPr>
      <xdr:spPr bwMode="auto">
        <a:xfrm>
          <a:off x="8401050" y="15177135"/>
          <a:ext cx="6324600" cy="17526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8. 100% Stacked bar</a:t>
          </a:r>
        </a:p>
      </xdr:txBody>
    </xdr:sp>
    <xdr:clientData/>
  </xdr:twoCellAnchor>
  <xdr:twoCellAnchor>
    <xdr:from>
      <xdr:col>2</xdr:col>
      <xdr:colOff>253365</xdr:colOff>
      <xdr:row>118</xdr:row>
      <xdr:rowOff>87630</xdr:rowOff>
    </xdr:from>
    <xdr:to>
      <xdr:col>10</xdr:col>
      <xdr:colOff>184785</xdr:colOff>
      <xdr:row>119</xdr:row>
      <xdr:rowOff>125730</xdr:rowOff>
    </xdr:to>
    <xdr:sp macro="" textlink="">
      <xdr:nvSpPr>
        <xdr:cNvPr id="29" name="Text Box 131">
          <a:extLst>
            <a:ext uri="{FF2B5EF4-FFF2-40B4-BE49-F238E27FC236}">
              <a16:creationId xmlns:a16="http://schemas.microsoft.com/office/drawing/2014/main" id="{00000000-0008-0000-0000-00001D000000}"/>
            </a:ext>
          </a:extLst>
        </xdr:cNvPr>
        <xdr:cNvSpPr txBox="1">
          <a:spLocks noChangeArrowheads="1"/>
        </xdr:cNvSpPr>
      </xdr:nvSpPr>
      <xdr:spPr bwMode="auto">
        <a:xfrm>
          <a:off x="1853565" y="17842230"/>
          <a:ext cx="6332220" cy="18288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9. Cluster column</a:t>
          </a:r>
        </a:p>
      </xdr:txBody>
    </xdr:sp>
    <xdr:clientData/>
  </xdr:twoCellAnchor>
  <xdr:twoCellAnchor>
    <xdr:from>
      <xdr:col>10</xdr:col>
      <xdr:colOff>409575</xdr:colOff>
      <xdr:row>118</xdr:row>
      <xdr:rowOff>87630</xdr:rowOff>
    </xdr:from>
    <xdr:to>
      <xdr:col>18</xdr:col>
      <xdr:colOff>340995</xdr:colOff>
      <xdr:row>119</xdr:row>
      <xdr:rowOff>125730</xdr:rowOff>
    </xdr:to>
    <xdr:sp macro="" textlink="">
      <xdr:nvSpPr>
        <xdr:cNvPr id="30" name="Text Box 132">
          <a:extLst>
            <a:ext uri="{FF2B5EF4-FFF2-40B4-BE49-F238E27FC236}">
              <a16:creationId xmlns:a16="http://schemas.microsoft.com/office/drawing/2014/main" id="{00000000-0008-0000-0000-00001E000000}"/>
            </a:ext>
          </a:extLst>
        </xdr:cNvPr>
        <xdr:cNvSpPr txBox="1">
          <a:spLocks noChangeArrowheads="1"/>
        </xdr:cNvSpPr>
      </xdr:nvSpPr>
      <xdr:spPr bwMode="auto">
        <a:xfrm>
          <a:off x="8410575" y="17842230"/>
          <a:ext cx="6332220" cy="18288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10. Stacked column</a:t>
          </a:r>
        </a:p>
      </xdr:txBody>
    </xdr:sp>
    <xdr:clientData/>
  </xdr:twoCellAnchor>
  <xdr:twoCellAnchor>
    <xdr:from>
      <xdr:col>2</xdr:col>
      <xdr:colOff>243840</xdr:colOff>
      <xdr:row>137</xdr:row>
      <xdr:rowOff>28575</xdr:rowOff>
    </xdr:from>
    <xdr:to>
      <xdr:col>10</xdr:col>
      <xdr:colOff>175260</xdr:colOff>
      <xdr:row>138</xdr:row>
      <xdr:rowOff>59055</xdr:rowOff>
    </xdr:to>
    <xdr:sp macro="" textlink="">
      <xdr:nvSpPr>
        <xdr:cNvPr id="31" name="Text Box 133">
          <a:extLst>
            <a:ext uri="{FF2B5EF4-FFF2-40B4-BE49-F238E27FC236}">
              <a16:creationId xmlns:a16="http://schemas.microsoft.com/office/drawing/2014/main" id="{00000000-0008-0000-0000-00001F000000}"/>
            </a:ext>
          </a:extLst>
        </xdr:cNvPr>
        <xdr:cNvSpPr txBox="1">
          <a:spLocks noChangeArrowheads="1"/>
        </xdr:cNvSpPr>
      </xdr:nvSpPr>
      <xdr:spPr bwMode="auto">
        <a:xfrm>
          <a:off x="1844040" y="20533995"/>
          <a:ext cx="6332220" cy="17526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11. 100% Stacked column</a:t>
          </a:r>
        </a:p>
      </xdr:txBody>
    </xdr:sp>
    <xdr:clientData/>
  </xdr:twoCellAnchor>
  <xdr:twoCellAnchor>
    <xdr:from>
      <xdr:col>10</xdr:col>
      <xdr:colOff>400050</xdr:colOff>
      <xdr:row>137</xdr:row>
      <xdr:rowOff>28575</xdr:rowOff>
    </xdr:from>
    <xdr:to>
      <xdr:col>18</xdr:col>
      <xdr:colOff>323850</xdr:colOff>
      <xdr:row>138</xdr:row>
      <xdr:rowOff>59055</xdr:rowOff>
    </xdr:to>
    <xdr:sp macro="" textlink="">
      <xdr:nvSpPr>
        <xdr:cNvPr id="32" name="Text Box 134">
          <a:extLst>
            <a:ext uri="{FF2B5EF4-FFF2-40B4-BE49-F238E27FC236}">
              <a16:creationId xmlns:a16="http://schemas.microsoft.com/office/drawing/2014/main" id="{00000000-0008-0000-0000-000020000000}"/>
            </a:ext>
          </a:extLst>
        </xdr:cNvPr>
        <xdr:cNvSpPr txBox="1">
          <a:spLocks noChangeArrowheads="1"/>
        </xdr:cNvSpPr>
      </xdr:nvSpPr>
      <xdr:spPr bwMode="auto">
        <a:xfrm>
          <a:off x="8401050" y="20533995"/>
          <a:ext cx="6324600" cy="17526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12. Line-column on 2 axes</a:t>
          </a:r>
        </a:p>
      </xdr:txBody>
    </xdr:sp>
    <xdr:clientData/>
  </xdr:twoCellAnchor>
  <xdr:twoCellAnchor>
    <xdr:from>
      <xdr:col>2</xdr:col>
      <xdr:colOff>222885</xdr:colOff>
      <xdr:row>156</xdr:row>
      <xdr:rowOff>116205</xdr:rowOff>
    </xdr:from>
    <xdr:to>
      <xdr:col>10</xdr:col>
      <xdr:colOff>146685</xdr:colOff>
      <xdr:row>158</xdr:row>
      <xdr:rowOff>9525</xdr:rowOff>
    </xdr:to>
    <xdr:sp macro="" textlink="">
      <xdr:nvSpPr>
        <xdr:cNvPr id="33" name="Text Box 135">
          <a:extLst>
            <a:ext uri="{FF2B5EF4-FFF2-40B4-BE49-F238E27FC236}">
              <a16:creationId xmlns:a16="http://schemas.microsoft.com/office/drawing/2014/main" id="{00000000-0008-0000-0000-000021000000}"/>
            </a:ext>
          </a:extLst>
        </xdr:cNvPr>
        <xdr:cNvSpPr txBox="1">
          <a:spLocks noChangeArrowheads="1"/>
        </xdr:cNvSpPr>
      </xdr:nvSpPr>
      <xdr:spPr bwMode="auto">
        <a:xfrm>
          <a:off x="1823085" y="23372445"/>
          <a:ext cx="6324600" cy="18288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13. Pie</a:t>
          </a:r>
        </a:p>
      </xdr:txBody>
    </xdr:sp>
    <xdr:clientData/>
  </xdr:twoCellAnchor>
  <xdr:twoCellAnchor>
    <xdr:from>
      <xdr:col>10</xdr:col>
      <xdr:colOff>371475</xdr:colOff>
      <xdr:row>156</xdr:row>
      <xdr:rowOff>116205</xdr:rowOff>
    </xdr:from>
    <xdr:to>
      <xdr:col>18</xdr:col>
      <xdr:colOff>302895</xdr:colOff>
      <xdr:row>158</xdr:row>
      <xdr:rowOff>9525</xdr:rowOff>
    </xdr:to>
    <xdr:sp macro="" textlink="">
      <xdr:nvSpPr>
        <xdr:cNvPr id="34" name="Text Box 136">
          <a:extLst>
            <a:ext uri="{FF2B5EF4-FFF2-40B4-BE49-F238E27FC236}">
              <a16:creationId xmlns:a16="http://schemas.microsoft.com/office/drawing/2014/main" id="{00000000-0008-0000-0000-000022000000}"/>
            </a:ext>
          </a:extLst>
        </xdr:cNvPr>
        <xdr:cNvSpPr txBox="1">
          <a:spLocks noChangeArrowheads="1"/>
        </xdr:cNvSpPr>
      </xdr:nvSpPr>
      <xdr:spPr bwMode="auto">
        <a:xfrm>
          <a:off x="8372475" y="23372445"/>
          <a:ext cx="6332220" cy="18288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14. Pie of pie</a:t>
          </a:r>
        </a:p>
      </xdr:txBody>
    </xdr:sp>
    <xdr:clientData/>
  </xdr:twoCellAnchor>
  <xdr:twoCellAnchor>
    <xdr:from>
      <xdr:col>2</xdr:col>
      <xdr:colOff>234315</xdr:colOff>
      <xdr:row>175</xdr:row>
      <xdr:rowOff>49530</xdr:rowOff>
    </xdr:from>
    <xdr:to>
      <xdr:col>10</xdr:col>
      <xdr:colOff>165735</xdr:colOff>
      <xdr:row>176</xdr:row>
      <xdr:rowOff>87630</xdr:rowOff>
    </xdr:to>
    <xdr:sp macro="" textlink="">
      <xdr:nvSpPr>
        <xdr:cNvPr id="35" name="Text Box 137">
          <a:extLst>
            <a:ext uri="{FF2B5EF4-FFF2-40B4-BE49-F238E27FC236}">
              <a16:creationId xmlns:a16="http://schemas.microsoft.com/office/drawing/2014/main" id="{00000000-0008-0000-0000-000023000000}"/>
            </a:ext>
          </a:extLst>
        </xdr:cNvPr>
        <xdr:cNvSpPr txBox="1">
          <a:spLocks noChangeArrowheads="1"/>
        </xdr:cNvSpPr>
      </xdr:nvSpPr>
      <xdr:spPr bwMode="auto">
        <a:xfrm>
          <a:off x="1834515" y="26056590"/>
          <a:ext cx="6332220" cy="18288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15. Bar of pie</a:t>
          </a:r>
        </a:p>
      </xdr:txBody>
    </xdr:sp>
    <xdr:clientData/>
  </xdr:twoCellAnchor>
  <xdr:twoCellAnchor>
    <xdr:from>
      <xdr:col>7</xdr:col>
      <xdr:colOff>480060</xdr:colOff>
      <xdr:row>5</xdr:row>
      <xdr:rowOff>144780</xdr:rowOff>
    </xdr:from>
    <xdr:to>
      <xdr:col>8</xdr:col>
      <xdr:colOff>38100</xdr:colOff>
      <xdr:row>8</xdr:row>
      <xdr:rowOff>7620</xdr:rowOff>
    </xdr:to>
    <xdr:sp macro="" textlink="">
      <xdr:nvSpPr>
        <xdr:cNvPr id="36" name="Line 141">
          <a:extLst>
            <a:ext uri="{FF2B5EF4-FFF2-40B4-BE49-F238E27FC236}">
              <a16:creationId xmlns:a16="http://schemas.microsoft.com/office/drawing/2014/main" id="{00000000-0008-0000-0000-000024000000}"/>
            </a:ext>
          </a:extLst>
        </xdr:cNvPr>
        <xdr:cNvSpPr>
          <a:spLocks noChangeShapeType="1"/>
        </xdr:cNvSpPr>
      </xdr:nvSpPr>
      <xdr:spPr bwMode="auto">
        <a:xfrm flipH="1">
          <a:off x="6080760" y="1051560"/>
          <a:ext cx="358140" cy="457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571500</xdr:colOff>
      <xdr:row>5</xdr:row>
      <xdr:rowOff>7620</xdr:rowOff>
    </xdr:from>
    <xdr:to>
      <xdr:col>7</xdr:col>
      <xdr:colOff>198120</xdr:colOff>
      <xdr:row>8</xdr:row>
      <xdr:rowOff>30480</xdr:rowOff>
    </xdr:to>
    <xdr:sp macro="" textlink="">
      <xdr:nvSpPr>
        <xdr:cNvPr id="37" name="Line 142">
          <a:extLst>
            <a:ext uri="{FF2B5EF4-FFF2-40B4-BE49-F238E27FC236}">
              <a16:creationId xmlns:a16="http://schemas.microsoft.com/office/drawing/2014/main" id="{00000000-0008-0000-0000-000025000000}"/>
            </a:ext>
          </a:extLst>
        </xdr:cNvPr>
        <xdr:cNvSpPr>
          <a:spLocks noChangeShapeType="1"/>
        </xdr:cNvSpPr>
      </xdr:nvSpPr>
      <xdr:spPr bwMode="auto">
        <a:xfrm flipH="1">
          <a:off x="5372100" y="914400"/>
          <a:ext cx="426720" cy="6172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690880</xdr:colOff>
      <xdr:row>19</xdr:row>
      <xdr:rowOff>5715</xdr:rowOff>
    </xdr:from>
    <xdr:to>
      <xdr:col>7</xdr:col>
      <xdr:colOff>386080</xdr:colOff>
      <xdr:row>21</xdr:row>
      <xdr:rowOff>137160</xdr:rowOff>
    </xdr:to>
    <xdr:sp macro="" textlink="">
      <xdr:nvSpPr>
        <xdr:cNvPr id="38" name="Line 143">
          <a:extLst>
            <a:ext uri="{FF2B5EF4-FFF2-40B4-BE49-F238E27FC236}">
              <a16:creationId xmlns:a16="http://schemas.microsoft.com/office/drawing/2014/main" id="{00000000-0008-0000-0000-000026000000}"/>
            </a:ext>
          </a:extLst>
        </xdr:cNvPr>
        <xdr:cNvSpPr>
          <a:spLocks noChangeShapeType="1"/>
        </xdr:cNvSpPr>
      </xdr:nvSpPr>
      <xdr:spPr bwMode="auto">
        <a:xfrm flipH="1">
          <a:off x="5491480" y="3183255"/>
          <a:ext cx="495300" cy="52768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7620</xdr:colOff>
      <xdr:row>20</xdr:row>
      <xdr:rowOff>205740</xdr:rowOff>
    </xdr:from>
    <xdr:to>
      <xdr:col>8</xdr:col>
      <xdr:colOff>137160</xdr:colOff>
      <xdr:row>22</xdr:row>
      <xdr:rowOff>30480</xdr:rowOff>
    </xdr:to>
    <xdr:sp macro="" textlink="">
      <xdr:nvSpPr>
        <xdr:cNvPr id="39" name="Line 144">
          <a:extLst>
            <a:ext uri="{FF2B5EF4-FFF2-40B4-BE49-F238E27FC236}">
              <a16:creationId xmlns:a16="http://schemas.microsoft.com/office/drawing/2014/main" id="{00000000-0008-0000-0000-000027000000}"/>
            </a:ext>
          </a:extLst>
        </xdr:cNvPr>
        <xdr:cNvSpPr>
          <a:spLocks noChangeShapeType="1"/>
        </xdr:cNvSpPr>
      </xdr:nvSpPr>
      <xdr:spPr bwMode="auto">
        <a:xfrm flipH="1">
          <a:off x="6408420" y="3550920"/>
          <a:ext cx="129540" cy="2743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205740</xdr:colOff>
          <xdr:row>38</xdr:row>
          <xdr:rowOff>68580</xdr:rowOff>
        </xdr:from>
        <xdr:to>
          <xdr:col>3</xdr:col>
          <xdr:colOff>1394460</xdr:colOff>
          <xdr:row>40</xdr:row>
          <xdr:rowOff>91440</xdr:rowOff>
        </xdr:to>
        <xdr:sp macro="" textlink="">
          <xdr:nvSpPr>
            <xdr:cNvPr id="883713" name="Check Box 1" hidden="1">
              <a:extLst>
                <a:ext uri="{63B3BB69-23CF-44E3-9099-C40C66FF867C}">
                  <a14:compatExt spid="_x0000_s883713"/>
                </a:ext>
                <a:ext uri="{FF2B5EF4-FFF2-40B4-BE49-F238E27FC236}">
                  <a16:creationId xmlns:a16="http://schemas.microsoft.com/office/drawing/2014/main" id="{00000000-0008-0000-0100-0000017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Logic of entire model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xdr:colOff>
          <xdr:row>44</xdr:row>
          <xdr:rowOff>137160</xdr:rowOff>
        </xdr:from>
        <xdr:to>
          <xdr:col>3</xdr:col>
          <xdr:colOff>1394460</xdr:colOff>
          <xdr:row>47</xdr:row>
          <xdr:rowOff>15240</xdr:rowOff>
        </xdr:to>
        <xdr:sp macro="" textlink="">
          <xdr:nvSpPr>
            <xdr:cNvPr id="883714" name="Check Box 2" hidden="1">
              <a:extLst>
                <a:ext uri="{63B3BB69-23CF-44E3-9099-C40C66FF867C}">
                  <a14:compatExt spid="_x0000_s883714"/>
                </a:ext>
                <a:ext uri="{FF2B5EF4-FFF2-40B4-BE49-F238E27FC236}">
                  <a16:creationId xmlns:a16="http://schemas.microsoft.com/office/drawing/2014/main" id="{00000000-0008-0000-0100-0000027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Logic of specified sections of model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1851660</xdr:colOff>
          <xdr:row>38</xdr:row>
          <xdr:rowOff>114300</xdr:rowOff>
        </xdr:from>
        <xdr:to>
          <xdr:col>5</xdr:col>
          <xdr:colOff>1127760</xdr:colOff>
          <xdr:row>40</xdr:row>
          <xdr:rowOff>129540</xdr:rowOff>
        </xdr:to>
        <xdr:sp macro="" textlink="">
          <xdr:nvSpPr>
            <xdr:cNvPr id="883715" name="Check Box 3" hidden="1">
              <a:extLst>
                <a:ext uri="{63B3BB69-23CF-44E3-9099-C40C66FF867C}">
                  <a14:compatExt spid="_x0000_s883715"/>
                </a:ext>
                <a:ext uri="{FF2B5EF4-FFF2-40B4-BE49-F238E27FC236}">
                  <a16:creationId xmlns:a16="http://schemas.microsoft.com/office/drawing/2014/main" id="{00000000-0008-0000-0100-0000037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All inputs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1882140</xdr:colOff>
          <xdr:row>44</xdr:row>
          <xdr:rowOff>137160</xdr:rowOff>
        </xdr:from>
        <xdr:to>
          <xdr:col>5</xdr:col>
          <xdr:colOff>1196340</xdr:colOff>
          <xdr:row>47</xdr:row>
          <xdr:rowOff>15240</xdr:rowOff>
        </xdr:to>
        <xdr:sp macro="" textlink="">
          <xdr:nvSpPr>
            <xdr:cNvPr id="883716" name="Check Box 4" hidden="1">
              <a:extLst>
                <a:ext uri="{63B3BB69-23CF-44E3-9099-C40C66FF867C}">
                  <a14:compatExt spid="_x0000_s883716"/>
                </a:ext>
                <a:ext uri="{FF2B5EF4-FFF2-40B4-BE49-F238E27FC236}">
                  <a16:creationId xmlns:a16="http://schemas.microsoft.com/office/drawing/2014/main" id="{00000000-0008-0000-0100-0000047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Specific inputs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4</xdr:col>
          <xdr:colOff>137160</xdr:colOff>
          <xdr:row>26</xdr:row>
          <xdr:rowOff>30480</xdr:rowOff>
        </xdr:to>
        <xdr:sp macro="" textlink="">
          <xdr:nvSpPr>
            <xdr:cNvPr id="883717" name="Check Box 5" hidden="1">
              <a:extLst>
                <a:ext uri="{63B3BB69-23CF-44E3-9099-C40C66FF867C}">
                  <a14:compatExt spid="_x0000_s883717"/>
                </a:ext>
                <a:ext uri="{FF2B5EF4-FFF2-40B4-BE49-F238E27FC236}">
                  <a16:creationId xmlns:a16="http://schemas.microsoft.com/office/drawing/2014/main" id="{00000000-0008-0000-0100-0000057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Information request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4</xdr:col>
          <xdr:colOff>76200</xdr:colOff>
          <xdr:row>30</xdr:row>
          <xdr:rowOff>15240</xdr:rowOff>
        </xdr:to>
        <xdr:sp macro="" textlink="">
          <xdr:nvSpPr>
            <xdr:cNvPr id="883718" name="Check Box 6" hidden="1">
              <a:extLst>
                <a:ext uri="{63B3BB69-23CF-44E3-9099-C40C66FF867C}">
                  <a14:compatExt spid="_x0000_s883718"/>
                </a:ext>
                <a:ext uri="{FF2B5EF4-FFF2-40B4-BE49-F238E27FC236}">
                  <a16:creationId xmlns:a16="http://schemas.microsoft.com/office/drawing/2014/main" id="{00000000-0008-0000-0100-0000067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Draft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4</xdr:col>
          <xdr:colOff>76200</xdr:colOff>
          <xdr:row>32</xdr:row>
          <xdr:rowOff>15240</xdr:rowOff>
        </xdr:to>
        <xdr:sp macro="" textlink="">
          <xdr:nvSpPr>
            <xdr:cNvPr id="883719" name="Check Box 7" hidden="1">
              <a:extLst>
                <a:ext uri="{63B3BB69-23CF-44E3-9099-C40C66FF867C}">
                  <a14:compatExt spid="_x0000_s883719"/>
                </a:ext>
                <a:ext uri="{FF2B5EF4-FFF2-40B4-BE49-F238E27FC236}">
                  <a16:creationId xmlns:a16="http://schemas.microsoft.com/office/drawing/2014/main" id="{00000000-0008-0000-0100-0000077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Final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15240</xdr:rowOff>
        </xdr:from>
        <xdr:to>
          <xdr:col>4</xdr:col>
          <xdr:colOff>144780</xdr:colOff>
          <xdr:row>28</xdr:row>
          <xdr:rowOff>30480</xdr:rowOff>
        </xdr:to>
        <xdr:sp macro="" textlink="">
          <xdr:nvSpPr>
            <xdr:cNvPr id="883720" name="Check Box 8" hidden="1">
              <a:extLst>
                <a:ext uri="{63B3BB69-23CF-44E3-9099-C40C66FF867C}">
                  <a14:compatExt spid="_x0000_s883720"/>
                </a:ext>
                <a:ext uri="{FF2B5EF4-FFF2-40B4-BE49-F238E27FC236}">
                  <a16:creationId xmlns:a16="http://schemas.microsoft.com/office/drawing/2014/main" id="{00000000-0008-0000-0100-0000087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Issues Paper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1021080</xdr:colOff>
          <xdr:row>34</xdr:row>
          <xdr:rowOff>15240</xdr:rowOff>
        </xdr:to>
        <xdr:sp macro="" textlink="">
          <xdr:nvSpPr>
            <xdr:cNvPr id="883721" name="Check Box 9" hidden="1">
              <a:extLst>
                <a:ext uri="{63B3BB69-23CF-44E3-9099-C40C66FF867C}">
                  <a14:compatExt spid="_x0000_s883721"/>
                </a:ext>
                <a:ext uri="{FF2B5EF4-FFF2-40B4-BE49-F238E27FC236}">
                  <a16:creationId xmlns:a16="http://schemas.microsoft.com/office/drawing/2014/main" id="{00000000-0008-0000-0100-0000097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Other -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40</xdr:row>
          <xdr:rowOff>53340</xdr:rowOff>
        </xdr:from>
        <xdr:to>
          <xdr:col>4</xdr:col>
          <xdr:colOff>868680</xdr:colOff>
          <xdr:row>42</xdr:row>
          <xdr:rowOff>30480</xdr:rowOff>
        </xdr:to>
        <xdr:sp macro="" textlink="">
          <xdr:nvSpPr>
            <xdr:cNvPr id="883722" name="Check Box 10" hidden="1">
              <a:extLst>
                <a:ext uri="{63B3BB69-23CF-44E3-9099-C40C66FF867C}">
                  <a14:compatExt spid="_x0000_s883722"/>
                </a:ext>
                <a:ext uri="{FF2B5EF4-FFF2-40B4-BE49-F238E27FC236}">
                  <a16:creationId xmlns:a16="http://schemas.microsoft.com/office/drawing/2014/main" id="{00000000-0008-0000-0100-00000A7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Comprehensive model check (required for high risk)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42</xdr:row>
          <xdr:rowOff>22860</xdr:rowOff>
        </xdr:from>
        <xdr:to>
          <xdr:col>4</xdr:col>
          <xdr:colOff>739140</xdr:colOff>
          <xdr:row>44</xdr:row>
          <xdr:rowOff>68580</xdr:rowOff>
        </xdr:to>
        <xdr:sp macro="" textlink="">
          <xdr:nvSpPr>
            <xdr:cNvPr id="883723" name="Check Box 11" hidden="1">
              <a:extLst>
                <a:ext uri="{63B3BB69-23CF-44E3-9099-C40C66FF867C}">
                  <a14:compatExt spid="_x0000_s883723"/>
                </a:ext>
                <a:ext uri="{FF2B5EF4-FFF2-40B4-BE49-F238E27FC236}">
                  <a16:creationId xmlns:a16="http://schemas.microsoft.com/office/drawing/2014/main" id="{00000000-0008-0000-0100-00000B7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Moderate check e.g. simplified duplication of analysis* (required for medium risk)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42</xdr:row>
          <xdr:rowOff>22860</xdr:rowOff>
        </xdr:from>
        <xdr:to>
          <xdr:col>6</xdr:col>
          <xdr:colOff>640080</xdr:colOff>
          <xdr:row>44</xdr:row>
          <xdr:rowOff>0</xdr:rowOff>
        </xdr:to>
        <xdr:sp macro="" textlink="">
          <xdr:nvSpPr>
            <xdr:cNvPr id="883724" name="Check Box 12" hidden="1">
              <a:extLst>
                <a:ext uri="{63B3BB69-23CF-44E3-9099-C40C66FF867C}">
                  <a14:compatExt spid="_x0000_s883724"/>
                </a:ext>
                <a:ext uri="{FF2B5EF4-FFF2-40B4-BE49-F238E27FC236}">
                  <a16:creationId xmlns:a16="http://schemas.microsoft.com/office/drawing/2014/main" id="{00000000-0008-0000-0100-00000C7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Moderate check e.g. sampling of inputs* (required for medium risk)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40</xdr:row>
          <xdr:rowOff>53340</xdr:rowOff>
        </xdr:from>
        <xdr:to>
          <xdr:col>5</xdr:col>
          <xdr:colOff>2506980</xdr:colOff>
          <xdr:row>41</xdr:row>
          <xdr:rowOff>137160</xdr:rowOff>
        </xdr:to>
        <xdr:sp macro="" textlink="">
          <xdr:nvSpPr>
            <xdr:cNvPr id="883725" name="Check Box 13" hidden="1">
              <a:extLst>
                <a:ext uri="{63B3BB69-23CF-44E3-9099-C40C66FF867C}">
                  <a14:compatExt spid="_x0000_s883725"/>
                </a:ext>
                <a:ext uri="{FF2B5EF4-FFF2-40B4-BE49-F238E27FC236}">
                  <a16:creationId xmlns:a16="http://schemas.microsoft.com/office/drawing/2014/main" id="{00000000-0008-0000-0100-00000D7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Comprehensive check (required for high risk)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46</xdr:row>
          <xdr:rowOff>68580</xdr:rowOff>
        </xdr:from>
        <xdr:to>
          <xdr:col>4</xdr:col>
          <xdr:colOff>723900</xdr:colOff>
          <xdr:row>48</xdr:row>
          <xdr:rowOff>91440</xdr:rowOff>
        </xdr:to>
        <xdr:sp macro="" textlink="">
          <xdr:nvSpPr>
            <xdr:cNvPr id="883726" name="Check Box 14" hidden="1">
              <a:extLst>
                <a:ext uri="{63B3BB69-23CF-44E3-9099-C40C66FF867C}">
                  <a14:compatExt spid="_x0000_s883726"/>
                </a:ext>
                <a:ext uri="{FF2B5EF4-FFF2-40B4-BE49-F238E27FC236}">
                  <a16:creationId xmlns:a16="http://schemas.microsoft.com/office/drawing/2014/main" id="{00000000-0008-0000-0100-00000E7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Comprehensive model check (required for high risk)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48</xdr:row>
          <xdr:rowOff>30480</xdr:rowOff>
        </xdr:from>
        <xdr:to>
          <xdr:col>4</xdr:col>
          <xdr:colOff>1097280</xdr:colOff>
          <xdr:row>51</xdr:row>
          <xdr:rowOff>91440</xdr:rowOff>
        </xdr:to>
        <xdr:sp macro="" textlink="">
          <xdr:nvSpPr>
            <xdr:cNvPr id="883727" name="Check Box 15" hidden="1">
              <a:extLst>
                <a:ext uri="{63B3BB69-23CF-44E3-9099-C40C66FF867C}">
                  <a14:compatExt spid="_x0000_s883727"/>
                </a:ext>
                <a:ext uri="{FF2B5EF4-FFF2-40B4-BE49-F238E27FC236}">
                  <a16:creationId xmlns:a16="http://schemas.microsoft.com/office/drawing/2014/main" id="{00000000-0008-0000-0100-00000F7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Moderate check e.g. simplified duplication of analysis* (required for medium risk)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46</xdr:row>
          <xdr:rowOff>38100</xdr:rowOff>
        </xdr:from>
        <xdr:to>
          <xdr:col>5</xdr:col>
          <xdr:colOff>2796540</xdr:colOff>
          <xdr:row>48</xdr:row>
          <xdr:rowOff>91440</xdr:rowOff>
        </xdr:to>
        <xdr:sp macro="" textlink="">
          <xdr:nvSpPr>
            <xdr:cNvPr id="883728" name="Check Box 16" hidden="1">
              <a:extLst>
                <a:ext uri="{63B3BB69-23CF-44E3-9099-C40C66FF867C}">
                  <a14:compatExt spid="_x0000_s883728"/>
                </a:ext>
                <a:ext uri="{FF2B5EF4-FFF2-40B4-BE49-F238E27FC236}">
                  <a16:creationId xmlns:a16="http://schemas.microsoft.com/office/drawing/2014/main" id="{00000000-0008-0000-0100-0000107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Comprehensive check (required for high risk)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48</xdr:row>
          <xdr:rowOff>30480</xdr:rowOff>
        </xdr:from>
        <xdr:to>
          <xdr:col>6</xdr:col>
          <xdr:colOff>830580</xdr:colOff>
          <xdr:row>50</xdr:row>
          <xdr:rowOff>91440</xdr:rowOff>
        </xdr:to>
        <xdr:sp macro="" textlink="">
          <xdr:nvSpPr>
            <xdr:cNvPr id="883729" name="Check Box 17" hidden="1">
              <a:extLst>
                <a:ext uri="{63B3BB69-23CF-44E3-9099-C40C66FF867C}">
                  <a14:compatExt spid="_x0000_s883729"/>
                </a:ext>
                <a:ext uri="{FF2B5EF4-FFF2-40B4-BE49-F238E27FC236}">
                  <a16:creationId xmlns:a16="http://schemas.microsoft.com/office/drawing/2014/main" id="{00000000-0008-0000-0100-0000117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Moderate check e.g. sampling of inputs* (required for medium risk)</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47625</xdr:colOff>
      <xdr:row>6</xdr:row>
      <xdr:rowOff>66675</xdr:rowOff>
    </xdr:from>
    <xdr:to>
      <xdr:col>10</xdr:col>
      <xdr:colOff>522605</xdr:colOff>
      <xdr:row>9</xdr:row>
      <xdr:rowOff>158750</xdr:rowOff>
    </xdr:to>
    <xdr:pic>
      <xdr:nvPicPr>
        <xdr:cNvPr id="5" name="Picture 4">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4950" y="1323975"/>
          <a:ext cx="3152775" cy="866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yourcouncil.nsw.gov.au/nsw-overview/finances/" TargetMode="External"/><Relationship Id="rId1" Type="http://schemas.openxmlformats.org/officeDocument/2006/relationships/hyperlink" Target="https://yourcouncil.nsw.gov.au/nsw-overview/finances/"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rsh_suri@ipart.nsw.gov.au" TargetMode="External"/><Relationship Id="rId1" Type="http://schemas.openxmlformats.org/officeDocument/2006/relationships/hyperlink" Target="mailto:Edward_jenkins@ipart.nsw.gov.au"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ipart.nsw.gov.au/Home" TargetMode="External"/><Relationship Id="rId1" Type="http://schemas.openxmlformats.org/officeDocument/2006/relationships/hyperlink" Target="mailto:tony_camenzuli@ipart.nsw.gov.au"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2:AA42"/>
  <sheetViews>
    <sheetView workbookViewId="0"/>
  </sheetViews>
  <sheetFormatPr defaultColWidth="13.125" defaultRowHeight="11.4" x14ac:dyDescent="0.2"/>
  <cols>
    <col min="1" max="16384" width="13.125" style="65"/>
  </cols>
  <sheetData>
    <row r="2" spans="1:27" s="64" customFormat="1" ht="17.399999999999999" x14ac:dyDescent="0.3">
      <c r="A2" s="69"/>
      <c r="B2" s="66" t="s">
        <v>0</v>
      </c>
      <c r="C2" s="59"/>
      <c r="D2" s="59"/>
      <c r="E2"/>
      <c r="F2"/>
      <c r="G2"/>
      <c r="H2"/>
      <c r="I2"/>
      <c r="J2"/>
      <c r="K2" s="65"/>
      <c r="L2" s="65"/>
      <c r="M2" s="65"/>
      <c r="N2" s="65"/>
      <c r="O2" s="65"/>
    </row>
    <row r="3" spans="1:27" ht="13.8" x14ac:dyDescent="0.3">
      <c r="A3"/>
      <c r="B3" s="63" t="s">
        <v>1</v>
      </c>
      <c r="C3" s="63"/>
      <c r="D3" s="63"/>
      <c r="E3" s="69"/>
      <c r="F3" s="69"/>
      <c r="G3" s="69"/>
      <c r="H3" s="69"/>
      <c r="I3" s="69"/>
      <c r="J3" s="69"/>
      <c r="K3" s="64"/>
      <c r="L3" s="64"/>
      <c r="M3" s="64"/>
      <c r="N3" s="64"/>
      <c r="O3" s="64"/>
    </row>
    <row r="4" spans="1:27" ht="15.6" x14ac:dyDescent="0.3">
      <c r="A4"/>
      <c r="B4" s="62" t="s">
        <v>2</v>
      </c>
      <c r="C4" s="61"/>
      <c r="D4" s="61"/>
      <c r="E4"/>
      <c r="F4"/>
      <c r="G4"/>
      <c r="H4"/>
      <c r="I4"/>
      <c r="J4"/>
    </row>
    <row r="5" spans="1:27" ht="13.2" x14ac:dyDescent="0.25">
      <c r="A5"/>
      <c r="B5"/>
      <c r="C5" s="70"/>
      <c r="D5" s="70"/>
      <c r="E5"/>
      <c r="G5"/>
      <c r="H5" s="53" t="s">
        <v>3</v>
      </c>
      <c r="I5"/>
      <c r="J5"/>
    </row>
    <row r="6" spans="1:27" ht="13.2" x14ac:dyDescent="0.25">
      <c r="A6"/>
      <c r="B6"/>
      <c r="C6"/>
      <c r="D6"/>
      <c r="E6"/>
      <c r="G6"/>
      <c r="H6"/>
      <c r="I6" s="53" t="s">
        <v>4</v>
      </c>
      <c r="J6"/>
    </row>
    <row r="7" spans="1:27" ht="18" thickBot="1" x14ac:dyDescent="0.35">
      <c r="A7"/>
      <c r="B7" s="60" t="s">
        <v>5</v>
      </c>
      <c r="C7" s="59"/>
      <c r="D7" s="59"/>
      <c r="E7"/>
      <c r="F7"/>
      <c r="G7"/>
      <c r="H7"/>
      <c r="I7"/>
      <c r="J7"/>
      <c r="K7"/>
      <c r="L7"/>
      <c r="M7"/>
      <c r="N7"/>
      <c r="O7"/>
      <c r="P7"/>
      <c r="Q7"/>
      <c r="R7"/>
      <c r="S7"/>
      <c r="T7" s="58"/>
      <c r="U7" s="58"/>
      <c r="V7" s="58"/>
      <c r="W7" s="58"/>
      <c r="X7" s="58"/>
      <c r="Y7" s="58"/>
      <c r="Z7" s="58"/>
      <c r="AA7" s="58"/>
    </row>
    <row r="8" spans="1:27" ht="15.6" x14ac:dyDescent="0.3">
      <c r="A8"/>
      <c r="B8" s="67"/>
      <c r="C8" s="57"/>
      <c r="D8" s="56"/>
      <c r="E8" s="56"/>
      <c r="F8" s="56"/>
      <c r="G8" s="55" t="s">
        <v>6</v>
      </c>
      <c r="H8" s="54" t="s">
        <v>7</v>
      </c>
      <c r="I8"/>
      <c r="J8" s="53"/>
      <c r="K8"/>
      <c r="L8"/>
      <c r="M8"/>
      <c r="N8"/>
      <c r="O8"/>
      <c r="P8"/>
      <c r="Q8"/>
      <c r="R8"/>
      <c r="S8"/>
      <c r="T8" s="58"/>
      <c r="U8" s="58"/>
      <c r="V8" s="58"/>
      <c r="W8" s="58"/>
      <c r="X8" s="58"/>
      <c r="Y8" s="58"/>
      <c r="Z8" s="58"/>
      <c r="AA8" s="58"/>
    </row>
    <row r="9" spans="1:27" x14ac:dyDescent="0.2">
      <c r="A9"/>
      <c r="B9" s="52" t="s">
        <v>8</v>
      </c>
      <c r="C9" s="51"/>
      <c r="D9" s="50"/>
      <c r="E9" s="50"/>
      <c r="F9" s="58"/>
      <c r="G9" s="50">
        <v>4232</v>
      </c>
      <c r="H9" s="49">
        <v>0.08</v>
      </c>
      <c r="I9"/>
      <c r="J9"/>
      <c r="K9"/>
      <c r="L9"/>
      <c r="M9"/>
      <c r="N9"/>
      <c r="O9"/>
      <c r="P9"/>
      <c r="Q9"/>
      <c r="R9"/>
      <c r="S9"/>
      <c r="T9" s="58"/>
      <c r="U9" s="58"/>
      <c r="V9" s="58"/>
      <c r="W9" s="58"/>
      <c r="X9" s="58"/>
      <c r="Y9" s="58"/>
      <c r="Z9" s="58"/>
      <c r="AA9" s="58"/>
    </row>
    <row r="10" spans="1:27" x14ac:dyDescent="0.2">
      <c r="A10"/>
      <c r="B10" s="48" t="s">
        <v>9</v>
      </c>
      <c r="C10" s="47"/>
      <c r="D10" s="46"/>
      <c r="E10" s="45"/>
      <c r="F10" s="58"/>
      <c r="G10" s="45">
        <v>34345</v>
      </c>
      <c r="H10" s="44">
        <v>0.08</v>
      </c>
      <c r="I10"/>
      <c r="J10"/>
      <c r="K10"/>
      <c r="L10"/>
      <c r="M10"/>
      <c r="N10"/>
      <c r="O10"/>
      <c r="P10"/>
      <c r="Q10"/>
      <c r="R10"/>
      <c r="S10"/>
      <c r="T10" s="58"/>
      <c r="U10" s="58"/>
      <c r="V10" s="58"/>
      <c r="W10" s="58"/>
      <c r="X10" s="58"/>
      <c r="Y10" s="58"/>
      <c r="Z10" s="58"/>
      <c r="AA10" s="58"/>
    </row>
    <row r="11" spans="1:27" ht="13.2" x14ac:dyDescent="0.25">
      <c r="A11"/>
      <c r="B11" s="43" t="s">
        <v>10</v>
      </c>
      <c r="C11" s="68"/>
      <c r="D11" s="58"/>
      <c r="E11" s="58"/>
      <c r="F11" s="58"/>
      <c r="G11" s="58"/>
      <c r="H11" s="42"/>
      <c r="I11"/>
      <c r="J11"/>
      <c r="K11"/>
      <c r="L11"/>
      <c r="M11"/>
      <c r="N11"/>
      <c r="O11"/>
      <c r="P11"/>
      <c r="Q11"/>
      <c r="R11"/>
      <c r="S11"/>
      <c r="T11" s="58"/>
      <c r="U11" s="58"/>
      <c r="V11" s="58"/>
      <c r="W11" s="58"/>
      <c r="X11" s="58"/>
      <c r="Y11" s="58"/>
      <c r="Z11" s="58"/>
      <c r="AA11" s="58"/>
    </row>
    <row r="12" spans="1:27" ht="12" x14ac:dyDescent="0.25">
      <c r="A12"/>
      <c r="B12" s="41" t="s">
        <v>11</v>
      </c>
      <c r="C12" s="40"/>
      <c r="D12" s="40"/>
      <c r="E12" s="40"/>
      <c r="F12" s="58"/>
      <c r="G12" s="58"/>
      <c r="H12" s="42"/>
      <c r="I12"/>
      <c r="J12"/>
      <c r="K12"/>
      <c r="L12"/>
      <c r="M12"/>
      <c r="N12"/>
      <c r="O12"/>
      <c r="P12"/>
      <c r="Q12"/>
      <c r="R12"/>
      <c r="S12"/>
      <c r="T12" s="58"/>
      <c r="U12" s="58"/>
      <c r="V12" s="58"/>
      <c r="W12" s="58"/>
      <c r="X12" s="58"/>
      <c r="Y12" s="58"/>
      <c r="Z12" s="58"/>
      <c r="AA12" s="58"/>
    </row>
    <row r="13" spans="1:27" ht="13.2" x14ac:dyDescent="0.25">
      <c r="A13"/>
      <c r="B13" s="39" t="s">
        <v>12</v>
      </c>
      <c r="C13" s="68"/>
      <c r="D13"/>
      <c r="E13"/>
      <c r="F13" s="58"/>
      <c r="G13" s="58"/>
      <c r="H13" s="42"/>
      <c r="I13"/>
      <c r="J13"/>
      <c r="K13"/>
      <c r="L13"/>
      <c r="M13"/>
      <c r="N13"/>
      <c r="O13"/>
      <c r="P13"/>
      <c r="Q13"/>
      <c r="R13"/>
      <c r="S13"/>
      <c r="T13" s="58"/>
      <c r="U13" s="58"/>
      <c r="V13" s="58"/>
      <c r="W13" s="58"/>
      <c r="X13" s="58"/>
      <c r="Y13" s="58"/>
      <c r="Z13" s="58"/>
      <c r="AA13" s="58"/>
    </row>
    <row r="14" spans="1:27" x14ac:dyDescent="0.2">
      <c r="A14"/>
      <c r="B14" s="38" t="s">
        <v>13</v>
      </c>
      <c r="C14" s="37"/>
      <c r="D14" s="37"/>
      <c r="E14"/>
      <c r="F14" s="58"/>
      <c r="G14" s="58"/>
      <c r="H14" s="42"/>
      <c r="I14"/>
      <c r="J14"/>
      <c r="K14"/>
      <c r="L14"/>
      <c r="M14"/>
      <c r="N14"/>
      <c r="O14"/>
      <c r="P14"/>
      <c r="Q14"/>
      <c r="R14"/>
      <c r="S14"/>
      <c r="T14" s="58"/>
      <c r="U14" s="58"/>
      <c r="V14" s="58"/>
      <c r="W14" s="58"/>
      <c r="X14" s="58"/>
      <c r="Y14" s="58"/>
      <c r="Z14" s="58"/>
      <c r="AA14" s="58"/>
    </row>
    <row r="15" spans="1:27" ht="12" x14ac:dyDescent="0.25">
      <c r="A15"/>
      <c r="B15" s="36" t="s">
        <v>14</v>
      </c>
      <c r="C15" s="35"/>
      <c r="D15"/>
      <c r="E15"/>
      <c r="F15" s="58"/>
      <c r="G15" s="58"/>
      <c r="H15" s="42"/>
      <c r="I15"/>
      <c r="J15"/>
      <c r="K15"/>
      <c r="L15"/>
      <c r="M15"/>
      <c r="N15"/>
      <c r="O15"/>
      <c r="P15"/>
      <c r="Q15" s="34"/>
      <c r="R15" s="34"/>
      <c r="S15"/>
      <c r="T15" s="58"/>
      <c r="U15" s="58"/>
      <c r="V15" s="58"/>
      <c r="W15" s="58"/>
      <c r="X15" s="58"/>
      <c r="Y15" s="58"/>
      <c r="Z15" s="58"/>
      <c r="AA15" s="58"/>
    </row>
    <row r="16" spans="1:27" ht="12.6" thickBot="1" x14ac:dyDescent="0.3">
      <c r="A16"/>
      <c r="B16" s="33" t="s">
        <v>15</v>
      </c>
      <c r="C16" s="32"/>
      <c r="D16" s="31"/>
      <c r="E16" s="30"/>
      <c r="F16" s="29"/>
      <c r="G16" s="28"/>
      <c r="H16" s="27"/>
      <c r="I16"/>
      <c r="J16"/>
      <c r="K16"/>
      <c r="L16"/>
      <c r="M16"/>
      <c r="N16"/>
      <c r="O16"/>
      <c r="P16"/>
      <c r="Q16" s="34"/>
      <c r="R16" s="34"/>
      <c r="S16"/>
      <c r="T16" s="58"/>
      <c r="U16" s="58"/>
      <c r="V16" s="58"/>
      <c r="W16" s="58"/>
      <c r="X16" s="58"/>
      <c r="Y16" s="58"/>
      <c r="Z16" s="58"/>
      <c r="AA16" s="58"/>
    </row>
    <row r="17" spans="1:27" ht="12" x14ac:dyDescent="0.25">
      <c r="A17"/>
      <c r="B17" t="s">
        <v>16</v>
      </c>
      <c r="C17" s="26"/>
      <c r="D17" s="25"/>
      <c r="E17" s="24" t="s">
        <v>17</v>
      </c>
      <c r="F17" s="23"/>
      <c r="G17" s="23"/>
      <c r="H17" s="51"/>
      <c r="I17"/>
      <c r="J17"/>
      <c r="K17"/>
      <c r="L17"/>
      <c r="M17"/>
      <c r="N17"/>
      <c r="O17"/>
      <c r="P17"/>
      <c r="Q17" s="34"/>
      <c r="R17" s="34"/>
      <c r="S17" s="58"/>
      <c r="T17" s="58"/>
      <c r="U17" s="58"/>
      <c r="V17" s="58"/>
      <c r="W17" s="58"/>
      <c r="X17" s="58"/>
      <c r="Y17" s="58"/>
      <c r="Z17" s="58"/>
      <c r="AA17" s="58"/>
    </row>
    <row r="18" spans="1:27" x14ac:dyDescent="0.2">
      <c r="A18"/>
      <c r="B18"/>
      <c r="C18"/>
      <c r="D18"/>
      <c r="E18" s="22" t="s">
        <v>18</v>
      </c>
      <c r="F18" s="23"/>
      <c r="G18" s="23"/>
      <c r="H18" s="50"/>
      <c r="I18"/>
      <c r="J18"/>
      <c r="K18"/>
      <c r="L18"/>
      <c r="M18"/>
      <c r="N18"/>
      <c r="O18"/>
      <c r="P18"/>
      <c r="Q18"/>
      <c r="R18"/>
      <c r="S18" s="58"/>
      <c r="T18" s="58"/>
      <c r="U18" s="58"/>
      <c r="V18" s="58"/>
      <c r="W18" s="58"/>
      <c r="X18" s="58"/>
      <c r="Y18" s="58"/>
      <c r="Z18" s="58"/>
      <c r="AA18" s="58"/>
    </row>
    <row r="19" spans="1:27" x14ac:dyDescent="0.2">
      <c r="A19"/>
      <c r="B19"/>
      <c r="C19"/>
      <c r="D19"/>
      <c r="E19"/>
      <c r="F19"/>
      <c r="G19" s="58"/>
      <c r="H19" s="58"/>
      <c r="I19"/>
      <c r="J19"/>
      <c r="K19"/>
      <c r="L19"/>
      <c r="M19"/>
      <c r="N19"/>
      <c r="O19"/>
      <c r="P19"/>
      <c r="Q19"/>
      <c r="R19"/>
      <c r="S19" s="58"/>
      <c r="T19" s="58"/>
      <c r="U19" s="58"/>
      <c r="V19" s="58"/>
      <c r="W19" s="58"/>
      <c r="X19" s="58"/>
      <c r="Y19" s="58"/>
      <c r="Z19" s="58"/>
      <c r="AA19" s="58"/>
    </row>
    <row r="20" spans="1:27" ht="13.2" x14ac:dyDescent="0.25">
      <c r="A20"/>
      <c r="B20"/>
      <c r="C20"/>
      <c r="D20"/>
      <c r="E20"/>
      <c r="F20"/>
      <c r="G20"/>
      <c r="H20" s="53" t="s">
        <v>3</v>
      </c>
      <c r="I20"/>
      <c r="J20"/>
      <c r="K20"/>
      <c r="L20"/>
      <c r="M20"/>
      <c r="N20"/>
      <c r="O20"/>
      <c r="P20"/>
      <c r="Q20"/>
      <c r="R20"/>
      <c r="S20" s="58"/>
      <c r="T20" s="58"/>
      <c r="U20" s="58"/>
      <c r="V20" s="58"/>
      <c r="W20" s="58"/>
      <c r="X20" s="58"/>
      <c r="Y20" s="58"/>
      <c r="Z20" s="58"/>
      <c r="AA20" s="58"/>
    </row>
    <row r="21" spans="1:27" ht="18" thickBot="1" x14ac:dyDescent="0.35">
      <c r="A21"/>
      <c r="B21" s="60" t="s">
        <v>19</v>
      </c>
      <c r="C21" s="59"/>
      <c r="D21" s="59"/>
      <c r="E21"/>
      <c r="F21"/>
      <c r="G21"/>
      <c r="H21"/>
      <c r="I21" s="53" t="s">
        <v>4</v>
      </c>
      <c r="J21"/>
      <c r="K21"/>
      <c r="L21"/>
      <c r="M21"/>
      <c r="N21"/>
      <c r="O21"/>
      <c r="P21"/>
      <c r="Q21"/>
      <c r="R21"/>
      <c r="S21" s="58"/>
      <c r="T21" s="58"/>
      <c r="U21" s="58"/>
      <c r="V21" s="58"/>
      <c r="W21" s="58"/>
      <c r="X21" s="58"/>
      <c r="Y21" s="58"/>
      <c r="Z21" s="58"/>
      <c r="AA21" s="58"/>
    </row>
    <row r="22" spans="1:27" ht="17.399999999999999" x14ac:dyDescent="0.3">
      <c r="A22"/>
      <c r="B22" s="21"/>
      <c r="C22" s="20"/>
      <c r="D22" s="56"/>
      <c r="E22" s="56"/>
      <c r="F22" s="56"/>
      <c r="G22" s="55" t="s">
        <v>6</v>
      </c>
      <c r="H22" s="54" t="s">
        <v>7</v>
      </c>
      <c r="I22" s="19"/>
      <c r="J22"/>
      <c r="K22"/>
      <c r="L22"/>
      <c r="M22"/>
      <c r="N22"/>
      <c r="O22"/>
      <c r="P22"/>
      <c r="Q22"/>
      <c r="R22"/>
      <c r="S22" s="58"/>
      <c r="T22" s="58"/>
      <c r="U22" s="58"/>
      <c r="V22" s="58"/>
      <c r="W22" s="58"/>
      <c r="X22" s="58"/>
      <c r="Y22" s="58"/>
      <c r="Z22" s="58"/>
      <c r="AA22" s="58"/>
    </row>
    <row r="23" spans="1:27" x14ac:dyDescent="0.2">
      <c r="A23"/>
      <c r="B23" s="48" t="s">
        <v>20</v>
      </c>
      <c r="C23" s="46"/>
      <c r="D23" s="46"/>
      <c r="E23" s="46"/>
      <c r="F23" s="45"/>
      <c r="G23" s="18">
        <v>234</v>
      </c>
      <c r="H23" s="44">
        <v>0.24</v>
      </c>
      <c r="I23"/>
      <c r="J23"/>
      <c r="K23"/>
      <c r="L23"/>
      <c r="M23"/>
      <c r="N23"/>
      <c r="O23"/>
      <c r="P23"/>
      <c r="Q23"/>
      <c r="R23"/>
      <c r="S23" s="58"/>
      <c r="T23" s="58"/>
      <c r="U23" s="58"/>
      <c r="V23" s="58"/>
      <c r="W23" s="58"/>
      <c r="X23" s="58"/>
      <c r="Y23" s="58"/>
      <c r="Z23" s="58"/>
      <c r="AA23" s="58"/>
    </row>
    <row r="24" spans="1:27" x14ac:dyDescent="0.2">
      <c r="A24"/>
      <c r="B24" s="17" t="s">
        <v>21</v>
      </c>
      <c r="C24" s="16"/>
      <c r="D24" s="16"/>
      <c r="E24" s="16"/>
      <c r="F24" s="16"/>
      <c r="G24" s="16">
        <v>6667</v>
      </c>
      <c r="H24" s="15">
        <v>0.05</v>
      </c>
      <c r="I24"/>
      <c r="J24"/>
      <c r="K24"/>
      <c r="L24"/>
      <c r="M24"/>
      <c r="N24"/>
      <c r="O24"/>
      <c r="P24"/>
      <c r="Q24"/>
      <c r="R24"/>
      <c r="S24" s="58"/>
      <c r="T24" s="58"/>
      <c r="U24" s="58"/>
      <c r="V24" s="58"/>
      <c r="W24" s="58"/>
      <c r="X24" s="58"/>
      <c r="Y24" s="58"/>
      <c r="Z24" s="58"/>
      <c r="AA24" s="58"/>
    </row>
    <row r="25" spans="1:27" x14ac:dyDescent="0.2">
      <c r="A25"/>
      <c r="B25" s="36" t="s">
        <v>22</v>
      </c>
      <c r="C25" s="35"/>
      <c r="D25" s="35"/>
      <c r="E25"/>
      <c r="F25" s="58"/>
      <c r="G25"/>
      <c r="H25" s="14"/>
      <c r="I25"/>
      <c r="J25"/>
      <c r="K25"/>
      <c r="L25"/>
      <c r="M25"/>
      <c r="N25"/>
      <c r="O25"/>
      <c r="P25"/>
      <c r="Q25"/>
      <c r="R25"/>
      <c r="S25" s="58"/>
      <c r="T25" s="58"/>
      <c r="U25" s="58"/>
      <c r="V25" s="58"/>
      <c r="W25" s="58"/>
      <c r="X25" s="58"/>
      <c r="Y25" s="58"/>
      <c r="Z25" s="58"/>
      <c r="AA25" s="58"/>
    </row>
    <row r="26" spans="1:27" ht="12" thickBot="1" x14ac:dyDescent="0.25">
      <c r="A26"/>
      <c r="B26" s="13" t="s">
        <v>13</v>
      </c>
      <c r="C26" s="12"/>
      <c r="D26" s="12"/>
      <c r="E26" s="32"/>
      <c r="F26" s="32"/>
      <c r="G26" s="32"/>
      <c r="H26" s="11"/>
      <c r="I26"/>
      <c r="J26"/>
      <c r="K26"/>
      <c r="L26"/>
      <c r="M26"/>
      <c r="N26"/>
      <c r="O26"/>
      <c r="P26"/>
      <c r="Q26"/>
      <c r="R26"/>
      <c r="S26" s="58"/>
      <c r="T26" s="58"/>
      <c r="U26" s="58"/>
      <c r="V26" s="58"/>
      <c r="W26" s="58"/>
      <c r="X26" s="58"/>
      <c r="Y26" s="58"/>
      <c r="Z26" s="58"/>
      <c r="AA26" s="58"/>
    </row>
    <row r="27" spans="1:27" x14ac:dyDescent="0.2">
      <c r="A27"/>
      <c r="B27" s="37"/>
      <c r="C27" s="37"/>
      <c r="D27" s="37"/>
      <c r="E27"/>
      <c r="F27"/>
      <c r="G27"/>
      <c r="H27"/>
      <c r="I27"/>
      <c r="J27"/>
      <c r="K27"/>
      <c r="L27"/>
      <c r="M27"/>
      <c r="N27"/>
      <c r="O27"/>
      <c r="P27"/>
      <c r="Q27"/>
      <c r="R27"/>
      <c r="S27" s="58"/>
      <c r="T27" s="58"/>
      <c r="U27" s="58"/>
      <c r="V27" s="58"/>
      <c r="W27" s="58"/>
      <c r="X27" s="58"/>
      <c r="Y27" s="58"/>
      <c r="Z27" s="58"/>
      <c r="AA27" s="58"/>
    </row>
    <row r="28" spans="1:27" ht="12" x14ac:dyDescent="0.25">
      <c r="A28"/>
      <c r="B28" s="10" t="s">
        <v>23</v>
      </c>
      <c r="C28" s="9"/>
      <c r="D28" s="9"/>
      <c r="E28"/>
      <c r="F28"/>
      <c r="G28"/>
      <c r="H28"/>
      <c r="I28"/>
      <c r="J28"/>
      <c r="K28"/>
      <c r="L28"/>
      <c r="M28"/>
      <c r="N28"/>
      <c r="O28"/>
      <c r="P28"/>
      <c r="Q28"/>
      <c r="R28"/>
      <c r="S28" s="58"/>
      <c r="T28" s="58"/>
      <c r="U28" s="58"/>
      <c r="V28" s="58"/>
      <c r="W28" s="58"/>
      <c r="X28" s="58"/>
      <c r="Y28" s="58"/>
      <c r="Z28" s="58"/>
      <c r="AA28" s="58"/>
    </row>
    <row r="29" spans="1:27" x14ac:dyDescent="0.2">
      <c r="A29"/>
      <c r="B29" s="8"/>
      <c r="C29" s="7"/>
      <c r="D29" s="7"/>
      <c r="E29"/>
      <c r="F29"/>
      <c r="G29"/>
      <c r="H29"/>
      <c r="I29"/>
      <c r="J29"/>
    </row>
    <row r="30" spans="1:27" s="6" customFormat="1" x14ac:dyDescent="0.2"/>
    <row r="31" spans="1:27" ht="17.399999999999999" x14ac:dyDescent="0.3">
      <c r="A31" s="59" t="s">
        <v>24</v>
      </c>
    </row>
    <row r="32" spans="1:27" ht="17.399999999999999" x14ac:dyDescent="0.3">
      <c r="A32" s="59"/>
    </row>
    <row r="33" spans="1:27" x14ac:dyDescent="0.2">
      <c r="A33" s="1194"/>
      <c r="B33" s="1195" t="s">
        <v>25</v>
      </c>
      <c r="C33" s="1195" t="s">
        <v>26</v>
      </c>
      <c r="D33" s="1195" t="s">
        <v>27</v>
      </c>
      <c r="E33" s="1195" t="s">
        <v>28</v>
      </c>
      <c r="F33" s="1195" t="s">
        <v>29</v>
      </c>
      <c r="G33" s="1195" t="s">
        <v>30</v>
      </c>
      <c r="H33" s="1195" t="s">
        <v>31</v>
      </c>
      <c r="I33" s="1195" t="s">
        <v>32</v>
      </c>
      <c r="K33" s="1194"/>
      <c r="L33" s="1195" t="s">
        <v>25</v>
      </c>
      <c r="M33" s="1195" t="s">
        <v>26</v>
      </c>
      <c r="N33" s="1195" t="s">
        <v>27</v>
      </c>
      <c r="O33" s="1195" t="s">
        <v>28</v>
      </c>
      <c r="P33" s="1195" t="s">
        <v>29</v>
      </c>
      <c r="Q33" s="1195" t="s">
        <v>30</v>
      </c>
      <c r="S33" s="1194" t="s">
        <v>33</v>
      </c>
      <c r="T33" s="1194" t="s">
        <v>34</v>
      </c>
      <c r="U33" s="1194" t="s">
        <v>35</v>
      </c>
      <c r="W33" s="1194"/>
      <c r="X33" s="1194" t="s">
        <v>36</v>
      </c>
      <c r="Y33" s="1194" t="s">
        <v>37</v>
      </c>
      <c r="Z33" s="1194" t="s">
        <v>38</v>
      </c>
      <c r="AA33" s="1194" t="s">
        <v>39</v>
      </c>
    </row>
    <row r="34" spans="1:27" x14ac:dyDescent="0.2">
      <c r="A34" s="1194" t="s">
        <v>40</v>
      </c>
      <c r="B34" s="1194">
        <v>36.19</v>
      </c>
      <c r="C34" s="1194">
        <v>36.880000000000003</v>
      </c>
      <c r="D34" s="1194">
        <v>21.56</v>
      </c>
      <c r="E34" s="1194">
        <v>5.36</v>
      </c>
      <c r="F34" s="1194">
        <v>3.01</v>
      </c>
      <c r="G34" s="1194">
        <v>10</v>
      </c>
      <c r="H34" s="1194">
        <v>3.01</v>
      </c>
      <c r="I34" s="1194">
        <v>10</v>
      </c>
      <c r="K34" s="1194" t="s">
        <v>40</v>
      </c>
      <c r="L34" s="1194">
        <v>33.19</v>
      </c>
      <c r="M34" s="1194">
        <v>36.880000000000003</v>
      </c>
      <c r="N34" s="1194">
        <v>21.56</v>
      </c>
      <c r="O34" s="1194">
        <v>5.36</v>
      </c>
      <c r="P34" s="1194">
        <v>3.01</v>
      </c>
      <c r="Q34" s="1194">
        <v>10</v>
      </c>
      <c r="S34" s="1194">
        <v>1.8</v>
      </c>
      <c r="T34" s="1194">
        <v>10</v>
      </c>
      <c r="U34" s="1194">
        <v>17</v>
      </c>
      <c r="W34" s="1194" t="s">
        <v>40</v>
      </c>
      <c r="X34" s="1194">
        <v>33.19</v>
      </c>
      <c r="Y34" s="1194">
        <v>36.880000000000003</v>
      </c>
      <c r="Z34" s="1194">
        <v>21.56</v>
      </c>
      <c r="AA34" s="1194">
        <v>5.36</v>
      </c>
    </row>
    <row r="35" spans="1:27" x14ac:dyDescent="0.2">
      <c r="A35" s="1194" t="s">
        <v>41</v>
      </c>
      <c r="B35" s="1194">
        <v>39.39</v>
      </c>
      <c r="C35" s="1194">
        <v>32.020000000000003</v>
      </c>
      <c r="D35" s="1194">
        <v>21.6</v>
      </c>
      <c r="E35" s="1194">
        <v>7.01</v>
      </c>
      <c r="F35" s="1194">
        <v>3.36</v>
      </c>
      <c r="G35" s="1194">
        <v>12</v>
      </c>
      <c r="H35" s="1194">
        <v>3.36</v>
      </c>
      <c r="I35" s="1194">
        <v>12</v>
      </c>
      <c r="K35" s="1194" t="s">
        <v>41</v>
      </c>
      <c r="L35" s="1194">
        <v>39.39</v>
      </c>
      <c r="M35" s="1194">
        <v>32.020000000000003</v>
      </c>
      <c r="N35" s="1194">
        <v>21.6</v>
      </c>
      <c r="O35" s="1194">
        <v>7.01</v>
      </c>
      <c r="P35" s="1194">
        <v>3.36</v>
      </c>
      <c r="Q35" s="1194">
        <v>12</v>
      </c>
      <c r="S35" s="1194">
        <v>2.2999999999999998</v>
      </c>
      <c r="T35" s="1194">
        <v>12</v>
      </c>
      <c r="U35" s="1194">
        <v>9</v>
      </c>
      <c r="W35" s="1194" t="s">
        <v>41</v>
      </c>
      <c r="X35" s="1194">
        <v>39.39</v>
      </c>
      <c r="Y35" s="1194">
        <v>32.020000000000003</v>
      </c>
      <c r="Z35" s="1194">
        <v>21.6</v>
      </c>
      <c r="AA35" s="1194">
        <v>7.01</v>
      </c>
    </row>
    <row r="36" spans="1:27" x14ac:dyDescent="0.2">
      <c r="A36" s="1194" t="s">
        <v>42</v>
      </c>
      <c r="B36" s="1194">
        <v>42.78</v>
      </c>
      <c r="C36" s="1194">
        <v>29.91</v>
      </c>
      <c r="D36" s="1194">
        <v>18.350000000000001</v>
      </c>
      <c r="E36" s="1194">
        <v>6.33</v>
      </c>
      <c r="F36" s="1194">
        <v>2.63</v>
      </c>
      <c r="G36" s="1194">
        <v>14</v>
      </c>
      <c r="H36" s="1194">
        <v>2.63</v>
      </c>
      <c r="I36" s="1194">
        <v>14</v>
      </c>
      <c r="K36" s="1194" t="s">
        <v>42</v>
      </c>
      <c r="L36" s="1194">
        <v>42.78</v>
      </c>
      <c r="M36" s="1194">
        <v>29.91</v>
      </c>
      <c r="N36" s="1194">
        <v>18.350000000000001</v>
      </c>
      <c r="O36" s="1194">
        <v>6.33</v>
      </c>
      <c r="P36" s="1194">
        <v>2.63</v>
      </c>
      <c r="Q36" s="1194">
        <v>14</v>
      </c>
      <c r="S36" s="1194">
        <v>3.7</v>
      </c>
      <c r="T36" s="1194">
        <v>16</v>
      </c>
      <c r="U36" s="1194">
        <v>14</v>
      </c>
      <c r="W36" s="1194" t="s">
        <v>42</v>
      </c>
      <c r="X36" s="1194">
        <v>42.78</v>
      </c>
      <c r="Y36" s="1194">
        <v>29.91</v>
      </c>
      <c r="Z36" s="1194">
        <v>18.350000000000001</v>
      </c>
      <c r="AA36" s="1194">
        <v>6.33</v>
      </c>
    </row>
    <row r="37" spans="1:27" x14ac:dyDescent="0.2">
      <c r="A37" s="1196" t="s">
        <v>43</v>
      </c>
      <c r="B37" s="1194">
        <v>42.13</v>
      </c>
      <c r="C37" s="1194">
        <v>26.53</v>
      </c>
      <c r="D37" s="1194">
        <v>21.6</v>
      </c>
      <c r="E37" s="1194">
        <v>7.01</v>
      </c>
      <c r="F37" s="1194">
        <v>2.72</v>
      </c>
      <c r="G37" s="1194">
        <v>16</v>
      </c>
      <c r="H37" s="1194">
        <v>2.72</v>
      </c>
      <c r="I37" s="1194">
        <v>16</v>
      </c>
      <c r="K37" s="1196" t="s">
        <v>43</v>
      </c>
      <c r="L37" s="1194">
        <v>42.13</v>
      </c>
      <c r="M37" s="1194">
        <v>26.53</v>
      </c>
      <c r="N37" s="1194">
        <v>21.6</v>
      </c>
      <c r="O37" s="1194">
        <v>7.01</v>
      </c>
      <c r="P37" s="1194">
        <v>2.72</v>
      </c>
      <c r="Q37" s="1194">
        <v>16</v>
      </c>
      <c r="S37" s="1194">
        <v>4.0999999999999996</v>
      </c>
      <c r="T37" s="1194">
        <v>8</v>
      </c>
      <c r="U37" s="1194">
        <v>23</v>
      </c>
      <c r="W37" s="1196" t="s">
        <v>43</v>
      </c>
      <c r="X37" s="1194">
        <v>42.13</v>
      </c>
      <c r="Y37" s="1194">
        <v>26.53</v>
      </c>
      <c r="Z37" s="1194">
        <v>21.6</v>
      </c>
      <c r="AA37" s="1194">
        <v>7.01</v>
      </c>
    </row>
    <row r="38" spans="1:27" x14ac:dyDescent="0.2">
      <c r="A38" s="1194" t="s">
        <v>44</v>
      </c>
      <c r="B38" s="1194">
        <v>41.69</v>
      </c>
      <c r="C38" s="1194">
        <v>24.76</v>
      </c>
      <c r="D38" s="1194">
        <v>23.98</v>
      </c>
      <c r="E38" s="1194">
        <v>7</v>
      </c>
      <c r="F38" s="1194">
        <v>2.57</v>
      </c>
      <c r="G38" s="1194">
        <v>18</v>
      </c>
      <c r="H38" s="1194">
        <v>2.57</v>
      </c>
      <c r="I38" s="1194">
        <v>18</v>
      </c>
      <c r="K38" s="1194" t="s">
        <v>44</v>
      </c>
      <c r="L38" s="1194">
        <v>41.69</v>
      </c>
      <c r="M38" s="1194">
        <v>24.76</v>
      </c>
      <c r="N38" s="1194">
        <v>23.98</v>
      </c>
      <c r="O38" s="1194">
        <v>7</v>
      </c>
      <c r="P38" s="1194">
        <v>2.57</v>
      </c>
      <c r="Q38" s="1194">
        <v>18</v>
      </c>
      <c r="S38" s="1194">
        <v>5.5</v>
      </c>
      <c r="T38" s="1194">
        <v>14</v>
      </c>
      <c r="U38" s="1194">
        <v>27</v>
      </c>
      <c r="W38" s="1194" t="s">
        <v>44</v>
      </c>
      <c r="X38" s="1194">
        <v>41.69</v>
      </c>
      <c r="Y38" s="1194">
        <v>24.76</v>
      </c>
      <c r="Z38" s="1194">
        <v>23.98</v>
      </c>
      <c r="AA38" s="1194">
        <v>7</v>
      </c>
    </row>
    <row r="39" spans="1:27" x14ac:dyDescent="0.2">
      <c r="A39" s="1194" t="s">
        <v>45</v>
      </c>
      <c r="B39" s="1194">
        <v>39.39</v>
      </c>
      <c r="C39" s="1194">
        <v>32.020000000000003</v>
      </c>
      <c r="D39" s="1194">
        <v>21.6</v>
      </c>
      <c r="E39" s="1194">
        <v>7.01</v>
      </c>
      <c r="F39" s="1194">
        <v>3.36</v>
      </c>
      <c r="G39" s="1194">
        <v>12</v>
      </c>
      <c r="H39" s="1194">
        <v>3.36</v>
      </c>
      <c r="I39" s="1194">
        <v>12</v>
      </c>
      <c r="K39" s="1194" t="s">
        <v>45</v>
      </c>
      <c r="L39" s="1194">
        <v>39.39</v>
      </c>
      <c r="M39" s="1194">
        <v>32.020000000000003</v>
      </c>
      <c r="N39" s="1194">
        <v>21.6</v>
      </c>
      <c r="O39" s="1194">
        <v>7.01</v>
      </c>
      <c r="P39" s="1194">
        <v>3.36</v>
      </c>
      <c r="Q39" s="1194">
        <v>12</v>
      </c>
      <c r="W39" s="1194" t="s">
        <v>45</v>
      </c>
      <c r="X39" s="1194">
        <v>39.39</v>
      </c>
      <c r="Y39" s="1194">
        <v>32.020000000000003</v>
      </c>
      <c r="Z39" s="1194">
        <v>21.6</v>
      </c>
      <c r="AA39" s="1194">
        <v>7.01</v>
      </c>
    </row>
    <row r="40" spans="1:27" x14ac:dyDescent="0.2">
      <c r="A40" s="1194" t="s">
        <v>46</v>
      </c>
      <c r="B40" s="1194">
        <v>42.13</v>
      </c>
      <c r="C40" s="1194">
        <v>26.53</v>
      </c>
      <c r="D40" s="1194">
        <v>21.6</v>
      </c>
      <c r="E40" s="1194">
        <v>7.01</v>
      </c>
      <c r="F40" s="1194">
        <v>2.72</v>
      </c>
      <c r="G40" s="1194">
        <v>16</v>
      </c>
      <c r="H40" s="1194">
        <v>2.72</v>
      </c>
      <c r="I40" s="1194">
        <v>16</v>
      </c>
      <c r="K40" s="1194" t="s">
        <v>46</v>
      </c>
      <c r="L40" s="1194">
        <v>42.13</v>
      </c>
      <c r="M40" s="1194">
        <v>26.53</v>
      </c>
      <c r="N40" s="1194">
        <v>21.6</v>
      </c>
      <c r="O40" s="1194">
        <v>7.01</v>
      </c>
      <c r="P40" s="1194">
        <v>2.72</v>
      </c>
      <c r="Q40" s="1194">
        <v>16</v>
      </c>
      <c r="W40" s="1194" t="s">
        <v>46</v>
      </c>
      <c r="X40" s="1194">
        <v>42.13</v>
      </c>
      <c r="Y40" s="1194">
        <v>26.53</v>
      </c>
      <c r="Z40" s="1194">
        <v>21.6</v>
      </c>
      <c r="AA40" s="1194">
        <v>7.01</v>
      </c>
    </row>
    <row r="41" spans="1:27" x14ac:dyDescent="0.2">
      <c r="A41" s="1194" t="s">
        <v>47</v>
      </c>
      <c r="B41" s="1194">
        <v>45</v>
      </c>
      <c r="C41" s="1194">
        <v>22</v>
      </c>
      <c r="D41" s="1194">
        <v>26</v>
      </c>
      <c r="E41" s="1194">
        <v>8</v>
      </c>
      <c r="F41" s="1194">
        <v>2</v>
      </c>
      <c r="G41" s="1194">
        <v>20</v>
      </c>
      <c r="H41" s="1194">
        <v>2</v>
      </c>
      <c r="I41" s="1194">
        <v>20</v>
      </c>
      <c r="K41" s="1194" t="s">
        <v>47</v>
      </c>
      <c r="L41" s="1194">
        <v>45</v>
      </c>
      <c r="M41" s="1194">
        <v>22</v>
      </c>
      <c r="N41" s="1194">
        <v>26</v>
      </c>
      <c r="O41" s="1194">
        <v>8</v>
      </c>
      <c r="P41" s="1194">
        <v>2</v>
      </c>
      <c r="Q41" s="1194">
        <v>20</v>
      </c>
      <c r="W41" s="1194" t="s">
        <v>47</v>
      </c>
      <c r="X41" s="1194">
        <v>45</v>
      </c>
      <c r="Y41" s="1194">
        <v>22</v>
      </c>
      <c r="Z41" s="1194">
        <v>26</v>
      </c>
      <c r="AA41" s="1194">
        <v>8</v>
      </c>
    </row>
    <row r="42" spans="1:27" ht="13.2" x14ac:dyDescent="0.25">
      <c r="A42" s="5" t="s">
        <v>48</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BB497"/>
  <sheetViews>
    <sheetView showGridLines="0" zoomScale="130" zoomScaleNormal="130" workbookViewId="0"/>
  </sheetViews>
  <sheetFormatPr defaultColWidth="9.125" defaultRowHeight="11.4" outlineLevelCol="1" x14ac:dyDescent="0.2"/>
  <cols>
    <col min="1" max="1" width="2.375" customWidth="1"/>
    <col min="2" max="2" width="3.375" customWidth="1"/>
    <col min="3" max="3" width="12.375" customWidth="1"/>
    <col min="4" max="4" width="26.125" customWidth="1"/>
    <col min="5" max="6" width="12.75" style="75" customWidth="1"/>
    <col min="7" max="12" width="12.75" customWidth="1"/>
    <col min="13" max="13" width="3.875" customWidth="1"/>
    <col min="14" max="14" width="3.75" hidden="1" customWidth="1" outlineLevel="1"/>
    <col min="15" max="15" width="14" hidden="1" customWidth="1" outlineLevel="1"/>
    <col min="16" max="16" width="8" hidden="1" customWidth="1" outlineLevel="1"/>
    <col min="17" max="17" width="7" customWidth="1" collapsed="1"/>
    <col min="18" max="18" width="2.125" customWidth="1"/>
    <col min="19" max="19" width="9.375" customWidth="1"/>
    <col min="20" max="22" width="9.125" bestFit="1" customWidth="1"/>
    <col min="23" max="23" width="8.125" bestFit="1" customWidth="1"/>
    <col min="24" max="24" width="8.375" customWidth="1"/>
    <col min="25" max="25" width="8.25" bestFit="1" customWidth="1"/>
    <col min="26" max="26" width="1.125" customWidth="1"/>
    <col min="27" max="27" width="8.25" customWidth="1"/>
    <col min="28" max="28" width="8.75" customWidth="1"/>
    <col min="29" max="29" width="8.75" bestFit="1" customWidth="1"/>
    <col min="30" max="31" width="7.375" customWidth="1"/>
    <col min="32" max="32" width="8.625" bestFit="1" customWidth="1"/>
    <col min="33" max="33" width="7.375" customWidth="1"/>
    <col min="34" max="34" width="1.25" customWidth="1"/>
    <col min="35" max="35" width="9.375" customWidth="1"/>
    <col min="36" max="40" width="8.875" bestFit="1" customWidth="1"/>
    <col min="41" max="41" width="9.875" bestFit="1" customWidth="1"/>
    <col min="42" max="42" width="1.375" customWidth="1"/>
    <col min="43" max="49" width="7.125" customWidth="1"/>
    <col min="50" max="50" width="1.25" customWidth="1"/>
    <col min="51" max="51" width="7.375" customWidth="1"/>
  </cols>
  <sheetData>
    <row r="1" spans="1:54" ht="12" thickBot="1" x14ac:dyDescent="0.25">
      <c r="A1" s="3"/>
      <c r="B1" s="3"/>
      <c r="C1" s="3"/>
      <c r="D1" s="3"/>
      <c r="E1" s="77"/>
      <c r="F1" s="77"/>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4" s="142" customFormat="1" ht="15" x14ac:dyDescent="0.25">
      <c r="A2" s="3"/>
      <c r="B2" s="209"/>
      <c r="C2" s="210"/>
      <c r="D2" s="210"/>
      <c r="E2" s="552"/>
      <c r="F2" s="552"/>
      <c r="G2" s="210"/>
      <c r="H2" s="210"/>
      <c r="I2" s="210"/>
      <c r="J2" s="210"/>
      <c r="K2" s="210"/>
      <c r="L2" s="210"/>
      <c r="M2" s="211"/>
      <c r="N2" s="3"/>
      <c r="O2" s="3"/>
      <c r="P2" s="3"/>
      <c r="Q2" s="129"/>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129"/>
      <c r="BA2" s="129"/>
      <c r="BB2" s="129"/>
    </row>
    <row r="3" spans="1:54" s="142" customFormat="1" ht="15" x14ac:dyDescent="0.25">
      <c r="A3" s="3"/>
      <c r="B3" s="212"/>
      <c r="C3" s="695" t="str">
        <f>'WK2 - Notional General Income'!$C$3</f>
        <v>Hornsby, The Council of the Shire of</v>
      </c>
      <c r="D3" s="226"/>
      <c r="E3" s="553"/>
      <c r="F3" s="553"/>
      <c r="G3" s="227"/>
      <c r="H3" s="189"/>
      <c r="I3" s="189"/>
      <c r="J3" s="189"/>
      <c r="K3" s="189"/>
      <c r="L3" s="189"/>
      <c r="M3" s="213"/>
      <c r="N3" s="189"/>
      <c r="O3" s="189"/>
      <c r="P3" s="189"/>
      <c r="Q3" s="12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29"/>
      <c r="BA3" s="129"/>
      <c r="BB3" s="129"/>
    </row>
    <row r="4" spans="1:54" s="142" customFormat="1" ht="15" x14ac:dyDescent="0.25">
      <c r="A4" s="3"/>
      <c r="B4" s="212"/>
      <c r="C4" s="3"/>
      <c r="D4" s="3"/>
      <c r="E4" s="77"/>
      <c r="F4" s="77"/>
      <c r="G4" s="3"/>
      <c r="H4" s="3"/>
      <c r="I4" s="3"/>
      <c r="J4" s="3"/>
      <c r="K4" s="129"/>
      <c r="L4" s="3"/>
      <c r="M4" s="214"/>
      <c r="N4" s="3"/>
      <c r="O4" s="3"/>
      <c r="P4" s="3"/>
      <c r="Q4" s="129"/>
      <c r="R4" s="3"/>
      <c r="S4" s="3"/>
      <c r="T4" s="189"/>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129"/>
      <c r="BA4" s="129"/>
      <c r="BB4" s="129"/>
    </row>
    <row r="5" spans="1:54" s="142" customFormat="1" ht="15.6" x14ac:dyDescent="0.3">
      <c r="A5" s="129"/>
      <c r="B5" s="215"/>
      <c r="C5" s="129"/>
      <c r="D5" s="85"/>
      <c r="E5" s="554"/>
      <c r="F5" s="554" t="s">
        <v>779</v>
      </c>
      <c r="G5" s="85"/>
      <c r="H5" s="85"/>
      <c r="I5" s="85"/>
      <c r="J5" s="85"/>
      <c r="K5" s="129"/>
      <c r="L5" s="85"/>
      <c r="M5" s="216"/>
      <c r="N5" s="4"/>
      <c r="O5" s="4"/>
      <c r="P5" s="4"/>
      <c r="Q5" s="129"/>
      <c r="R5" s="4"/>
      <c r="S5" s="4"/>
      <c r="T5" s="189"/>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129"/>
      <c r="BA5" s="129"/>
      <c r="BB5" s="129"/>
    </row>
    <row r="6" spans="1:54" s="142" customFormat="1" ht="15" x14ac:dyDescent="0.25">
      <c r="A6" s="129"/>
      <c r="B6" s="215"/>
      <c r="C6" s="129"/>
      <c r="D6" s="129"/>
      <c r="E6" s="143"/>
      <c r="F6" s="143"/>
      <c r="G6" s="129"/>
      <c r="H6" s="129"/>
      <c r="I6" s="129"/>
      <c r="J6" s="129"/>
      <c r="K6" s="129"/>
      <c r="L6" s="129"/>
      <c r="M6" s="217"/>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row>
    <row r="7" spans="1:54" s="142" customFormat="1" ht="15.6" x14ac:dyDescent="0.3">
      <c r="A7" s="129"/>
      <c r="B7" s="215"/>
      <c r="C7" s="129"/>
      <c r="D7" s="129"/>
      <c r="E7" s="143"/>
      <c r="F7" s="134" t="s">
        <v>780</v>
      </c>
      <c r="G7" s="129"/>
      <c r="H7" s="129"/>
      <c r="I7" s="129"/>
      <c r="J7" s="129"/>
      <c r="L7" s="129"/>
      <c r="M7" s="217"/>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row>
    <row r="8" spans="1:54" s="142" customFormat="1" ht="22.5" customHeight="1" x14ac:dyDescent="0.3">
      <c r="A8" s="129"/>
      <c r="B8" s="215"/>
      <c r="C8" s="134"/>
      <c r="D8" s="129"/>
      <c r="E8" s="143"/>
      <c r="F8" s="555" t="s">
        <v>562</v>
      </c>
      <c r="G8" s="4"/>
      <c r="H8" s="4"/>
      <c r="I8" s="4"/>
      <c r="J8" s="111"/>
      <c r="K8" s="189"/>
      <c r="L8" s="129"/>
      <c r="M8" s="217"/>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row>
    <row r="9" spans="1:54" s="142" customFormat="1" ht="9.75" customHeight="1" x14ac:dyDescent="0.25">
      <c r="A9" s="3"/>
      <c r="B9" s="212"/>
      <c r="C9" s="3"/>
      <c r="D9" s="151"/>
      <c r="E9" s="112"/>
      <c r="F9" s="112"/>
      <c r="G9" s="151"/>
      <c r="H9" s="151"/>
      <c r="I9" s="151"/>
      <c r="J9" s="151"/>
      <c r="K9" s="151"/>
      <c r="L9" s="151"/>
      <c r="M9" s="218"/>
      <c r="N9" s="151"/>
      <c r="O9" s="151"/>
      <c r="P9" s="151"/>
      <c r="Q9" s="129"/>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29"/>
      <c r="BA9" s="129"/>
      <c r="BB9" s="129"/>
    </row>
    <row r="10" spans="1:54" s="142" customFormat="1" ht="15.75" customHeight="1" x14ac:dyDescent="0.25">
      <c r="A10" s="3"/>
      <c r="B10" s="212"/>
      <c r="C10" s="3"/>
      <c r="D10" s="3" t="s">
        <v>781</v>
      </c>
      <c r="E10" s="112"/>
      <c r="F10" s="112"/>
      <c r="G10" s="151"/>
      <c r="H10" s="151"/>
      <c r="I10" s="151"/>
      <c r="J10" s="151"/>
      <c r="K10" s="151"/>
      <c r="L10" s="151"/>
      <c r="M10" s="218"/>
      <c r="N10" s="3"/>
      <c r="O10" s="3"/>
      <c r="P10" s="3"/>
      <c r="Q10" s="129"/>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129"/>
      <c r="BA10" s="129"/>
      <c r="BB10" s="129"/>
    </row>
    <row r="11" spans="1:54" s="142" customFormat="1" ht="15.75" customHeight="1" x14ac:dyDescent="0.25">
      <c r="A11" s="3"/>
      <c r="B11" s="212"/>
      <c r="C11" s="3"/>
      <c r="D11" s="3" t="s">
        <v>782</v>
      </c>
      <c r="E11" s="112"/>
      <c r="F11" s="112"/>
      <c r="G11" s="151"/>
      <c r="H11" s="151"/>
      <c r="I11" s="151"/>
      <c r="J11" s="151"/>
      <c r="K11" s="151"/>
      <c r="L11" s="151"/>
      <c r="M11" s="218"/>
      <c r="N11" s="3"/>
      <c r="O11" s="3"/>
      <c r="P11" s="3"/>
      <c r="Q11" s="129"/>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129"/>
      <c r="BA11" s="129"/>
      <c r="BB11" s="129"/>
    </row>
    <row r="12" spans="1:54" s="142" customFormat="1" ht="15.75" customHeight="1" x14ac:dyDescent="0.25">
      <c r="A12" s="3"/>
      <c r="B12" s="212"/>
      <c r="C12" s="3"/>
      <c r="D12" s="3" t="s">
        <v>783</v>
      </c>
      <c r="E12" s="112"/>
      <c r="F12" s="112"/>
      <c r="G12" s="151"/>
      <c r="H12" s="151"/>
      <c r="I12" s="151"/>
      <c r="J12" s="151"/>
      <c r="K12" s="151"/>
      <c r="L12" s="151"/>
      <c r="M12" s="218"/>
      <c r="N12" s="3"/>
      <c r="O12" s="3"/>
      <c r="P12" s="3"/>
      <c r="Q12" s="129"/>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129"/>
      <c r="BA12" s="129"/>
      <c r="BB12" s="129"/>
    </row>
    <row r="13" spans="1:54" s="142" customFormat="1" ht="15.75" customHeight="1" x14ac:dyDescent="0.25">
      <c r="A13" s="3"/>
      <c r="B13" s="212"/>
      <c r="C13" s="3"/>
      <c r="D13" s="3" t="s">
        <v>784</v>
      </c>
      <c r="E13" s="112"/>
      <c r="F13" s="112"/>
      <c r="G13" s="151"/>
      <c r="H13" s="151"/>
      <c r="I13" s="151"/>
      <c r="J13" s="151"/>
      <c r="K13" s="151"/>
      <c r="L13" s="151"/>
      <c r="M13" s="218"/>
      <c r="N13" s="3"/>
      <c r="O13" s="3"/>
      <c r="P13" s="3"/>
      <c r="Q13" s="129"/>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129"/>
      <c r="BA13" s="129"/>
      <c r="BB13" s="129"/>
    </row>
    <row r="14" spans="1:54" ht="15.75" customHeight="1" x14ac:dyDescent="0.25">
      <c r="A14" s="3"/>
      <c r="B14" s="212"/>
      <c r="C14" s="3"/>
      <c r="D14" s="176" t="s">
        <v>785</v>
      </c>
      <c r="E14" s="112"/>
      <c r="F14" s="112"/>
      <c r="G14" s="151"/>
      <c r="H14" s="151"/>
      <c r="I14" s="151"/>
      <c r="J14" s="151"/>
      <c r="K14" s="151"/>
      <c r="L14" s="151"/>
      <c r="M14" s="218"/>
      <c r="N14" s="3"/>
      <c r="O14" s="3"/>
      <c r="P14" s="3"/>
      <c r="Q14" s="129"/>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row>
    <row r="15" spans="1:54" ht="8.25" customHeight="1" x14ac:dyDescent="0.2">
      <c r="A15" s="3"/>
      <c r="B15" s="212"/>
      <c r="C15" s="3"/>
      <c r="D15" s="3"/>
      <c r="E15" s="77"/>
      <c r="F15" s="77"/>
      <c r="G15" s="3"/>
      <c r="H15" s="3"/>
      <c r="I15" s="3"/>
      <c r="J15" s="3"/>
      <c r="K15" s="3"/>
      <c r="L15" s="3"/>
      <c r="M15" s="214"/>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row>
    <row r="16" spans="1:54" s="254" customFormat="1" ht="15.75" customHeight="1" x14ac:dyDescent="0.25">
      <c r="A16" s="3"/>
      <c r="B16" s="212"/>
      <c r="C16" s="3"/>
      <c r="D16" s="3"/>
      <c r="E16" s="77"/>
      <c r="F16" s="112" t="s">
        <v>786</v>
      </c>
      <c r="G16" s="3"/>
      <c r="H16" s="3"/>
      <c r="I16" s="3"/>
      <c r="J16" s="3"/>
      <c r="K16" s="3"/>
      <c r="L16" s="188"/>
      <c r="M16" s="219"/>
      <c r="N16" s="188"/>
      <c r="O16" s="3"/>
      <c r="P16" s="3"/>
      <c r="Q16" s="1116"/>
      <c r="R16" s="188"/>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188"/>
      <c r="AY16" s="188"/>
      <c r="AZ16" s="1116"/>
      <c r="BA16" s="1116"/>
      <c r="BB16" s="1116"/>
    </row>
    <row r="17" spans="1:54" s="254" customFormat="1" ht="18.75" customHeight="1" thickBot="1" x14ac:dyDescent="0.25">
      <c r="A17" s="3"/>
      <c r="B17" s="212"/>
      <c r="C17" s="3"/>
      <c r="D17" s="3" t="s">
        <v>787</v>
      </c>
      <c r="E17" s="77"/>
      <c r="F17" s="77"/>
      <c r="G17" s="3"/>
      <c r="H17" s="3"/>
      <c r="I17" s="3"/>
      <c r="J17" s="3"/>
      <c r="K17" s="3"/>
      <c r="L17" s="3"/>
      <c r="M17" s="214"/>
      <c r="N17" s="3"/>
      <c r="O17" s="1116"/>
      <c r="P17" s="3"/>
      <c r="Q17" s="1116"/>
      <c r="R17" s="1116"/>
      <c r="S17" s="1116"/>
      <c r="T17" s="1116"/>
      <c r="U17" s="1116"/>
      <c r="V17" s="1116"/>
      <c r="W17" s="1116"/>
      <c r="X17" s="1116"/>
      <c r="Y17" s="1116"/>
      <c r="Z17" s="1116"/>
      <c r="AA17" s="1116"/>
      <c r="AB17" s="1116"/>
      <c r="AC17" s="1116"/>
      <c r="AD17" s="1116"/>
      <c r="AE17" s="1116"/>
      <c r="AF17" s="1116"/>
      <c r="AG17" s="1116"/>
      <c r="AH17" s="1116"/>
      <c r="AI17" s="1116"/>
      <c r="AJ17" s="1116"/>
      <c r="AK17" s="1116"/>
      <c r="AL17" s="1116"/>
      <c r="AM17" s="1116"/>
      <c r="AN17" s="1116"/>
      <c r="AO17" s="1116"/>
      <c r="AP17" s="1116"/>
      <c r="AQ17" s="1116"/>
      <c r="AR17" s="1116"/>
      <c r="AS17" s="1116"/>
      <c r="AT17" s="1116"/>
      <c r="AU17" s="1116"/>
      <c r="AV17" s="1116"/>
      <c r="AW17" s="1116"/>
      <c r="AX17" s="1116"/>
      <c r="AY17" s="1116"/>
      <c r="AZ17" s="1116"/>
      <c r="BA17" s="1116"/>
      <c r="BB17" s="1116"/>
    </row>
    <row r="18" spans="1:54" s="254" customFormat="1" x14ac:dyDescent="0.2">
      <c r="A18" s="3"/>
      <c r="B18" s="212"/>
      <c r="C18" s="3"/>
      <c r="D18" s="3" t="s">
        <v>788</v>
      </c>
      <c r="E18" s="77"/>
      <c r="F18" s="77"/>
      <c r="G18" s="3"/>
      <c r="H18" s="3"/>
      <c r="I18" s="3"/>
      <c r="J18" s="3"/>
      <c r="K18" s="3"/>
      <c r="L18" s="3"/>
      <c r="M18" s="214"/>
      <c r="N18" s="3"/>
      <c r="O18" s="3"/>
      <c r="P18" s="3"/>
      <c r="Q18" s="1116"/>
      <c r="R18" s="209"/>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1"/>
      <c r="AY18" s="3"/>
      <c r="AZ18" s="1116"/>
      <c r="BA18" s="1116"/>
      <c r="BB18" s="1116"/>
    </row>
    <row r="19" spans="1:54" s="254" customFormat="1" ht="13.8" x14ac:dyDescent="0.25">
      <c r="A19" s="3"/>
      <c r="B19" s="212"/>
      <c r="C19" s="3"/>
      <c r="D19" s="3" t="s">
        <v>789</v>
      </c>
      <c r="E19" s="77"/>
      <c r="F19" s="77"/>
      <c r="G19" s="3"/>
      <c r="H19" s="3"/>
      <c r="I19" s="3"/>
      <c r="J19" s="3"/>
      <c r="K19" s="3"/>
      <c r="L19" s="3"/>
      <c r="M19" s="214"/>
      <c r="N19" s="3"/>
      <c r="O19" s="1116"/>
      <c r="P19" s="1116"/>
      <c r="Q19" s="1116"/>
      <c r="R19" s="212"/>
      <c r="S19" s="993" t="s">
        <v>790</v>
      </c>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98"/>
      <c r="AX19" s="214"/>
      <c r="AY19" s="3"/>
      <c r="AZ19" s="1116"/>
      <c r="BA19" s="1116"/>
      <c r="BB19" s="1116"/>
    </row>
    <row r="20" spans="1:54" s="254" customFormat="1" ht="12.75" customHeight="1" x14ac:dyDescent="0.25">
      <c r="A20" s="3"/>
      <c r="B20" s="212"/>
      <c r="C20" s="3"/>
      <c r="D20" s="3"/>
      <c r="E20" s="77"/>
      <c r="F20" s="77"/>
      <c r="G20" s="3"/>
      <c r="H20" s="3"/>
      <c r="I20" s="3"/>
      <c r="J20" s="3"/>
      <c r="K20" s="3"/>
      <c r="L20" s="3"/>
      <c r="M20" s="214"/>
      <c r="N20" s="3"/>
      <c r="O20" s="1116"/>
      <c r="P20" s="1116"/>
      <c r="Q20" s="1116"/>
      <c r="R20" s="212"/>
      <c r="S20" s="2"/>
      <c r="T20" s="3"/>
      <c r="U20" s="3"/>
      <c r="V20" s="3"/>
      <c r="W20" s="3"/>
      <c r="X20" s="3"/>
      <c r="Y20" s="3"/>
      <c r="Z20" s="3"/>
      <c r="AA20" s="2"/>
      <c r="AB20" s="3"/>
      <c r="AC20" s="3"/>
      <c r="AD20" s="3"/>
      <c r="AE20" s="3"/>
      <c r="AF20" s="3"/>
      <c r="AG20" s="3"/>
      <c r="AH20" s="3"/>
      <c r="AI20" s="2"/>
      <c r="AJ20" s="3"/>
      <c r="AK20" s="3"/>
      <c r="AL20" s="3"/>
      <c r="AM20" s="3"/>
      <c r="AN20" s="3"/>
      <c r="AO20" s="3"/>
      <c r="AP20" s="3"/>
      <c r="AQ20" s="2"/>
      <c r="AR20" s="3"/>
      <c r="AS20" s="3"/>
      <c r="AT20" s="3"/>
      <c r="AU20" s="3"/>
      <c r="AV20" s="3"/>
      <c r="AW20" s="3"/>
      <c r="AX20" s="214"/>
      <c r="AY20" s="3"/>
      <c r="AZ20" s="1116"/>
      <c r="BA20" s="1116"/>
      <c r="BB20" s="1116"/>
    </row>
    <row r="21" spans="1:54" ht="16.5" customHeight="1" x14ac:dyDescent="0.25">
      <c r="A21" s="3"/>
      <c r="B21" s="212"/>
      <c r="C21" s="179" t="s">
        <v>791</v>
      </c>
      <c r="D21" s="180"/>
      <c r="E21" s="556"/>
      <c r="F21" s="556"/>
      <c r="G21" s="181"/>
      <c r="H21" s="246" t="str">
        <f>'WK0 - Input data'!$C$63</f>
        <v>$ nominal per year</v>
      </c>
      <c r="I21" s="181"/>
      <c r="J21" s="181"/>
      <c r="K21" s="181"/>
      <c r="L21" s="182"/>
      <c r="M21" s="218"/>
      <c r="N21" s="3"/>
      <c r="O21" s="1205" t="s">
        <v>792</v>
      </c>
      <c r="P21" s="918"/>
      <c r="Q21" s="3"/>
      <c r="R21" s="212"/>
      <c r="S21" s="170" t="s">
        <v>793</v>
      </c>
      <c r="T21" s="173"/>
      <c r="U21" s="173"/>
      <c r="V21" s="173"/>
      <c r="W21" s="173"/>
      <c r="X21" s="173"/>
      <c r="Y21" s="198"/>
      <c r="Z21" s="3"/>
      <c r="AA21" s="170" t="s">
        <v>794</v>
      </c>
      <c r="AB21" s="173"/>
      <c r="AC21" s="173"/>
      <c r="AD21" s="173"/>
      <c r="AE21" s="173"/>
      <c r="AF21" s="173"/>
      <c r="AG21" s="198"/>
      <c r="AH21" s="3"/>
      <c r="AI21" s="170" t="s">
        <v>795</v>
      </c>
      <c r="AJ21" s="173"/>
      <c r="AK21" s="173"/>
      <c r="AL21" s="173"/>
      <c r="AM21" s="173"/>
      <c r="AN21" s="173"/>
      <c r="AO21" s="198"/>
      <c r="AP21" s="3"/>
      <c r="AQ21" s="170" t="s">
        <v>796</v>
      </c>
      <c r="AR21" s="173"/>
      <c r="AS21" s="173"/>
      <c r="AT21" s="173"/>
      <c r="AU21" s="173"/>
      <c r="AV21" s="173"/>
      <c r="AW21" s="198"/>
      <c r="AX21" s="214"/>
      <c r="AY21" s="3"/>
      <c r="AZ21" s="3"/>
      <c r="BA21" s="3"/>
      <c r="BB21" s="3"/>
    </row>
    <row r="22" spans="1:54" ht="36" x14ac:dyDescent="0.25">
      <c r="A22" s="3"/>
      <c r="B22" s="212"/>
      <c r="C22" s="1232" t="s">
        <v>797</v>
      </c>
      <c r="D22" s="1233" t="s">
        <v>798</v>
      </c>
      <c r="E22" s="178" t="s">
        <v>799</v>
      </c>
      <c r="F22" s="178" t="s">
        <v>800</v>
      </c>
      <c r="G22" s="178" t="s">
        <v>801</v>
      </c>
      <c r="H22" s="178" t="s">
        <v>802</v>
      </c>
      <c r="I22" s="178" t="s">
        <v>803</v>
      </c>
      <c r="J22" s="178" t="s">
        <v>804</v>
      </c>
      <c r="K22" s="178" t="s">
        <v>805</v>
      </c>
      <c r="L22" s="178" t="s">
        <v>806</v>
      </c>
      <c r="M22" s="220"/>
      <c r="N22" s="3"/>
      <c r="O22" s="135" t="s">
        <v>807</v>
      </c>
      <c r="P22" s="96"/>
      <c r="Q22" s="3"/>
      <c r="R22" s="212"/>
      <c r="S22" s="632" t="str">
        <f>C21</f>
        <v>Minimum Rates - with proposed special variation</v>
      </c>
      <c r="T22" s="2"/>
      <c r="U22" s="2"/>
      <c r="V22" s="2"/>
      <c r="W22" s="2"/>
      <c r="X22" s="2"/>
      <c r="Y22" s="92"/>
      <c r="Z22" s="3"/>
      <c r="AA22" s="1234" t="str">
        <f>$S22</f>
        <v>Minimum Rates - with proposed special variation</v>
      </c>
      <c r="AB22" s="928"/>
      <c r="AC22" s="928"/>
      <c r="AD22" s="928"/>
      <c r="AE22" s="928"/>
      <c r="AF22" s="928"/>
      <c r="AG22" s="929"/>
      <c r="AH22" s="3"/>
      <c r="AI22" s="1234" t="str">
        <f>$S22</f>
        <v>Minimum Rates - with proposed special variation</v>
      </c>
      <c r="AJ22" s="928"/>
      <c r="AK22" s="928"/>
      <c r="AL22" s="928"/>
      <c r="AM22" s="928"/>
      <c r="AN22" s="928"/>
      <c r="AO22" s="929"/>
      <c r="AP22" s="3"/>
      <c r="AQ22" s="1234" t="str">
        <f>$S22</f>
        <v>Minimum Rates - with proposed special variation</v>
      </c>
      <c r="AR22" s="928"/>
      <c r="AS22" s="928"/>
      <c r="AT22" s="928"/>
      <c r="AU22" s="928"/>
      <c r="AV22" s="928"/>
      <c r="AW22" s="929"/>
      <c r="AX22" s="229"/>
      <c r="AY22" s="2"/>
      <c r="AZ22" s="3"/>
      <c r="BA22" s="3"/>
      <c r="BB22" s="3"/>
    </row>
    <row r="23" spans="1:54" ht="13.5" customHeight="1" x14ac:dyDescent="0.25">
      <c r="A23" s="3"/>
      <c r="B23" s="212"/>
      <c r="C23" s="139"/>
      <c r="D23" s="139"/>
      <c r="E23" s="146" t="str">
        <f>'WK1 - Identification'!F$56</f>
        <v>2022-23</v>
      </c>
      <c r="F23" s="146" t="str">
        <f>'WK1 - Identification'!G$56</f>
        <v>2023-24</v>
      </c>
      <c r="G23" s="146" t="str">
        <f>'WK1 - Identification'!H$56</f>
        <v>2024-25</v>
      </c>
      <c r="H23" s="146" t="str">
        <f>'WK1 - Identification'!I$56</f>
        <v>2025-26</v>
      </c>
      <c r="I23" s="146" t="str">
        <f>'WK1 - Identification'!J$56</f>
        <v>2026-27</v>
      </c>
      <c r="J23" s="146" t="str">
        <f>'WK1 - Identification'!K$56</f>
        <v>2027-28</v>
      </c>
      <c r="K23" s="147" t="str">
        <f>'WK1 - Identification'!L$56</f>
        <v>2028-29</v>
      </c>
      <c r="L23" s="146" t="str">
        <f>'WK1 - Identification'!M$56</f>
        <v>2029-30</v>
      </c>
      <c r="M23" s="220"/>
      <c r="N23" s="3"/>
      <c r="O23" s="541" t="s">
        <v>808</v>
      </c>
      <c r="P23" s="98"/>
      <c r="Q23" s="3"/>
      <c r="R23" s="212"/>
      <c r="S23" s="696" t="str">
        <f>'WK0 - Input data'!I55</f>
        <v>Year 1</v>
      </c>
      <c r="T23" s="697" t="str">
        <f>'WK0 - Input data'!J55</f>
        <v>Year 2</v>
      </c>
      <c r="U23" s="697" t="str">
        <f>'WK0 - Input data'!K55</f>
        <v>Year 3</v>
      </c>
      <c r="V23" s="697" t="str">
        <f>'WK0 - Input data'!L55</f>
        <v>Year 4</v>
      </c>
      <c r="W23" s="697" t="str">
        <f>'WK0 - Input data'!M55</f>
        <v>Year 5</v>
      </c>
      <c r="X23" s="697" t="str">
        <f>'WK0 - Input data'!N55</f>
        <v>Year 6</v>
      </c>
      <c r="Y23" s="698" t="str">
        <f>'WK0 - Input data'!O55</f>
        <v>Year 7</v>
      </c>
      <c r="Z23" s="80"/>
      <c r="AA23" s="696" t="str">
        <f t="shared" ref="AA23:AG23" si="0">AI23</f>
        <v>Year 1</v>
      </c>
      <c r="AB23" s="697" t="str">
        <f t="shared" si="0"/>
        <v>Year 2</v>
      </c>
      <c r="AC23" s="697" t="str">
        <f t="shared" si="0"/>
        <v>Year 3</v>
      </c>
      <c r="AD23" s="697" t="str">
        <f t="shared" si="0"/>
        <v>Year 4</v>
      </c>
      <c r="AE23" s="697" t="str">
        <f t="shared" si="0"/>
        <v>Year 5</v>
      </c>
      <c r="AF23" s="697" t="str">
        <f t="shared" si="0"/>
        <v>Year 6</v>
      </c>
      <c r="AG23" s="698" t="str">
        <f t="shared" si="0"/>
        <v>Year 7</v>
      </c>
      <c r="AH23" s="80"/>
      <c r="AI23" s="696" t="str">
        <f>S23</f>
        <v>Year 1</v>
      </c>
      <c r="AJ23" s="697" t="str">
        <f t="shared" ref="AJ23:AM23" si="1">T23</f>
        <v>Year 2</v>
      </c>
      <c r="AK23" s="697" t="str">
        <f t="shared" si="1"/>
        <v>Year 3</v>
      </c>
      <c r="AL23" s="697" t="str">
        <f t="shared" si="1"/>
        <v>Year 4</v>
      </c>
      <c r="AM23" s="697" t="str">
        <f t="shared" si="1"/>
        <v>Year 5</v>
      </c>
      <c r="AN23" s="697" t="str">
        <f>X23</f>
        <v>Year 6</v>
      </c>
      <c r="AO23" s="698" t="str">
        <f>Y23</f>
        <v>Year 7</v>
      </c>
      <c r="AP23" s="80"/>
      <c r="AQ23" s="696" t="str">
        <f t="shared" ref="AQ23:AW23" si="2">AA23</f>
        <v>Year 1</v>
      </c>
      <c r="AR23" s="697" t="str">
        <f t="shared" si="2"/>
        <v>Year 2</v>
      </c>
      <c r="AS23" s="697" t="str">
        <f t="shared" si="2"/>
        <v>Year 3</v>
      </c>
      <c r="AT23" s="697" t="str">
        <f t="shared" si="2"/>
        <v>Year 4</v>
      </c>
      <c r="AU23" s="697" t="str">
        <f t="shared" si="2"/>
        <v>Year 5</v>
      </c>
      <c r="AV23" s="697" t="str">
        <f t="shared" si="2"/>
        <v>Year 6</v>
      </c>
      <c r="AW23" s="698" t="str">
        <f t="shared" si="2"/>
        <v>Year 7</v>
      </c>
      <c r="AX23" s="259"/>
      <c r="AY23" s="247"/>
      <c r="AZ23" s="3"/>
      <c r="BA23" s="3"/>
      <c r="BB23" s="3"/>
    </row>
    <row r="24" spans="1:54" ht="12" x14ac:dyDescent="0.25">
      <c r="A24" s="3"/>
      <c r="B24" s="212"/>
      <c r="C24" s="1235" t="str">
        <f>'WK3 - Notional GI Yr1 YIELD'!C19</f>
        <v>Residential</v>
      </c>
      <c r="D24" s="1236" t="str">
        <f>IF('WK2 - Notional General Income'!D19="","",'WK2 - Notional General Income'!D19)</f>
        <v>Residential</v>
      </c>
      <c r="E24" s="1237"/>
      <c r="F24" s="1237"/>
      <c r="G24" s="1238"/>
      <c r="H24" s="1238"/>
      <c r="I24" s="1238"/>
      <c r="J24" s="1238"/>
      <c r="K24" s="1238"/>
      <c r="L24" s="1238"/>
      <c r="M24" s="220"/>
      <c r="N24" s="3"/>
      <c r="O24" s="135"/>
      <c r="P24" s="96"/>
      <c r="Q24" s="3"/>
      <c r="R24" s="212"/>
      <c r="S24" s="1239" t="str">
        <f>IF(F24=0,".",F24-E24)</f>
        <v>.</v>
      </c>
      <c r="T24" s="1172" t="str">
        <f t="shared" ref="T24:T28" si="3">IF(G24="",".",G24-F24)</f>
        <v>.</v>
      </c>
      <c r="U24" s="1172" t="str">
        <f t="shared" ref="U24:U28" si="4">IF(H24="",".",H24-G24)</f>
        <v>.</v>
      </c>
      <c r="V24" s="1172" t="str">
        <f t="shared" ref="V24:V28" si="5">IF(I24="",".",I24-H24)</f>
        <v>.</v>
      </c>
      <c r="W24" s="1172" t="str">
        <f t="shared" ref="W24:W28" si="6">IF(J24="",".",J24-I24)</f>
        <v>.</v>
      </c>
      <c r="X24" s="1172" t="str">
        <f t="shared" ref="X24:X28" si="7">IF(K24="",".",K24-J24)</f>
        <v>.</v>
      </c>
      <c r="Y24" s="1173" t="str">
        <f t="shared" ref="Y24:Y28" si="8">IF(L24="",".",L24-K24)</f>
        <v>.</v>
      </c>
      <c r="Z24" s="3"/>
      <c r="AA24" s="1240" t="str">
        <f>IFERROR(F24/E24-1,".")</f>
        <v>.</v>
      </c>
      <c r="AB24" s="1174" t="str">
        <f t="shared" ref="AB24:AB28" si="9">IFERROR(G24/F24-1,".")</f>
        <v>.</v>
      </c>
      <c r="AC24" s="1174" t="str">
        <f t="shared" ref="AC24:AC28" si="10">IFERROR(H24/G24-1,".")</f>
        <v>.</v>
      </c>
      <c r="AD24" s="1174" t="str">
        <f t="shared" ref="AD24:AD28" si="11">IFERROR(I24/H24-1,".")</f>
        <v>.</v>
      </c>
      <c r="AE24" s="1174" t="str">
        <f t="shared" ref="AE24:AE28" si="12">IFERROR(J24/I24-1,".")</f>
        <v>.</v>
      </c>
      <c r="AF24" s="1174" t="str">
        <f t="shared" ref="AF24:AF28" si="13">IFERROR(K24/J24-1,".")</f>
        <v>.</v>
      </c>
      <c r="AG24" s="1175" t="str">
        <f t="shared" ref="AG24:AG28" si="14">IFERROR(L24/K24-1,".")</f>
        <v>.</v>
      </c>
      <c r="AH24" s="3"/>
      <c r="AI24" s="1239" t="str">
        <f>IF(S24=".",".",SUM($S24:S24))</f>
        <v>.</v>
      </c>
      <c r="AJ24" s="1172" t="str">
        <f>IF(T24=".",".",SUM($S24:T24))</f>
        <v>.</v>
      </c>
      <c r="AK24" s="1172" t="str">
        <f>IF(U24=".",".",SUM($S24:U24))</f>
        <v>.</v>
      </c>
      <c r="AL24" s="1172" t="str">
        <f>IF(V24=".",".",SUM($S24:V24))</f>
        <v>.</v>
      </c>
      <c r="AM24" s="1172" t="str">
        <f>IF(W24=".",".",SUM($S24:W24))</f>
        <v>.</v>
      </c>
      <c r="AN24" s="1172" t="str">
        <f>IF(X24=".",".",SUM($S24:X24))</f>
        <v>.</v>
      </c>
      <c r="AO24" s="1173" t="str">
        <f>IF(Y24=".",".",SUM($S24:Y24))</f>
        <v>.</v>
      </c>
      <c r="AP24" s="3"/>
      <c r="AQ24" s="1240" t="str">
        <f>IFERROR(F24/$E24-1,".")</f>
        <v>.</v>
      </c>
      <c r="AR24" s="1174" t="str">
        <f t="shared" ref="AR24:AR28" si="15">IFERROR(G24/$E24-1,".")</f>
        <v>.</v>
      </c>
      <c r="AS24" s="1174" t="str">
        <f t="shared" ref="AS24:AS28" si="16">IFERROR(H24/$E24-1,".")</f>
        <v>.</v>
      </c>
      <c r="AT24" s="1174" t="str">
        <f t="shared" ref="AT24:AT28" si="17">IFERROR(I24/$E24-1,".")</f>
        <v>.</v>
      </c>
      <c r="AU24" s="1174" t="str">
        <f t="shared" ref="AU24:AU28" si="18">IFERROR(J24/$E24-1,".")</f>
        <v>.</v>
      </c>
      <c r="AV24" s="1174" t="str">
        <f t="shared" ref="AV24:AV28" si="19">IFERROR(K24/$E24-1,".")</f>
        <v>.</v>
      </c>
      <c r="AW24" s="1175" t="str">
        <f t="shared" ref="AW24:AW28" si="20">IFERROR(L24/$E24-1,".")</f>
        <v>.</v>
      </c>
      <c r="AX24" s="214"/>
      <c r="AY24" s="3"/>
      <c r="AZ24" s="3"/>
      <c r="BA24" s="3"/>
      <c r="BB24" s="3"/>
    </row>
    <row r="25" spans="1:54" ht="12" x14ac:dyDescent="0.25">
      <c r="A25" s="3"/>
      <c r="B25" s="212"/>
      <c r="C25" s="973" t="str">
        <f>C24</f>
        <v>Residential</v>
      </c>
      <c r="D25" s="998" t="str">
        <f>IF('WK2 - Notional General Income'!D20="","",'WK2 - Notional General Income'!D20)</f>
        <v/>
      </c>
      <c r="E25" s="579"/>
      <c r="F25" s="579"/>
      <c r="G25" s="579"/>
      <c r="H25" s="579"/>
      <c r="I25" s="579"/>
      <c r="J25" s="580"/>
      <c r="K25" s="579"/>
      <c r="L25" s="579"/>
      <c r="M25" s="220"/>
      <c r="N25" s="3"/>
      <c r="O25" s="135"/>
      <c r="P25" s="96"/>
      <c r="Q25" s="3"/>
      <c r="R25" s="212"/>
      <c r="S25" s="699" t="str">
        <f>IF(F25="",".",F25-E25)</f>
        <v>.</v>
      </c>
      <c r="T25" s="700" t="str">
        <f t="shared" si="3"/>
        <v>.</v>
      </c>
      <c r="U25" s="700" t="str">
        <f t="shared" si="4"/>
        <v>.</v>
      </c>
      <c r="V25" s="700" t="str">
        <f t="shared" si="5"/>
        <v>.</v>
      </c>
      <c r="W25" s="700" t="str">
        <f t="shared" si="6"/>
        <v>.</v>
      </c>
      <c r="X25" s="700" t="str">
        <f t="shared" si="7"/>
        <v>.</v>
      </c>
      <c r="Y25" s="701" t="str">
        <f t="shared" si="8"/>
        <v>.</v>
      </c>
      <c r="Z25" s="3"/>
      <c r="AA25" s="985" t="str">
        <f t="shared" ref="AA25:AA28" si="21">IFERROR(F25/E25-1,".")</f>
        <v>.</v>
      </c>
      <c r="AB25" s="702" t="str">
        <f t="shared" si="9"/>
        <v>.</v>
      </c>
      <c r="AC25" s="702" t="str">
        <f t="shared" si="10"/>
        <v>.</v>
      </c>
      <c r="AD25" s="702" t="str">
        <f t="shared" si="11"/>
        <v>.</v>
      </c>
      <c r="AE25" s="702" t="str">
        <f t="shared" si="12"/>
        <v>.</v>
      </c>
      <c r="AF25" s="702" t="str">
        <f t="shared" si="13"/>
        <v>.</v>
      </c>
      <c r="AG25" s="986" t="str">
        <f t="shared" si="14"/>
        <v>.</v>
      </c>
      <c r="AH25" s="3"/>
      <c r="AI25" s="699" t="str">
        <f>IF(S25=".",".",SUM($S25:S25))</f>
        <v>.</v>
      </c>
      <c r="AJ25" s="700" t="str">
        <f>IF(T25=".",".",SUM($S25:T25))</f>
        <v>.</v>
      </c>
      <c r="AK25" s="700" t="str">
        <f>IF(U25=".",".",SUM($S25:U25))</f>
        <v>.</v>
      </c>
      <c r="AL25" s="700" t="str">
        <f>IF(V25=".",".",SUM($S25:V25))</f>
        <v>.</v>
      </c>
      <c r="AM25" s="700" t="str">
        <f>IF(W25=".",".",SUM($S25:W25))</f>
        <v>.</v>
      </c>
      <c r="AN25" s="700" t="str">
        <f>IF(X25=".",".",SUM($S25:X25))</f>
        <v>.</v>
      </c>
      <c r="AO25" s="701" t="str">
        <f>IF(Y25=".",".",SUM($S25:Y25))</f>
        <v>.</v>
      </c>
      <c r="AP25" s="3"/>
      <c r="AQ25" s="985" t="str">
        <f t="shared" ref="AQ25:AQ28" si="22">IFERROR(F25/$E25-1,".")</f>
        <v>.</v>
      </c>
      <c r="AR25" s="702" t="str">
        <f t="shared" si="15"/>
        <v>.</v>
      </c>
      <c r="AS25" s="702" t="str">
        <f t="shared" si="16"/>
        <v>.</v>
      </c>
      <c r="AT25" s="702" t="str">
        <f t="shared" si="17"/>
        <v>.</v>
      </c>
      <c r="AU25" s="702" t="str">
        <f t="shared" si="18"/>
        <v>.</v>
      </c>
      <c r="AV25" s="702" t="str">
        <f t="shared" si="19"/>
        <v>.</v>
      </c>
      <c r="AW25" s="986" t="str">
        <f t="shared" si="20"/>
        <v>.</v>
      </c>
      <c r="AX25" s="214"/>
      <c r="AY25" s="3"/>
      <c r="AZ25" s="3"/>
      <c r="BA25" s="3"/>
      <c r="BB25" s="3"/>
    </row>
    <row r="26" spans="1:54" ht="12" x14ac:dyDescent="0.25">
      <c r="A26" s="3"/>
      <c r="B26" s="212"/>
      <c r="C26" s="973" t="str">
        <f t="shared" ref="C26:C43" si="23">C25</f>
        <v>Residential</v>
      </c>
      <c r="D26" s="998" t="str">
        <f>IF('WK2 - Notional General Income'!D21="","",'WK2 - Notional General Income'!D21)</f>
        <v/>
      </c>
      <c r="E26" s="579"/>
      <c r="F26" s="579"/>
      <c r="G26" s="579"/>
      <c r="H26" s="579"/>
      <c r="I26" s="579"/>
      <c r="J26" s="580"/>
      <c r="K26" s="579"/>
      <c r="L26" s="579"/>
      <c r="M26" s="220"/>
      <c r="N26" s="3"/>
      <c r="O26" s="135"/>
      <c r="P26" s="96"/>
      <c r="Q26" s="3"/>
      <c r="R26" s="212"/>
      <c r="S26" s="699" t="str">
        <f t="shared" ref="S26:S28" si="24">IF(F26="",".",F26-E26)</f>
        <v>.</v>
      </c>
      <c r="T26" s="700" t="str">
        <f t="shared" si="3"/>
        <v>.</v>
      </c>
      <c r="U26" s="700" t="str">
        <f t="shared" si="4"/>
        <v>.</v>
      </c>
      <c r="V26" s="700" t="str">
        <f t="shared" si="5"/>
        <v>.</v>
      </c>
      <c r="W26" s="700" t="str">
        <f t="shared" si="6"/>
        <v>.</v>
      </c>
      <c r="X26" s="700" t="str">
        <f t="shared" si="7"/>
        <v>.</v>
      </c>
      <c r="Y26" s="701" t="str">
        <f t="shared" si="8"/>
        <v>.</v>
      </c>
      <c r="Z26" s="3"/>
      <c r="AA26" s="985" t="str">
        <f t="shared" si="21"/>
        <v>.</v>
      </c>
      <c r="AB26" s="702" t="str">
        <f t="shared" si="9"/>
        <v>.</v>
      </c>
      <c r="AC26" s="702" t="str">
        <f t="shared" si="10"/>
        <v>.</v>
      </c>
      <c r="AD26" s="702" t="str">
        <f t="shared" si="11"/>
        <v>.</v>
      </c>
      <c r="AE26" s="702" t="str">
        <f t="shared" si="12"/>
        <v>.</v>
      </c>
      <c r="AF26" s="702" t="str">
        <f t="shared" si="13"/>
        <v>.</v>
      </c>
      <c r="AG26" s="986" t="str">
        <f t="shared" si="14"/>
        <v>.</v>
      </c>
      <c r="AH26" s="3"/>
      <c r="AI26" s="699" t="str">
        <f>IF(S26=".",".",SUM($S26:S26))</f>
        <v>.</v>
      </c>
      <c r="AJ26" s="700" t="str">
        <f>IF(T26=".",".",SUM($S26:T26))</f>
        <v>.</v>
      </c>
      <c r="AK26" s="700" t="str">
        <f>IF(U26=".",".",SUM($S26:U26))</f>
        <v>.</v>
      </c>
      <c r="AL26" s="700" t="str">
        <f>IF(V26=".",".",SUM($S26:V26))</f>
        <v>.</v>
      </c>
      <c r="AM26" s="700" t="str">
        <f>IF(W26=".",".",SUM($S26:W26))</f>
        <v>.</v>
      </c>
      <c r="AN26" s="700" t="str">
        <f>IF(X26=".",".",SUM($S26:X26))</f>
        <v>.</v>
      </c>
      <c r="AO26" s="701" t="str">
        <f>IF(Y26=".",".",SUM($S26:Y26))</f>
        <v>.</v>
      </c>
      <c r="AP26" s="3"/>
      <c r="AQ26" s="985" t="str">
        <f t="shared" si="22"/>
        <v>.</v>
      </c>
      <c r="AR26" s="702" t="str">
        <f t="shared" si="15"/>
        <v>.</v>
      </c>
      <c r="AS26" s="702" t="str">
        <f t="shared" si="16"/>
        <v>.</v>
      </c>
      <c r="AT26" s="702" t="str">
        <f t="shared" si="17"/>
        <v>.</v>
      </c>
      <c r="AU26" s="702" t="str">
        <f t="shared" si="18"/>
        <v>.</v>
      </c>
      <c r="AV26" s="702" t="str">
        <f t="shared" si="19"/>
        <v>.</v>
      </c>
      <c r="AW26" s="986" t="str">
        <f t="shared" si="20"/>
        <v>.</v>
      </c>
      <c r="AX26" s="214"/>
      <c r="AY26" s="3"/>
      <c r="AZ26" s="3"/>
      <c r="BA26" s="3"/>
      <c r="BB26" s="3"/>
    </row>
    <row r="27" spans="1:54" ht="12" x14ac:dyDescent="0.25">
      <c r="A27" s="3"/>
      <c r="B27" s="212"/>
      <c r="C27" s="973" t="str">
        <f t="shared" si="23"/>
        <v>Residential</v>
      </c>
      <c r="D27" s="998" t="str">
        <f>IF('WK2 - Notional General Income'!D22="","",'WK2 - Notional General Income'!D22)</f>
        <v/>
      </c>
      <c r="E27" s="579"/>
      <c r="F27" s="579"/>
      <c r="G27" s="579"/>
      <c r="H27" s="579"/>
      <c r="I27" s="579"/>
      <c r="J27" s="580"/>
      <c r="K27" s="579"/>
      <c r="L27" s="579"/>
      <c r="M27" s="220"/>
      <c r="N27" s="3"/>
      <c r="O27" s="135"/>
      <c r="P27" s="96"/>
      <c r="Q27" s="3"/>
      <c r="R27" s="212"/>
      <c r="S27" s="699" t="str">
        <f t="shared" si="24"/>
        <v>.</v>
      </c>
      <c r="T27" s="700" t="str">
        <f t="shared" si="3"/>
        <v>.</v>
      </c>
      <c r="U27" s="700" t="str">
        <f t="shared" si="4"/>
        <v>.</v>
      </c>
      <c r="V27" s="700" t="str">
        <f t="shared" si="5"/>
        <v>.</v>
      </c>
      <c r="W27" s="700" t="str">
        <f t="shared" si="6"/>
        <v>.</v>
      </c>
      <c r="X27" s="700" t="str">
        <f t="shared" si="7"/>
        <v>.</v>
      </c>
      <c r="Y27" s="701" t="str">
        <f t="shared" si="8"/>
        <v>.</v>
      </c>
      <c r="Z27" s="3"/>
      <c r="AA27" s="985" t="str">
        <f t="shared" si="21"/>
        <v>.</v>
      </c>
      <c r="AB27" s="702" t="str">
        <f t="shared" si="9"/>
        <v>.</v>
      </c>
      <c r="AC27" s="702" t="str">
        <f t="shared" si="10"/>
        <v>.</v>
      </c>
      <c r="AD27" s="702" t="str">
        <f t="shared" si="11"/>
        <v>.</v>
      </c>
      <c r="AE27" s="702" t="str">
        <f t="shared" si="12"/>
        <v>.</v>
      </c>
      <c r="AF27" s="702" t="str">
        <f t="shared" si="13"/>
        <v>.</v>
      </c>
      <c r="AG27" s="986" t="str">
        <f t="shared" si="14"/>
        <v>.</v>
      </c>
      <c r="AH27" s="3"/>
      <c r="AI27" s="699" t="str">
        <f>IF(S27=".",".",SUM($S27:S27))</f>
        <v>.</v>
      </c>
      <c r="AJ27" s="700" t="str">
        <f>IF(T27=".",".",SUM($S27:T27))</f>
        <v>.</v>
      </c>
      <c r="AK27" s="700" t="str">
        <f>IF(U27=".",".",SUM($S27:U27))</f>
        <v>.</v>
      </c>
      <c r="AL27" s="700" t="str">
        <f>IF(V27=".",".",SUM($S27:V27))</f>
        <v>.</v>
      </c>
      <c r="AM27" s="700" t="str">
        <f>IF(W27=".",".",SUM($S27:W27))</f>
        <v>.</v>
      </c>
      <c r="AN27" s="700" t="str">
        <f>IF(X27=".",".",SUM($S27:X27))</f>
        <v>.</v>
      </c>
      <c r="AO27" s="701" t="str">
        <f>IF(Y27=".",".",SUM($S27:Y27))</f>
        <v>.</v>
      </c>
      <c r="AP27" s="3"/>
      <c r="AQ27" s="985" t="str">
        <f t="shared" si="22"/>
        <v>.</v>
      </c>
      <c r="AR27" s="702" t="str">
        <f t="shared" si="15"/>
        <v>.</v>
      </c>
      <c r="AS27" s="702" t="str">
        <f t="shared" si="16"/>
        <v>.</v>
      </c>
      <c r="AT27" s="702" t="str">
        <f t="shared" si="17"/>
        <v>.</v>
      </c>
      <c r="AU27" s="702" t="str">
        <f t="shared" si="18"/>
        <v>.</v>
      </c>
      <c r="AV27" s="702" t="str">
        <f t="shared" si="19"/>
        <v>.</v>
      </c>
      <c r="AW27" s="986" t="str">
        <f t="shared" si="20"/>
        <v>.</v>
      </c>
      <c r="AX27" s="214"/>
      <c r="AY27" s="3"/>
      <c r="AZ27" s="3"/>
      <c r="BA27" s="3"/>
      <c r="BB27" s="3"/>
    </row>
    <row r="28" spans="1:54" ht="12" x14ac:dyDescent="0.25">
      <c r="A28" s="3"/>
      <c r="B28" s="212"/>
      <c r="C28" s="973" t="str">
        <f t="shared" si="23"/>
        <v>Residential</v>
      </c>
      <c r="D28" s="998" t="str">
        <f>IF('WK2 - Notional General Income'!D23="","",'WK2 - Notional General Income'!D23)</f>
        <v/>
      </c>
      <c r="E28" s="579"/>
      <c r="F28" s="579"/>
      <c r="G28" s="579"/>
      <c r="H28" s="579"/>
      <c r="I28" s="579"/>
      <c r="J28" s="580"/>
      <c r="K28" s="579"/>
      <c r="L28" s="579"/>
      <c r="M28" s="220"/>
      <c r="N28" s="3"/>
      <c r="O28" s="135"/>
      <c r="P28" s="96"/>
      <c r="Q28" s="3"/>
      <c r="R28" s="212"/>
      <c r="S28" s="699" t="str">
        <f t="shared" si="24"/>
        <v>.</v>
      </c>
      <c r="T28" s="700" t="str">
        <f t="shared" si="3"/>
        <v>.</v>
      </c>
      <c r="U28" s="700" t="str">
        <f t="shared" si="4"/>
        <v>.</v>
      </c>
      <c r="V28" s="700" t="str">
        <f t="shared" si="5"/>
        <v>.</v>
      </c>
      <c r="W28" s="700" t="str">
        <f t="shared" si="6"/>
        <v>.</v>
      </c>
      <c r="X28" s="700" t="str">
        <f t="shared" si="7"/>
        <v>.</v>
      </c>
      <c r="Y28" s="701" t="str">
        <f t="shared" si="8"/>
        <v>.</v>
      </c>
      <c r="Z28" s="3"/>
      <c r="AA28" s="985" t="str">
        <f t="shared" si="21"/>
        <v>.</v>
      </c>
      <c r="AB28" s="702" t="str">
        <f t="shared" si="9"/>
        <v>.</v>
      </c>
      <c r="AC28" s="702" t="str">
        <f t="shared" si="10"/>
        <v>.</v>
      </c>
      <c r="AD28" s="702" t="str">
        <f t="shared" si="11"/>
        <v>.</v>
      </c>
      <c r="AE28" s="702" t="str">
        <f t="shared" si="12"/>
        <v>.</v>
      </c>
      <c r="AF28" s="702" t="str">
        <f t="shared" si="13"/>
        <v>.</v>
      </c>
      <c r="AG28" s="986" t="str">
        <f t="shared" si="14"/>
        <v>.</v>
      </c>
      <c r="AH28" s="3"/>
      <c r="AI28" s="699" t="str">
        <f>IF(S28=".",".",SUM($S28:S28))</f>
        <v>.</v>
      </c>
      <c r="AJ28" s="700" t="str">
        <f>IF(T28=".",".",SUM($S28:T28))</f>
        <v>.</v>
      </c>
      <c r="AK28" s="700" t="str">
        <f>IF(U28=".",".",SUM($S28:U28))</f>
        <v>.</v>
      </c>
      <c r="AL28" s="700" t="str">
        <f>IF(V28=".",".",SUM($S28:V28))</f>
        <v>.</v>
      </c>
      <c r="AM28" s="700" t="str">
        <f>IF(W28=".",".",SUM($S28:W28))</f>
        <v>.</v>
      </c>
      <c r="AN28" s="700" t="str">
        <f>IF(X28=".",".",SUM($S28:X28))</f>
        <v>.</v>
      </c>
      <c r="AO28" s="701" t="str">
        <f>IF(Y28=".",".",SUM($S28:Y28))</f>
        <v>.</v>
      </c>
      <c r="AP28" s="3"/>
      <c r="AQ28" s="985" t="str">
        <f t="shared" si="22"/>
        <v>.</v>
      </c>
      <c r="AR28" s="702" t="str">
        <f t="shared" si="15"/>
        <v>.</v>
      </c>
      <c r="AS28" s="702" t="str">
        <f t="shared" si="16"/>
        <v>.</v>
      </c>
      <c r="AT28" s="702" t="str">
        <f t="shared" si="17"/>
        <v>.</v>
      </c>
      <c r="AU28" s="702" t="str">
        <f t="shared" si="18"/>
        <v>.</v>
      </c>
      <c r="AV28" s="702" t="str">
        <f t="shared" si="19"/>
        <v>.</v>
      </c>
      <c r="AW28" s="986" t="str">
        <f t="shared" si="20"/>
        <v>.</v>
      </c>
      <c r="AX28" s="214"/>
      <c r="AY28" s="3"/>
      <c r="AZ28" s="3"/>
      <c r="BA28" s="3"/>
      <c r="BB28" s="3"/>
    </row>
    <row r="29" spans="1:54" ht="12" x14ac:dyDescent="0.25">
      <c r="A29" s="3"/>
      <c r="B29" s="212"/>
      <c r="C29" s="973" t="str">
        <f t="shared" si="23"/>
        <v>Residential</v>
      </c>
      <c r="D29" s="998" t="str">
        <f>IF('WK2 - Notional General Income'!D24="","",'WK2 - Notional General Income'!D24)</f>
        <v/>
      </c>
      <c r="E29" s="579"/>
      <c r="F29" s="579"/>
      <c r="G29" s="579"/>
      <c r="H29" s="579"/>
      <c r="I29" s="579"/>
      <c r="J29" s="580"/>
      <c r="K29" s="579"/>
      <c r="L29" s="579"/>
      <c r="M29" s="220"/>
      <c r="N29" s="3"/>
      <c r="O29" s="135"/>
      <c r="P29" s="96"/>
      <c r="Q29" s="3"/>
      <c r="R29" s="212"/>
      <c r="S29" s="699" t="str">
        <f t="shared" ref="S29:S91" si="25">IF(F29="",".",F29-E29)</f>
        <v>.</v>
      </c>
      <c r="T29" s="700" t="str">
        <f t="shared" ref="T29:T91" si="26">IF(G29="",".",G29-F29)</f>
        <v>.</v>
      </c>
      <c r="U29" s="700" t="str">
        <f t="shared" ref="U29:U91" si="27">IF(H29="",".",H29-G29)</f>
        <v>.</v>
      </c>
      <c r="V29" s="700" t="str">
        <f t="shared" ref="V29:V91" si="28">IF(I29="",".",I29-H29)</f>
        <v>.</v>
      </c>
      <c r="W29" s="700" t="str">
        <f t="shared" ref="W29:W91" si="29">IF(J29="",".",J29-I29)</f>
        <v>.</v>
      </c>
      <c r="X29" s="700" t="str">
        <f t="shared" ref="X29:X91" si="30">IF(K29="",".",K29-J29)</f>
        <v>.</v>
      </c>
      <c r="Y29" s="701" t="str">
        <f t="shared" ref="Y29:Y91" si="31">IF(L29="",".",L29-K29)</f>
        <v>.</v>
      </c>
      <c r="Z29" s="3"/>
      <c r="AA29" s="985" t="str">
        <f t="shared" ref="AA29:AA91" si="32">IFERROR(F29/E29-1,".")</f>
        <v>.</v>
      </c>
      <c r="AB29" s="702" t="str">
        <f t="shared" ref="AB29:AB91" si="33">IFERROR(G29/F29-1,".")</f>
        <v>.</v>
      </c>
      <c r="AC29" s="702" t="str">
        <f t="shared" ref="AC29:AC91" si="34">IFERROR(H29/G29-1,".")</f>
        <v>.</v>
      </c>
      <c r="AD29" s="702" t="str">
        <f t="shared" ref="AD29:AD91" si="35">IFERROR(I29/H29-1,".")</f>
        <v>.</v>
      </c>
      <c r="AE29" s="702" t="str">
        <f t="shared" ref="AE29:AE91" si="36">IFERROR(J29/I29-1,".")</f>
        <v>.</v>
      </c>
      <c r="AF29" s="702" t="str">
        <f t="shared" ref="AF29:AF91" si="37">IFERROR(K29/J29-1,".")</f>
        <v>.</v>
      </c>
      <c r="AG29" s="986" t="str">
        <f t="shared" ref="AG29:AG91" si="38">IFERROR(L29/K29-1,".")</f>
        <v>.</v>
      </c>
      <c r="AH29" s="3"/>
      <c r="AI29" s="699" t="str">
        <f>IF(S29=".",".",SUM($S29:S29))</f>
        <v>.</v>
      </c>
      <c r="AJ29" s="700" t="str">
        <f>IF(T29=".",".",SUM($S29:T29))</f>
        <v>.</v>
      </c>
      <c r="AK29" s="700" t="str">
        <f>IF(U29=".",".",SUM($S29:U29))</f>
        <v>.</v>
      </c>
      <c r="AL29" s="700" t="str">
        <f>IF(V29=".",".",SUM($S29:V29))</f>
        <v>.</v>
      </c>
      <c r="AM29" s="700" t="str">
        <f>IF(W29=".",".",SUM($S29:W29))</f>
        <v>.</v>
      </c>
      <c r="AN29" s="700" t="str">
        <f>IF(X29=".",".",SUM($S29:X29))</f>
        <v>.</v>
      </c>
      <c r="AO29" s="701" t="str">
        <f>IF(Y29=".",".",SUM($S29:Y29))</f>
        <v>.</v>
      </c>
      <c r="AP29" s="3"/>
      <c r="AQ29" s="985" t="str">
        <f t="shared" ref="AQ29:AQ91" si="39">IFERROR(F29/$E29-1,".")</f>
        <v>.</v>
      </c>
      <c r="AR29" s="702" t="str">
        <f t="shared" ref="AR29:AR91" si="40">IFERROR(G29/$E29-1,".")</f>
        <v>.</v>
      </c>
      <c r="AS29" s="702" t="str">
        <f t="shared" ref="AS29:AS91" si="41">IFERROR(H29/$E29-1,".")</f>
        <v>.</v>
      </c>
      <c r="AT29" s="702" t="str">
        <f t="shared" ref="AT29:AT91" si="42">IFERROR(I29/$E29-1,".")</f>
        <v>.</v>
      </c>
      <c r="AU29" s="702" t="str">
        <f t="shared" ref="AU29:AU91" si="43">IFERROR(J29/$E29-1,".")</f>
        <v>.</v>
      </c>
      <c r="AV29" s="702" t="str">
        <f t="shared" ref="AV29:AV91" si="44">IFERROR(K29/$E29-1,".")</f>
        <v>.</v>
      </c>
      <c r="AW29" s="986" t="str">
        <f t="shared" ref="AW29:AW91" si="45">IFERROR(L29/$E29-1,".")</f>
        <v>.</v>
      </c>
      <c r="AX29" s="214"/>
      <c r="AY29" s="3"/>
      <c r="AZ29" s="3"/>
      <c r="BA29" s="3"/>
      <c r="BB29" s="3"/>
    </row>
    <row r="30" spans="1:54" ht="12" x14ac:dyDescent="0.25">
      <c r="A30" s="3"/>
      <c r="B30" s="212"/>
      <c r="C30" s="973" t="str">
        <f t="shared" si="23"/>
        <v>Residential</v>
      </c>
      <c r="D30" s="998" t="str">
        <f>IF('WK2 - Notional General Income'!D25="","",'WK2 - Notional General Income'!D25)</f>
        <v/>
      </c>
      <c r="E30" s="579"/>
      <c r="F30" s="579"/>
      <c r="G30" s="579"/>
      <c r="H30" s="579"/>
      <c r="I30" s="579"/>
      <c r="J30" s="580"/>
      <c r="K30" s="579"/>
      <c r="L30" s="579"/>
      <c r="M30" s="220"/>
      <c r="N30" s="3"/>
      <c r="O30" s="135"/>
      <c r="P30" s="96"/>
      <c r="Q30" s="3"/>
      <c r="R30" s="212"/>
      <c r="S30" s="699" t="str">
        <f t="shared" si="25"/>
        <v>.</v>
      </c>
      <c r="T30" s="700" t="str">
        <f t="shared" si="26"/>
        <v>.</v>
      </c>
      <c r="U30" s="700" t="str">
        <f t="shared" si="27"/>
        <v>.</v>
      </c>
      <c r="V30" s="700" t="str">
        <f t="shared" si="28"/>
        <v>.</v>
      </c>
      <c r="W30" s="700" t="str">
        <f t="shared" si="29"/>
        <v>.</v>
      </c>
      <c r="X30" s="700" t="str">
        <f t="shared" si="30"/>
        <v>.</v>
      </c>
      <c r="Y30" s="701" t="str">
        <f t="shared" si="31"/>
        <v>.</v>
      </c>
      <c r="Z30" s="3"/>
      <c r="AA30" s="985" t="str">
        <f t="shared" si="32"/>
        <v>.</v>
      </c>
      <c r="AB30" s="702" t="str">
        <f t="shared" si="33"/>
        <v>.</v>
      </c>
      <c r="AC30" s="702" t="str">
        <f t="shared" si="34"/>
        <v>.</v>
      </c>
      <c r="AD30" s="702" t="str">
        <f t="shared" si="35"/>
        <v>.</v>
      </c>
      <c r="AE30" s="702" t="str">
        <f t="shared" si="36"/>
        <v>.</v>
      </c>
      <c r="AF30" s="702" t="str">
        <f t="shared" si="37"/>
        <v>.</v>
      </c>
      <c r="AG30" s="986" t="str">
        <f t="shared" si="38"/>
        <v>.</v>
      </c>
      <c r="AH30" s="3"/>
      <c r="AI30" s="699" t="str">
        <f>IF(S30=".",".",SUM($S30:S30))</f>
        <v>.</v>
      </c>
      <c r="AJ30" s="700" t="str">
        <f>IF(T30=".",".",SUM($S30:T30))</f>
        <v>.</v>
      </c>
      <c r="AK30" s="700" t="str">
        <f>IF(U30=".",".",SUM($S30:U30))</f>
        <v>.</v>
      </c>
      <c r="AL30" s="700" t="str">
        <f>IF(V30=".",".",SUM($S30:V30))</f>
        <v>.</v>
      </c>
      <c r="AM30" s="700" t="str">
        <f>IF(W30=".",".",SUM($S30:W30))</f>
        <v>.</v>
      </c>
      <c r="AN30" s="700" t="str">
        <f>IF(X30=".",".",SUM($S30:X30))</f>
        <v>.</v>
      </c>
      <c r="AO30" s="701" t="str">
        <f>IF(Y30=".",".",SUM($S30:Y30))</f>
        <v>.</v>
      </c>
      <c r="AP30" s="3"/>
      <c r="AQ30" s="985" t="str">
        <f t="shared" si="39"/>
        <v>.</v>
      </c>
      <c r="AR30" s="702" t="str">
        <f t="shared" si="40"/>
        <v>.</v>
      </c>
      <c r="AS30" s="702" t="str">
        <f t="shared" si="41"/>
        <v>.</v>
      </c>
      <c r="AT30" s="702" t="str">
        <f t="shared" si="42"/>
        <v>.</v>
      </c>
      <c r="AU30" s="702" t="str">
        <f t="shared" si="43"/>
        <v>.</v>
      </c>
      <c r="AV30" s="702" t="str">
        <f t="shared" si="44"/>
        <v>.</v>
      </c>
      <c r="AW30" s="986" t="str">
        <f t="shared" si="45"/>
        <v>.</v>
      </c>
      <c r="AX30" s="214"/>
      <c r="AY30" s="3"/>
      <c r="AZ30" s="3"/>
      <c r="BA30" s="3"/>
      <c r="BB30" s="3"/>
    </row>
    <row r="31" spans="1:54" ht="12" x14ac:dyDescent="0.25">
      <c r="A31" s="3"/>
      <c r="B31" s="212"/>
      <c r="C31" s="973" t="str">
        <f t="shared" si="23"/>
        <v>Residential</v>
      </c>
      <c r="D31" s="998" t="str">
        <f>IF('WK2 - Notional General Income'!D26="","",'WK2 - Notional General Income'!D26)</f>
        <v/>
      </c>
      <c r="E31" s="579"/>
      <c r="F31" s="579"/>
      <c r="G31" s="579"/>
      <c r="H31" s="579"/>
      <c r="I31" s="579"/>
      <c r="J31" s="580"/>
      <c r="K31" s="579"/>
      <c r="L31" s="579"/>
      <c r="M31" s="220"/>
      <c r="N31" s="3"/>
      <c r="O31" s="135"/>
      <c r="P31" s="96"/>
      <c r="Q31" s="3"/>
      <c r="R31" s="212"/>
      <c r="S31" s="699" t="str">
        <f t="shared" si="25"/>
        <v>.</v>
      </c>
      <c r="T31" s="700" t="str">
        <f t="shared" si="26"/>
        <v>.</v>
      </c>
      <c r="U31" s="700" t="str">
        <f t="shared" si="27"/>
        <v>.</v>
      </c>
      <c r="V31" s="700" t="str">
        <f t="shared" si="28"/>
        <v>.</v>
      </c>
      <c r="W31" s="700" t="str">
        <f t="shared" si="29"/>
        <v>.</v>
      </c>
      <c r="X31" s="700" t="str">
        <f t="shared" si="30"/>
        <v>.</v>
      </c>
      <c r="Y31" s="701" t="str">
        <f t="shared" si="31"/>
        <v>.</v>
      </c>
      <c r="Z31" s="3"/>
      <c r="AA31" s="985" t="str">
        <f t="shared" si="32"/>
        <v>.</v>
      </c>
      <c r="AB31" s="702" t="str">
        <f t="shared" si="33"/>
        <v>.</v>
      </c>
      <c r="AC31" s="702" t="str">
        <f t="shared" si="34"/>
        <v>.</v>
      </c>
      <c r="AD31" s="702" t="str">
        <f t="shared" si="35"/>
        <v>.</v>
      </c>
      <c r="AE31" s="702" t="str">
        <f t="shared" si="36"/>
        <v>.</v>
      </c>
      <c r="AF31" s="702" t="str">
        <f t="shared" si="37"/>
        <v>.</v>
      </c>
      <c r="AG31" s="986" t="str">
        <f t="shared" si="38"/>
        <v>.</v>
      </c>
      <c r="AH31" s="3"/>
      <c r="AI31" s="699" t="str">
        <f>IF(S31=".",".",SUM($S31:S31))</f>
        <v>.</v>
      </c>
      <c r="AJ31" s="700" t="str">
        <f>IF(T31=".",".",SUM($S31:T31))</f>
        <v>.</v>
      </c>
      <c r="AK31" s="700" t="str">
        <f>IF(U31=".",".",SUM($S31:U31))</f>
        <v>.</v>
      </c>
      <c r="AL31" s="700" t="str">
        <f>IF(V31=".",".",SUM($S31:V31))</f>
        <v>.</v>
      </c>
      <c r="AM31" s="700" t="str">
        <f>IF(W31=".",".",SUM($S31:W31))</f>
        <v>.</v>
      </c>
      <c r="AN31" s="700" t="str">
        <f>IF(X31=".",".",SUM($S31:X31))</f>
        <v>.</v>
      </c>
      <c r="AO31" s="701" t="str">
        <f>IF(Y31=".",".",SUM($S31:Y31))</f>
        <v>.</v>
      </c>
      <c r="AP31" s="3"/>
      <c r="AQ31" s="985" t="str">
        <f t="shared" si="39"/>
        <v>.</v>
      </c>
      <c r="AR31" s="702" t="str">
        <f t="shared" si="40"/>
        <v>.</v>
      </c>
      <c r="AS31" s="702" t="str">
        <f t="shared" si="41"/>
        <v>.</v>
      </c>
      <c r="AT31" s="702" t="str">
        <f t="shared" si="42"/>
        <v>.</v>
      </c>
      <c r="AU31" s="702" t="str">
        <f t="shared" si="43"/>
        <v>.</v>
      </c>
      <c r="AV31" s="702" t="str">
        <f t="shared" si="44"/>
        <v>.</v>
      </c>
      <c r="AW31" s="986" t="str">
        <f t="shared" si="45"/>
        <v>.</v>
      </c>
      <c r="AX31" s="214"/>
      <c r="AY31" s="3"/>
      <c r="AZ31" s="3"/>
      <c r="BA31" s="3"/>
      <c r="BB31" s="3"/>
    </row>
    <row r="32" spans="1:54" ht="12" x14ac:dyDescent="0.25">
      <c r="A32" s="3"/>
      <c r="B32" s="212"/>
      <c r="C32" s="973" t="str">
        <f t="shared" si="23"/>
        <v>Residential</v>
      </c>
      <c r="D32" s="998" t="str">
        <f>IF('WK2 - Notional General Income'!D27="","",'WK2 - Notional General Income'!D27)</f>
        <v/>
      </c>
      <c r="E32" s="579"/>
      <c r="F32" s="579"/>
      <c r="G32" s="579"/>
      <c r="H32" s="579"/>
      <c r="I32" s="579"/>
      <c r="J32" s="580"/>
      <c r="K32" s="579"/>
      <c r="L32" s="579"/>
      <c r="M32" s="220"/>
      <c r="N32" s="3"/>
      <c r="O32" s="135"/>
      <c r="P32" s="96"/>
      <c r="Q32" s="3"/>
      <c r="R32" s="212"/>
      <c r="S32" s="699" t="str">
        <f t="shared" si="25"/>
        <v>.</v>
      </c>
      <c r="T32" s="700" t="str">
        <f t="shared" si="26"/>
        <v>.</v>
      </c>
      <c r="U32" s="700" t="str">
        <f t="shared" si="27"/>
        <v>.</v>
      </c>
      <c r="V32" s="700" t="str">
        <f t="shared" si="28"/>
        <v>.</v>
      </c>
      <c r="W32" s="700" t="str">
        <f t="shared" si="29"/>
        <v>.</v>
      </c>
      <c r="X32" s="700" t="str">
        <f t="shared" si="30"/>
        <v>.</v>
      </c>
      <c r="Y32" s="701" t="str">
        <f t="shared" si="31"/>
        <v>.</v>
      </c>
      <c r="Z32" s="3"/>
      <c r="AA32" s="985" t="str">
        <f t="shared" si="32"/>
        <v>.</v>
      </c>
      <c r="AB32" s="702" t="str">
        <f t="shared" si="33"/>
        <v>.</v>
      </c>
      <c r="AC32" s="702" t="str">
        <f t="shared" si="34"/>
        <v>.</v>
      </c>
      <c r="AD32" s="702" t="str">
        <f t="shared" si="35"/>
        <v>.</v>
      </c>
      <c r="AE32" s="702" t="str">
        <f t="shared" si="36"/>
        <v>.</v>
      </c>
      <c r="AF32" s="702" t="str">
        <f t="shared" si="37"/>
        <v>.</v>
      </c>
      <c r="AG32" s="986" t="str">
        <f t="shared" si="38"/>
        <v>.</v>
      </c>
      <c r="AH32" s="3"/>
      <c r="AI32" s="699" t="str">
        <f>IF(S32=".",".",SUM($S32:S32))</f>
        <v>.</v>
      </c>
      <c r="AJ32" s="700" t="str">
        <f>IF(T32=".",".",SUM($S32:T32))</f>
        <v>.</v>
      </c>
      <c r="AK32" s="700" t="str">
        <f>IF(U32=".",".",SUM($S32:U32))</f>
        <v>.</v>
      </c>
      <c r="AL32" s="700" t="str">
        <f>IF(V32=".",".",SUM($S32:V32))</f>
        <v>.</v>
      </c>
      <c r="AM32" s="700" t="str">
        <f>IF(W32=".",".",SUM($S32:W32))</f>
        <v>.</v>
      </c>
      <c r="AN32" s="700" t="str">
        <f>IF(X32=".",".",SUM($S32:X32))</f>
        <v>.</v>
      </c>
      <c r="AO32" s="701" t="str">
        <f>IF(Y32=".",".",SUM($S32:Y32))</f>
        <v>.</v>
      </c>
      <c r="AP32" s="3"/>
      <c r="AQ32" s="985" t="str">
        <f t="shared" si="39"/>
        <v>.</v>
      </c>
      <c r="AR32" s="702" t="str">
        <f t="shared" si="40"/>
        <v>.</v>
      </c>
      <c r="AS32" s="702" t="str">
        <f t="shared" si="41"/>
        <v>.</v>
      </c>
      <c r="AT32" s="702" t="str">
        <f t="shared" si="42"/>
        <v>.</v>
      </c>
      <c r="AU32" s="702" t="str">
        <f t="shared" si="43"/>
        <v>.</v>
      </c>
      <c r="AV32" s="702" t="str">
        <f t="shared" si="44"/>
        <v>.</v>
      </c>
      <c r="AW32" s="986" t="str">
        <f t="shared" si="45"/>
        <v>.</v>
      </c>
      <c r="AX32" s="214"/>
      <c r="AY32" s="3"/>
      <c r="AZ32" s="3"/>
      <c r="BA32" s="3"/>
      <c r="BB32" s="3"/>
    </row>
    <row r="33" spans="1:54" ht="12" x14ac:dyDescent="0.25">
      <c r="A33" s="3"/>
      <c r="B33" s="212"/>
      <c r="C33" s="973" t="str">
        <f t="shared" si="23"/>
        <v>Residential</v>
      </c>
      <c r="D33" s="998" t="str">
        <f>IF('WK2 - Notional General Income'!D28="","",'WK2 - Notional General Income'!D28)</f>
        <v/>
      </c>
      <c r="E33" s="579"/>
      <c r="F33" s="579"/>
      <c r="G33" s="579"/>
      <c r="H33" s="579"/>
      <c r="I33" s="579"/>
      <c r="J33" s="580"/>
      <c r="K33" s="579"/>
      <c r="L33" s="579"/>
      <c r="M33" s="220"/>
      <c r="N33" s="3"/>
      <c r="O33" s="135"/>
      <c r="P33" s="96"/>
      <c r="Q33" s="3"/>
      <c r="R33" s="212"/>
      <c r="S33" s="699" t="str">
        <f t="shared" si="25"/>
        <v>.</v>
      </c>
      <c r="T33" s="700" t="str">
        <f t="shared" si="26"/>
        <v>.</v>
      </c>
      <c r="U33" s="700" t="str">
        <f t="shared" si="27"/>
        <v>.</v>
      </c>
      <c r="V33" s="700" t="str">
        <f t="shared" si="28"/>
        <v>.</v>
      </c>
      <c r="W33" s="700" t="str">
        <f t="shared" si="29"/>
        <v>.</v>
      </c>
      <c r="X33" s="700" t="str">
        <f t="shared" si="30"/>
        <v>.</v>
      </c>
      <c r="Y33" s="701" t="str">
        <f t="shared" si="31"/>
        <v>.</v>
      </c>
      <c r="Z33" s="3"/>
      <c r="AA33" s="985" t="str">
        <f t="shared" si="32"/>
        <v>.</v>
      </c>
      <c r="AB33" s="702" t="str">
        <f t="shared" si="33"/>
        <v>.</v>
      </c>
      <c r="AC33" s="702" t="str">
        <f t="shared" si="34"/>
        <v>.</v>
      </c>
      <c r="AD33" s="702" t="str">
        <f t="shared" si="35"/>
        <v>.</v>
      </c>
      <c r="AE33" s="702" t="str">
        <f t="shared" si="36"/>
        <v>.</v>
      </c>
      <c r="AF33" s="702" t="str">
        <f t="shared" si="37"/>
        <v>.</v>
      </c>
      <c r="AG33" s="986" t="str">
        <f t="shared" si="38"/>
        <v>.</v>
      </c>
      <c r="AH33" s="3"/>
      <c r="AI33" s="699" t="str">
        <f>IF(S33=".",".",SUM($S33:S33))</f>
        <v>.</v>
      </c>
      <c r="AJ33" s="700" t="str">
        <f>IF(T33=".",".",SUM($S33:T33))</f>
        <v>.</v>
      </c>
      <c r="AK33" s="700" t="str">
        <f>IF(U33=".",".",SUM($S33:U33))</f>
        <v>.</v>
      </c>
      <c r="AL33" s="700" t="str">
        <f>IF(V33=".",".",SUM($S33:V33))</f>
        <v>.</v>
      </c>
      <c r="AM33" s="700" t="str">
        <f>IF(W33=".",".",SUM($S33:W33))</f>
        <v>.</v>
      </c>
      <c r="AN33" s="700" t="str">
        <f>IF(X33=".",".",SUM($S33:X33))</f>
        <v>.</v>
      </c>
      <c r="AO33" s="701" t="str">
        <f>IF(Y33=".",".",SUM($S33:Y33))</f>
        <v>.</v>
      </c>
      <c r="AP33" s="3"/>
      <c r="AQ33" s="985" t="str">
        <f t="shared" si="39"/>
        <v>.</v>
      </c>
      <c r="AR33" s="702" t="str">
        <f t="shared" si="40"/>
        <v>.</v>
      </c>
      <c r="AS33" s="702" t="str">
        <f t="shared" si="41"/>
        <v>.</v>
      </c>
      <c r="AT33" s="702" t="str">
        <f t="shared" si="42"/>
        <v>.</v>
      </c>
      <c r="AU33" s="702" t="str">
        <f t="shared" si="43"/>
        <v>.</v>
      </c>
      <c r="AV33" s="702" t="str">
        <f t="shared" si="44"/>
        <v>.</v>
      </c>
      <c r="AW33" s="986" t="str">
        <f t="shared" si="45"/>
        <v>.</v>
      </c>
      <c r="AX33" s="214"/>
      <c r="AY33" s="3"/>
      <c r="AZ33" s="3"/>
      <c r="BA33" s="3"/>
      <c r="BB33" s="3"/>
    </row>
    <row r="34" spans="1:54" ht="12" x14ac:dyDescent="0.25">
      <c r="A34" s="3"/>
      <c r="B34" s="212"/>
      <c r="C34" s="973" t="str">
        <f t="shared" si="23"/>
        <v>Residential</v>
      </c>
      <c r="D34" s="998" t="str">
        <f>IF('WK2 - Notional General Income'!D29="","",'WK2 - Notional General Income'!D29)</f>
        <v/>
      </c>
      <c r="E34" s="579"/>
      <c r="F34" s="579"/>
      <c r="G34" s="579"/>
      <c r="H34" s="579"/>
      <c r="I34" s="579"/>
      <c r="J34" s="580"/>
      <c r="K34" s="579"/>
      <c r="L34" s="579"/>
      <c r="M34" s="220"/>
      <c r="N34" s="3"/>
      <c r="O34" s="135"/>
      <c r="P34" s="96"/>
      <c r="Q34" s="3"/>
      <c r="R34" s="212"/>
      <c r="S34" s="699" t="str">
        <f t="shared" si="25"/>
        <v>.</v>
      </c>
      <c r="T34" s="700" t="str">
        <f t="shared" si="26"/>
        <v>.</v>
      </c>
      <c r="U34" s="700" t="str">
        <f t="shared" si="27"/>
        <v>.</v>
      </c>
      <c r="V34" s="700" t="str">
        <f t="shared" si="28"/>
        <v>.</v>
      </c>
      <c r="W34" s="700" t="str">
        <f t="shared" si="29"/>
        <v>.</v>
      </c>
      <c r="X34" s="700" t="str">
        <f t="shared" si="30"/>
        <v>.</v>
      </c>
      <c r="Y34" s="701" t="str">
        <f t="shared" si="31"/>
        <v>.</v>
      </c>
      <c r="Z34" s="3"/>
      <c r="AA34" s="985" t="str">
        <f t="shared" si="32"/>
        <v>.</v>
      </c>
      <c r="AB34" s="702" t="str">
        <f t="shared" si="33"/>
        <v>.</v>
      </c>
      <c r="AC34" s="702" t="str">
        <f t="shared" si="34"/>
        <v>.</v>
      </c>
      <c r="AD34" s="702" t="str">
        <f t="shared" si="35"/>
        <v>.</v>
      </c>
      <c r="AE34" s="702" t="str">
        <f t="shared" si="36"/>
        <v>.</v>
      </c>
      <c r="AF34" s="702" t="str">
        <f t="shared" si="37"/>
        <v>.</v>
      </c>
      <c r="AG34" s="986" t="str">
        <f t="shared" si="38"/>
        <v>.</v>
      </c>
      <c r="AH34" s="3"/>
      <c r="AI34" s="699" t="str">
        <f>IF(S34=".",".",SUM($S34:S34))</f>
        <v>.</v>
      </c>
      <c r="AJ34" s="700" t="str">
        <f>IF(T34=".",".",SUM($S34:T34))</f>
        <v>.</v>
      </c>
      <c r="AK34" s="700" t="str">
        <f>IF(U34=".",".",SUM($S34:U34))</f>
        <v>.</v>
      </c>
      <c r="AL34" s="700" t="str">
        <f>IF(V34=".",".",SUM($S34:V34))</f>
        <v>.</v>
      </c>
      <c r="AM34" s="700" t="str">
        <f>IF(W34=".",".",SUM($S34:W34))</f>
        <v>.</v>
      </c>
      <c r="AN34" s="700" t="str">
        <f>IF(X34=".",".",SUM($S34:X34))</f>
        <v>.</v>
      </c>
      <c r="AO34" s="701" t="str">
        <f>IF(Y34=".",".",SUM($S34:Y34))</f>
        <v>.</v>
      </c>
      <c r="AP34" s="3"/>
      <c r="AQ34" s="985" t="str">
        <f t="shared" si="39"/>
        <v>.</v>
      </c>
      <c r="AR34" s="702" t="str">
        <f t="shared" si="40"/>
        <v>.</v>
      </c>
      <c r="AS34" s="702" t="str">
        <f t="shared" si="41"/>
        <v>.</v>
      </c>
      <c r="AT34" s="702" t="str">
        <f t="shared" si="42"/>
        <v>.</v>
      </c>
      <c r="AU34" s="702" t="str">
        <f t="shared" si="43"/>
        <v>.</v>
      </c>
      <c r="AV34" s="702" t="str">
        <f t="shared" si="44"/>
        <v>.</v>
      </c>
      <c r="AW34" s="986" t="str">
        <f t="shared" si="45"/>
        <v>.</v>
      </c>
      <c r="AX34" s="214"/>
      <c r="AY34" s="3"/>
      <c r="AZ34" s="3"/>
      <c r="BA34" s="3"/>
      <c r="BB34" s="3"/>
    </row>
    <row r="35" spans="1:54" ht="12" x14ac:dyDescent="0.25">
      <c r="A35" s="3"/>
      <c r="B35" s="212"/>
      <c r="C35" s="973" t="str">
        <f t="shared" si="23"/>
        <v>Residential</v>
      </c>
      <c r="D35" s="998" t="str">
        <f>IF('WK2 - Notional General Income'!D30="","",'WK2 - Notional General Income'!D30)</f>
        <v/>
      </c>
      <c r="E35" s="579"/>
      <c r="F35" s="579"/>
      <c r="G35" s="579"/>
      <c r="H35" s="579"/>
      <c r="I35" s="579"/>
      <c r="J35" s="580"/>
      <c r="K35" s="579"/>
      <c r="L35" s="579"/>
      <c r="M35" s="220"/>
      <c r="N35" s="3"/>
      <c r="O35" s="135"/>
      <c r="P35" s="96"/>
      <c r="Q35" s="3"/>
      <c r="R35" s="212"/>
      <c r="S35" s="699" t="str">
        <f t="shared" si="25"/>
        <v>.</v>
      </c>
      <c r="T35" s="700" t="str">
        <f t="shared" si="26"/>
        <v>.</v>
      </c>
      <c r="U35" s="700" t="str">
        <f t="shared" si="27"/>
        <v>.</v>
      </c>
      <c r="V35" s="700" t="str">
        <f t="shared" si="28"/>
        <v>.</v>
      </c>
      <c r="W35" s="700" t="str">
        <f t="shared" si="29"/>
        <v>.</v>
      </c>
      <c r="X35" s="700" t="str">
        <f t="shared" si="30"/>
        <v>.</v>
      </c>
      <c r="Y35" s="701" t="str">
        <f t="shared" si="31"/>
        <v>.</v>
      </c>
      <c r="Z35" s="3"/>
      <c r="AA35" s="985" t="str">
        <f t="shared" si="32"/>
        <v>.</v>
      </c>
      <c r="AB35" s="702" t="str">
        <f t="shared" si="33"/>
        <v>.</v>
      </c>
      <c r="AC35" s="702" t="str">
        <f t="shared" si="34"/>
        <v>.</v>
      </c>
      <c r="AD35" s="702" t="str">
        <f t="shared" si="35"/>
        <v>.</v>
      </c>
      <c r="AE35" s="702" t="str">
        <f t="shared" si="36"/>
        <v>.</v>
      </c>
      <c r="AF35" s="702" t="str">
        <f t="shared" si="37"/>
        <v>.</v>
      </c>
      <c r="AG35" s="986" t="str">
        <f t="shared" si="38"/>
        <v>.</v>
      </c>
      <c r="AH35" s="3"/>
      <c r="AI35" s="699" t="str">
        <f>IF(S35=".",".",SUM($S35:S35))</f>
        <v>.</v>
      </c>
      <c r="AJ35" s="700" t="str">
        <f>IF(T35=".",".",SUM($S35:T35))</f>
        <v>.</v>
      </c>
      <c r="AK35" s="700" t="str">
        <f>IF(U35=".",".",SUM($S35:U35))</f>
        <v>.</v>
      </c>
      <c r="AL35" s="700" t="str">
        <f>IF(V35=".",".",SUM($S35:V35))</f>
        <v>.</v>
      </c>
      <c r="AM35" s="700" t="str">
        <f>IF(W35=".",".",SUM($S35:W35))</f>
        <v>.</v>
      </c>
      <c r="AN35" s="700" t="str">
        <f>IF(X35=".",".",SUM($S35:X35))</f>
        <v>.</v>
      </c>
      <c r="AO35" s="701" t="str">
        <f>IF(Y35=".",".",SUM($S35:Y35))</f>
        <v>.</v>
      </c>
      <c r="AP35" s="3"/>
      <c r="AQ35" s="985" t="str">
        <f t="shared" si="39"/>
        <v>.</v>
      </c>
      <c r="AR35" s="702" t="str">
        <f t="shared" si="40"/>
        <v>.</v>
      </c>
      <c r="AS35" s="702" t="str">
        <f t="shared" si="41"/>
        <v>.</v>
      </c>
      <c r="AT35" s="702" t="str">
        <f t="shared" si="42"/>
        <v>.</v>
      </c>
      <c r="AU35" s="702" t="str">
        <f t="shared" si="43"/>
        <v>.</v>
      </c>
      <c r="AV35" s="702" t="str">
        <f t="shared" si="44"/>
        <v>.</v>
      </c>
      <c r="AW35" s="986" t="str">
        <f t="shared" si="45"/>
        <v>.</v>
      </c>
      <c r="AX35" s="214"/>
      <c r="AY35" s="3"/>
      <c r="AZ35" s="3"/>
      <c r="BA35" s="3"/>
      <c r="BB35" s="3"/>
    </row>
    <row r="36" spans="1:54" ht="12" x14ac:dyDescent="0.25">
      <c r="A36" s="3"/>
      <c r="B36" s="212"/>
      <c r="C36" s="973" t="str">
        <f t="shared" si="23"/>
        <v>Residential</v>
      </c>
      <c r="D36" s="998" t="str">
        <f>IF('WK2 - Notional General Income'!D31="","",'WK2 - Notional General Income'!D31)</f>
        <v/>
      </c>
      <c r="E36" s="579"/>
      <c r="F36" s="579"/>
      <c r="G36" s="579"/>
      <c r="H36" s="579"/>
      <c r="I36" s="579"/>
      <c r="J36" s="580"/>
      <c r="K36" s="579"/>
      <c r="L36" s="579"/>
      <c r="M36" s="220"/>
      <c r="N36" s="3"/>
      <c r="O36" s="135"/>
      <c r="P36" s="96"/>
      <c r="Q36" s="3"/>
      <c r="R36" s="212"/>
      <c r="S36" s="699" t="str">
        <f t="shared" si="25"/>
        <v>.</v>
      </c>
      <c r="T36" s="700" t="str">
        <f t="shared" si="26"/>
        <v>.</v>
      </c>
      <c r="U36" s="700" t="str">
        <f t="shared" si="27"/>
        <v>.</v>
      </c>
      <c r="V36" s="700" t="str">
        <f t="shared" si="28"/>
        <v>.</v>
      </c>
      <c r="W36" s="700" t="str">
        <f t="shared" si="29"/>
        <v>.</v>
      </c>
      <c r="X36" s="700" t="str">
        <f t="shared" si="30"/>
        <v>.</v>
      </c>
      <c r="Y36" s="701" t="str">
        <f t="shared" si="31"/>
        <v>.</v>
      </c>
      <c r="Z36" s="3"/>
      <c r="AA36" s="985" t="str">
        <f t="shared" si="32"/>
        <v>.</v>
      </c>
      <c r="AB36" s="702" t="str">
        <f t="shared" si="33"/>
        <v>.</v>
      </c>
      <c r="AC36" s="702" t="str">
        <f t="shared" si="34"/>
        <v>.</v>
      </c>
      <c r="AD36" s="702" t="str">
        <f t="shared" si="35"/>
        <v>.</v>
      </c>
      <c r="AE36" s="702" t="str">
        <f t="shared" si="36"/>
        <v>.</v>
      </c>
      <c r="AF36" s="702" t="str">
        <f t="shared" si="37"/>
        <v>.</v>
      </c>
      <c r="AG36" s="986" t="str">
        <f t="shared" si="38"/>
        <v>.</v>
      </c>
      <c r="AH36" s="3"/>
      <c r="AI36" s="699" t="str">
        <f>IF(S36=".",".",SUM($S36:S36))</f>
        <v>.</v>
      </c>
      <c r="AJ36" s="700" t="str">
        <f>IF(T36=".",".",SUM($S36:T36))</f>
        <v>.</v>
      </c>
      <c r="AK36" s="700" t="str">
        <f>IF(U36=".",".",SUM($S36:U36))</f>
        <v>.</v>
      </c>
      <c r="AL36" s="700" t="str">
        <f>IF(V36=".",".",SUM($S36:V36))</f>
        <v>.</v>
      </c>
      <c r="AM36" s="700" t="str">
        <f>IF(W36=".",".",SUM($S36:W36))</f>
        <v>.</v>
      </c>
      <c r="AN36" s="700" t="str">
        <f>IF(X36=".",".",SUM($S36:X36))</f>
        <v>.</v>
      </c>
      <c r="AO36" s="701" t="str">
        <f>IF(Y36=".",".",SUM($S36:Y36))</f>
        <v>.</v>
      </c>
      <c r="AP36" s="3"/>
      <c r="AQ36" s="985" t="str">
        <f t="shared" si="39"/>
        <v>.</v>
      </c>
      <c r="AR36" s="702" t="str">
        <f t="shared" si="40"/>
        <v>.</v>
      </c>
      <c r="AS36" s="702" t="str">
        <f t="shared" si="41"/>
        <v>.</v>
      </c>
      <c r="AT36" s="702" t="str">
        <f t="shared" si="42"/>
        <v>.</v>
      </c>
      <c r="AU36" s="702" t="str">
        <f t="shared" si="43"/>
        <v>.</v>
      </c>
      <c r="AV36" s="702" t="str">
        <f t="shared" si="44"/>
        <v>.</v>
      </c>
      <c r="AW36" s="986" t="str">
        <f t="shared" si="45"/>
        <v>.</v>
      </c>
      <c r="AX36" s="214"/>
      <c r="AY36" s="3"/>
      <c r="AZ36" s="3"/>
      <c r="BA36" s="3"/>
      <c r="BB36" s="3"/>
    </row>
    <row r="37" spans="1:54" ht="12" x14ac:dyDescent="0.25">
      <c r="A37" s="3"/>
      <c r="B37" s="212"/>
      <c r="C37" s="973" t="str">
        <f t="shared" si="23"/>
        <v>Residential</v>
      </c>
      <c r="D37" s="998" t="str">
        <f>IF('WK2 - Notional General Income'!D32="","",'WK2 - Notional General Income'!D32)</f>
        <v/>
      </c>
      <c r="E37" s="579"/>
      <c r="F37" s="579"/>
      <c r="G37" s="579"/>
      <c r="H37" s="579"/>
      <c r="I37" s="579"/>
      <c r="J37" s="580"/>
      <c r="K37" s="579"/>
      <c r="L37" s="579"/>
      <c r="M37" s="220"/>
      <c r="N37" s="3"/>
      <c r="O37" s="135"/>
      <c r="P37" s="96"/>
      <c r="Q37" s="3"/>
      <c r="R37" s="212"/>
      <c r="S37" s="699" t="str">
        <f t="shared" si="25"/>
        <v>.</v>
      </c>
      <c r="T37" s="700" t="str">
        <f t="shared" si="26"/>
        <v>.</v>
      </c>
      <c r="U37" s="700" t="str">
        <f t="shared" si="27"/>
        <v>.</v>
      </c>
      <c r="V37" s="700" t="str">
        <f t="shared" si="28"/>
        <v>.</v>
      </c>
      <c r="W37" s="700" t="str">
        <f t="shared" si="29"/>
        <v>.</v>
      </c>
      <c r="X37" s="700" t="str">
        <f t="shared" si="30"/>
        <v>.</v>
      </c>
      <c r="Y37" s="701" t="str">
        <f t="shared" si="31"/>
        <v>.</v>
      </c>
      <c r="Z37" s="3"/>
      <c r="AA37" s="985" t="str">
        <f t="shared" si="32"/>
        <v>.</v>
      </c>
      <c r="AB37" s="702" t="str">
        <f t="shared" si="33"/>
        <v>.</v>
      </c>
      <c r="AC37" s="702" t="str">
        <f t="shared" si="34"/>
        <v>.</v>
      </c>
      <c r="AD37" s="702" t="str">
        <f t="shared" si="35"/>
        <v>.</v>
      </c>
      <c r="AE37" s="702" t="str">
        <f t="shared" si="36"/>
        <v>.</v>
      </c>
      <c r="AF37" s="702" t="str">
        <f t="shared" si="37"/>
        <v>.</v>
      </c>
      <c r="AG37" s="986" t="str">
        <f t="shared" si="38"/>
        <v>.</v>
      </c>
      <c r="AH37" s="3"/>
      <c r="AI37" s="699" t="str">
        <f>IF(S37=".",".",SUM($S37:S37))</f>
        <v>.</v>
      </c>
      <c r="AJ37" s="700" t="str">
        <f>IF(T37=".",".",SUM($S37:T37))</f>
        <v>.</v>
      </c>
      <c r="AK37" s="700" t="str">
        <f>IF(U37=".",".",SUM($S37:U37))</f>
        <v>.</v>
      </c>
      <c r="AL37" s="700" t="str">
        <f>IF(V37=".",".",SUM($S37:V37))</f>
        <v>.</v>
      </c>
      <c r="AM37" s="700" t="str">
        <f>IF(W37=".",".",SUM($S37:W37))</f>
        <v>.</v>
      </c>
      <c r="AN37" s="700" t="str">
        <f>IF(X37=".",".",SUM($S37:X37))</f>
        <v>.</v>
      </c>
      <c r="AO37" s="701" t="str">
        <f>IF(Y37=".",".",SUM($S37:Y37))</f>
        <v>.</v>
      </c>
      <c r="AP37" s="3"/>
      <c r="AQ37" s="985" t="str">
        <f t="shared" si="39"/>
        <v>.</v>
      </c>
      <c r="AR37" s="702" t="str">
        <f t="shared" si="40"/>
        <v>.</v>
      </c>
      <c r="AS37" s="702" t="str">
        <f t="shared" si="41"/>
        <v>.</v>
      </c>
      <c r="AT37" s="702" t="str">
        <f t="shared" si="42"/>
        <v>.</v>
      </c>
      <c r="AU37" s="702" t="str">
        <f t="shared" si="43"/>
        <v>.</v>
      </c>
      <c r="AV37" s="702" t="str">
        <f t="shared" si="44"/>
        <v>.</v>
      </c>
      <c r="AW37" s="986" t="str">
        <f t="shared" si="45"/>
        <v>.</v>
      </c>
      <c r="AX37" s="214"/>
      <c r="AY37" s="3"/>
      <c r="AZ37" s="3"/>
      <c r="BA37" s="3"/>
      <c r="BB37" s="3"/>
    </row>
    <row r="38" spans="1:54" ht="12" x14ac:dyDescent="0.25">
      <c r="A38" s="3"/>
      <c r="B38" s="212"/>
      <c r="C38" s="973" t="str">
        <f t="shared" si="23"/>
        <v>Residential</v>
      </c>
      <c r="D38" s="998" t="str">
        <f>IF('WK2 - Notional General Income'!D33="","",'WK2 - Notional General Income'!D33)</f>
        <v/>
      </c>
      <c r="E38" s="579"/>
      <c r="F38" s="579"/>
      <c r="G38" s="579"/>
      <c r="H38" s="579"/>
      <c r="I38" s="579"/>
      <c r="J38" s="580"/>
      <c r="K38" s="579"/>
      <c r="L38" s="579"/>
      <c r="M38" s="220"/>
      <c r="N38" s="3"/>
      <c r="O38" s="135"/>
      <c r="P38" s="96"/>
      <c r="Q38" s="3"/>
      <c r="R38" s="212"/>
      <c r="S38" s="699" t="str">
        <f t="shared" si="25"/>
        <v>.</v>
      </c>
      <c r="T38" s="700" t="str">
        <f t="shared" si="26"/>
        <v>.</v>
      </c>
      <c r="U38" s="700" t="str">
        <f t="shared" si="27"/>
        <v>.</v>
      </c>
      <c r="V38" s="700" t="str">
        <f t="shared" si="28"/>
        <v>.</v>
      </c>
      <c r="W38" s="700" t="str">
        <f t="shared" si="29"/>
        <v>.</v>
      </c>
      <c r="X38" s="700" t="str">
        <f t="shared" si="30"/>
        <v>.</v>
      </c>
      <c r="Y38" s="701" t="str">
        <f t="shared" si="31"/>
        <v>.</v>
      </c>
      <c r="Z38" s="3"/>
      <c r="AA38" s="985" t="str">
        <f t="shared" si="32"/>
        <v>.</v>
      </c>
      <c r="AB38" s="702" t="str">
        <f t="shared" si="33"/>
        <v>.</v>
      </c>
      <c r="AC38" s="702" t="str">
        <f t="shared" si="34"/>
        <v>.</v>
      </c>
      <c r="AD38" s="702" t="str">
        <f t="shared" si="35"/>
        <v>.</v>
      </c>
      <c r="AE38" s="702" t="str">
        <f t="shared" si="36"/>
        <v>.</v>
      </c>
      <c r="AF38" s="702" t="str">
        <f t="shared" si="37"/>
        <v>.</v>
      </c>
      <c r="AG38" s="986" t="str">
        <f t="shared" si="38"/>
        <v>.</v>
      </c>
      <c r="AH38" s="3"/>
      <c r="AI38" s="699" t="str">
        <f>IF(S38=".",".",SUM($S38:S38))</f>
        <v>.</v>
      </c>
      <c r="AJ38" s="700" t="str">
        <f>IF(T38=".",".",SUM($S38:T38))</f>
        <v>.</v>
      </c>
      <c r="AK38" s="700" t="str">
        <f>IF(U38=".",".",SUM($S38:U38))</f>
        <v>.</v>
      </c>
      <c r="AL38" s="700" t="str">
        <f>IF(V38=".",".",SUM($S38:V38))</f>
        <v>.</v>
      </c>
      <c r="AM38" s="700" t="str">
        <f>IF(W38=".",".",SUM($S38:W38))</f>
        <v>.</v>
      </c>
      <c r="AN38" s="700" t="str">
        <f>IF(X38=".",".",SUM($S38:X38))</f>
        <v>.</v>
      </c>
      <c r="AO38" s="701" t="str">
        <f>IF(Y38=".",".",SUM($S38:Y38))</f>
        <v>.</v>
      </c>
      <c r="AP38" s="3"/>
      <c r="AQ38" s="985" t="str">
        <f t="shared" si="39"/>
        <v>.</v>
      </c>
      <c r="AR38" s="702" t="str">
        <f t="shared" si="40"/>
        <v>.</v>
      </c>
      <c r="AS38" s="702" t="str">
        <f t="shared" si="41"/>
        <v>.</v>
      </c>
      <c r="AT38" s="702" t="str">
        <f t="shared" si="42"/>
        <v>.</v>
      </c>
      <c r="AU38" s="702" t="str">
        <f t="shared" si="43"/>
        <v>.</v>
      </c>
      <c r="AV38" s="702" t="str">
        <f t="shared" si="44"/>
        <v>.</v>
      </c>
      <c r="AW38" s="986" t="str">
        <f t="shared" si="45"/>
        <v>.</v>
      </c>
      <c r="AX38" s="214"/>
      <c r="AY38" s="3"/>
      <c r="AZ38" s="3"/>
      <c r="BA38" s="3"/>
      <c r="BB38" s="3"/>
    </row>
    <row r="39" spans="1:54" ht="12" x14ac:dyDescent="0.25">
      <c r="A39" s="3"/>
      <c r="B39" s="212"/>
      <c r="C39" s="973" t="str">
        <f t="shared" si="23"/>
        <v>Residential</v>
      </c>
      <c r="D39" s="998" t="str">
        <f>IF('WK2 - Notional General Income'!D34="","",'WK2 - Notional General Income'!D34)</f>
        <v/>
      </c>
      <c r="E39" s="579"/>
      <c r="F39" s="579"/>
      <c r="G39" s="579"/>
      <c r="H39" s="579"/>
      <c r="I39" s="579"/>
      <c r="J39" s="580"/>
      <c r="K39" s="579"/>
      <c r="L39" s="579"/>
      <c r="M39" s="220"/>
      <c r="N39" s="3"/>
      <c r="O39" s="135"/>
      <c r="P39" s="96"/>
      <c r="Q39" s="3"/>
      <c r="R39" s="212"/>
      <c r="S39" s="699" t="str">
        <f t="shared" si="25"/>
        <v>.</v>
      </c>
      <c r="T39" s="700" t="str">
        <f t="shared" si="26"/>
        <v>.</v>
      </c>
      <c r="U39" s="700" t="str">
        <f t="shared" si="27"/>
        <v>.</v>
      </c>
      <c r="V39" s="700" t="str">
        <f t="shared" si="28"/>
        <v>.</v>
      </c>
      <c r="W39" s="700" t="str">
        <f t="shared" si="29"/>
        <v>.</v>
      </c>
      <c r="X39" s="700" t="str">
        <f t="shared" si="30"/>
        <v>.</v>
      </c>
      <c r="Y39" s="701" t="str">
        <f t="shared" si="31"/>
        <v>.</v>
      </c>
      <c r="Z39" s="3"/>
      <c r="AA39" s="985" t="str">
        <f t="shared" si="32"/>
        <v>.</v>
      </c>
      <c r="AB39" s="702" t="str">
        <f t="shared" si="33"/>
        <v>.</v>
      </c>
      <c r="AC39" s="702" t="str">
        <f t="shared" si="34"/>
        <v>.</v>
      </c>
      <c r="AD39" s="702" t="str">
        <f t="shared" si="35"/>
        <v>.</v>
      </c>
      <c r="AE39" s="702" t="str">
        <f t="shared" si="36"/>
        <v>.</v>
      </c>
      <c r="AF39" s="702" t="str">
        <f t="shared" si="37"/>
        <v>.</v>
      </c>
      <c r="AG39" s="986" t="str">
        <f t="shared" si="38"/>
        <v>.</v>
      </c>
      <c r="AH39" s="3"/>
      <c r="AI39" s="699" t="str">
        <f>IF(S39=".",".",SUM($S39:S39))</f>
        <v>.</v>
      </c>
      <c r="AJ39" s="700" t="str">
        <f>IF(T39=".",".",SUM($S39:T39))</f>
        <v>.</v>
      </c>
      <c r="AK39" s="700" t="str">
        <f>IF(U39=".",".",SUM($S39:U39))</f>
        <v>.</v>
      </c>
      <c r="AL39" s="700" t="str">
        <f>IF(V39=".",".",SUM($S39:V39))</f>
        <v>.</v>
      </c>
      <c r="AM39" s="700" t="str">
        <f>IF(W39=".",".",SUM($S39:W39))</f>
        <v>.</v>
      </c>
      <c r="AN39" s="700" t="str">
        <f>IF(X39=".",".",SUM($S39:X39))</f>
        <v>.</v>
      </c>
      <c r="AO39" s="701" t="str">
        <f>IF(Y39=".",".",SUM($S39:Y39))</f>
        <v>.</v>
      </c>
      <c r="AP39" s="3"/>
      <c r="AQ39" s="985" t="str">
        <f t="shared" si="39"/>
        <v>.</v>
      </c>
      <c r="AR39" s="702" t="str">
        <f t="shared" si="40"/>
        <v>.</v>
      </c>
      <c r="AS39" s="702" t="str">
        <f t="shared" si="41"/>
        <v>.</v>
      </c>
      <c r="AT39" s="702" t="str">
        <f t="shared" si="42"/>
        <v>.</v>
      </c>
      <c r="AU39" s="702" t="str">
        <f t="shared" si="43"/>
        <v>.</v>
      </c>
      <c r="AV39" s="702" t="str">
        <f t="shared" si="44"/>
        <v>.</v>
      </c>
      <c r="AW39" s="986" t="str">
        <f t="shared" si="45"/>
        <v>.</v>
      </c>
      <c r="AX39" s="214"/>
      <c r="AY39" s="3"/>
      <c r="AZ39" s="3"/>
      <c r="BA39" s="3"/>
      <c r="BB39" s="3"/>
    </row>
    <row r="40" spans="1:54" ht="12" x14ac:dyDescent="0.25">
      <c r="A40" s="3"/>
      <c r="B40" s="212"/>
      <c r="C40" s="973" t="str">
        <f t="shared" si="23"/>
        <v>Residential</v>
      </c>
      <c r="D40" s="998" t="str">
        <f>IF('WK2 - Notional General Income'!D35="","",'WK2 - Notional General Income'!D35)</f>
        <v/>
      </c>
      <c r="E40" s="579"/>
      <c r="F40" s="579"/>
      <c r="G40" s="579"/>
      <c r="H40" s="579"/>
      <c r="I40" s="579"/>
      <c r="J40" s="580"/>
      <c r="K40" s="579"/>
      <c r="L40" s="579"/>
      <c r="M40" s="220"/>
      <c r="N40" s="3"/>
      <c r="O40" s="135"/>
      <c r="P40" s="96"/>
      <c r="Q40" s="3"/>
      <c r="R40" s="212"/>
      <c r="S40" s="699" t="str">
        <f t="shared" si="25"/>
        <v>.</v>
      </c>
      <c r="T40" s="700" t="str">
        <f t="shared" si="26"/>
        <v>.</v>
      </c>
      <c r="U40" s="700" t="str">
        <f t="shared" si="27"/>
        <v>.</v>
      </c>
      <c r="V40" s="700" t="str">
        <f t="shared" si="28"/>
        <v>.</v>
      </c>
      <c r="W40" s="700" t="str">
        <f t="shared" si="29"/>
        <v>.</v>
      </c>
      <c r="X40" s="700" t="str">
        <f t="shared" si="30"/>
        <v>.</v>
      </c>
      <c r="Y40" s="701" t="str">
        <f t="shared" si="31"/>
        <v>.</v>
      </c>
      <c r="Z40" s="3"/>
      <c r="AA40" s="985" t="str">
        <f t="shared" si="32"/>
        <v>.</v>
      </c>
      <c r="AB40" s="702" t="str">
        <f t="shared" si="33"/>
        <v>.</v>
      </c>
      <c r="AC40" s="702" t="str">
        <f t="shared" si="34"/>
        <v>.</v>
      </c>
      <c r="AD40" s="702" t="str">
        <f t="shared" si="35"/>
        <v>.</v>
      </c>
      <c r="AE40" s="702" t="str">
        <f t="shared" si="36"/>
        <v>.</v>
      </c>
      <c r="AF40" s="702" t="str">
        <f t="shared" si="37"/>
        <v>.</v>
      </c>
      <c r="AG40" s="986" t="str">
        <f t="shared" si="38"/>
        <v>.</v>
      </c>
      <c r="AH40" s="3"/>
      <c r="AI40" s="699" t="str">
        <f>IF(S40=".",".",SUM($S40:S40))</f>
        <v>.</v>
      </c>
      <c r="AJ40" s="700" t="str">
        <f>IF(T40=".",".",SUM($S40:T40))</f>
        <v>.</v>
      </c>
      <c r="AK40" s="700" t="str">
        <f>IF(U40=".",".",SUM($S40:U40))</f>
        <v>.</v>
      </c>
      <c r="AL40" s="700" t="str">
        <f>IF(V40=".",".",SUM($S40:V40))</f>
        <v>.</v>
      </c>
      <c r="AM40" s="700" t="str">
        <f>IF(W40=".",".",SUM($S40:W40))</f>
        <v>.</v>
      </c>
      <c r="AN40" s="700" t="str">
        <f>IF(X40=".",".",SUM($S40:X40))</f>
        <v>.</v>
      </c>
      <c r="AO40" s="701" t="str">
        <f>IF(Y40=".",".",SUM($S40:Y40))</f>
        <v>.</v>
      </c>
      <c r="AP40" s="3"/>
      <c r="AQ40" s="985" t="str">
        <f t="shared" si="39"/>
        <v>.</v>
      </c>
      <c r="AR40" s="702" t="str">
        <f t="shared" si="40"/>
        <v>.</v>
      </c>
      <c r="AS40" s="702" t="str">
        <f t="shared" si="41"/>
        <v>.</v>
      </c>
      <c r="AT40" s="702" t="str">
        <f t="shared" si="42"/>
        <v>.</v>
      </c>
      <c r="AU40" s="702" t="str">
        <f t="shared" si="43"/>
        <v>.</v>
      </c>
      <c r="AV40" s="702" t="str">
        <f t="shared" si="44"/>
        <v>.</v>
      </c>
      <c r="AW40" s="986" t="str">
        <f t="shared" si="45"/>
        <v>.</v>
      </c>
      <c r="AX40" s="214"/>
      <c r="AY40" s="3"/>
      <c r="AZ40" s="3"/>
      <c r="BA40" s="3"/>
      <c r="BB40" s="3"/>
    </row>
    <row r="41" spans="1:54" ht="12" x14ac:dyDescent="0.25">
      <c r="A41" s="3"/>
      <c r="B41" s="212"/>
      <c r="C41" s="973" t="str">
        <f t="shared" si="23"/>
        <v>Residential</v>
      </c>
      <c r="D41" s="998" t="str">
        <f>IF('WK2 - Notional General Income'!D36="","",'WK2 - Notional General Income'!D36)</f>
        <v/>
      </c>
      <c r="E41" s="579"/>
      <c r="F41" s="579"/>
      <c r="G41" s="579"/>
      <c r="H41" s="579"/>
      <c r="I41" s="579"/>
      <c r="J41" s="580"/>
      <c r="K41" s="579"/>
      <c r="L41" s="579"/>
      <c r="M41" s="220"/>
      <c r="N41" s="3"/>
      <c r="O41" s="135"/>
      <c r="P41" s="96"/>
      <c r="Q41" s="3"/>
      <c r="R41" s="212"/>
      <c r="S41" s="699" t="str">
        <f t="shared" si="25"/>
        <v>.</v>
      </c>
      <c r="T41" s="700" t="str">
        <f t="shared" si="26"/>
        <v>.</v>
      </c>
      <c r="U41" s="700" t="str">
        <f t="shared" si="27"/>
        <v>.</v>
      </c>
      <c r="V41" s="700" t="str">
        <f t="shared" si="28"/>
        <v>.</v>
      </c>
      <c r="W41" s="700" t="str">
        <f t="shared" si="29"/>
        <v>.</v>
      </c>
      <c r="X41" s="700" t="str">
        <f t="shared" si="30"/>
        <v>.</v>
      </c>
      <c r="Y41" s="701" t="str">
        <f t="shared" si="31"/>
        <v>.</v>
      </c>
      <c r="Z41" s="3"/>
      <c r="AA41" s="985" t="str">
        <f t="shared" si="32"/>
        <v>.</v>
      </c>
      <c r="AB41" s="702" t="str">
        <f t="shared" si="33"/>
        <v>.</v>
      </c>
      <c r="AC41" s="702" t="str">
        <f t="shared" si="34"/>
        <v>.</v>
      </c>
      <c r="AD41" s="702" t="str">
        <f t="shared" si="35"/>
        <v>.</v>
      </c>
      <c r="AE41" s="702" t="str">
        <f t="shared" si="36"/>
        <v>.</v>
      </c>
      <c r="AF41" s="702" t="str">
        <f t="shared" si="37"/>
        <v>.</v>
      </c>
      <c r="AG41" s="986" t="str">
        <f t="shared" si="38"/>
        <v>.</v>
      </c>
      <c r="AH41" s="3"/>
      <c r="AI41" s="699" t="str">
        <f>IF(S41=".",".",SUM($S41:S41))</f>
        <v>.</v>
      </c>
      <c r="AJ41" s="700" t="str">
        <f>IF(T41=".",".",SUM($S41:T41))</f>
        <v>.</v>
      </c>
      <c r="AK41" s="700" t="str">
        <f>IF(U41=".",".",SUM($S41:U41))</f>
        <v>.</v>
      </c>
      <c r="AL41" s="700" t="str">
        <f>IF(V41=".",".",SUM($S41:V41))</f>
        <v>.</v>
      </c>
      <c r="AM41" s="700" t="str">
        <f>IF(W41=".",".",SUM($S41:W41))</f>
        <v>.</v>
      </c>
      <c r="AN41" s="700" t="str">
        <f>IF(X41=".",".",SUM($S41:X41))</f>
        <v>.</v>
      </c>
      <c r="AO41" s="701" t="str">
        <f>IF(Y41=".",".",SUM($S41:Y41))</f>
        <v>.</v>
      </c>
      <c r="AP41" s="3"/>
      <c r="AQ41" s="985" t="str">
        <f t="shared" si="39"/>
        <v>.</v>
      </c>
      <c r="AR41" s="702" t="str">
        <f t="shared" si="40"/>
        <v>.</v>
      </c>
      <c r="AS41" s="702" t="str">
        <f t="shared" si="41"/>
        <v>.</v>
      </c>
      <c r="AT41" s="702" t="str">
        <f t="shared" si="42"/>
        <v>.</v>
      </c>
      <c r="AU41" s="702" t="str">
        <f t="shared" si="43"/>
        <v>.</v>
      </c>
      <c r="AV41" s="702" t="str">
        <f t="shared" si="44"/>
        <v>.</v>
      </c>
      <c r="AW41" s="986" t="str">
        <f t="shared" si="45"/>
        <v>.</v>
      </c>
      <c r="AX41" s="214"/>
      <c r="AY41" s="3"/>
      <c r="AZ41" s="3"/>
      <c r="BA41" s="3"/>
      <c r="BB41" s="3"/>
    </row>
    <row r="42" spans="1:54" ht="12" x14ac:dyDescent="0.25">
      <c r="A42" s="3"/>
      <c r="B42" s="212"/>
      <c r="C42" s="973" t="str">
        <f t="shared" si="23"/>
        <v>Residential</v>
      </c>
      <c r="D42" s="998" t="str">
        <f>IF('WK2 - Notional General Income'!D37="","",'WK2 - Notional General Income'!D37)</f>
        <v/>
      </c>
      <c r="E42" s="579"/>
      <c r="F42" s="579"/>
      <c r="G42" s="579"/>
      <c r="H42" s="579"/>
      <c r="I42" s="579"/>
      <c r="J42" s="580"/>
      <c r="K42" s="579"/>
      <c r="L42" s="579"/>
      <c r="M42" s="220"/>
      <c r="N42" s="3"/>
      <c r="O42" s="135"/>
      <c r="P42" s="96"/>
      <c r="Q42" s="3"/>
      <c r="R42" s="212"/>
      <c r="S42" s="699" t="str">
        <f t="shared" si="25"/>
        <v>.</v>
      </c>
      <c r="T42" s="700" t="str">
        <f t="shared" si="26"/>
        <v>.</v>
      </c>
      <c r="U42" s="700" t="str">
        <f t="shared" si="27"/>
        <v>.</v>
      </c>
      <c r="V42" s="700" t="str">
        <f t="shared" si="28"/>
        <v>.</v>
      </c>
      <c r="W42" s="700" t="str">
        <f t="shared" si="29"/>
        <v>.</v>
      </c>
      <c r="X42" s="700" t="str">
        <f t="shared" si="30"/>
        <v>.</v>
      </c>
      <c r="Y42" s="701" t="str">
        <f t="shared" si="31"/>
        <v>.</v>
      </c>
      <c r="Z42" s="3"/>
      <c r="AA42" s="985" t="str">
        <f t="shared" si="32"/>
        <v>.</v>
      </c>
      <c r="AB42" s="702" t="str">
        <f t="shared" si="33"/>
        <v>.</v>
      </c>
      <c r="AC42" s="702" t="str">
        <f t="shared" si="34"/>
        <v>.</v>
      </c>
      <c r="AD42" s="702" t="str">
        <f t="shared" si="35"/>
        <v>.</v>
      </c>
      <c r="AE42" s="702" t="str">
        <f t="shared" si="36"/>
        <v>.</v>
      </c>
      <c r="AF42" s="702" t="str">
        <f t="shared" si="37"/>
        <v>.</v>
      </c>
      <c r="AG42" s="986" t="str">
        <f t="shared" si="38"/>
        <v>.</v>
      </c>
      <c r="AH42" s="3"/>
      <c r="AI42" s="699" t="str">
        <f>IF(S42=".",".",SUM($S42:S42))</f>
        <v>.</v>
      </c>
      <c r="AJ42" s="700" t="str">
        <f>IF(T42=".",".",SUM($S42:T42))</f>
        <v>.</v>
      </c>
      <c r="AK42" s="700" t="str">
        <f>IF(U42=".",".",SUM($S42:U42))</f>
        <v>.</v>
      </c>
      <c r="AL42" s="700" t="str">
        <f>IF(V42=".",".",SUM($S42:V42))</f>
        <v>.</v>
      </c>
      <c r="AM42" s="700" t="str">
        <f>IF(W42=".",".",SUM($S42:W42))</f>
        <v>.</v>
      </c>
      <c r="AN42" s="700" t="str">
        <f>IF(X42=".",".",SUM($S42:X42))</f>
        <v>.</v>
      </c>
      <c r="AO42" s="701" t="str">
        <f>IF(Y42=".",".",SUM($S42:Y42))</f>
        <v>.</v>
      </c>
      <c r="AP42" s="3"/>
      <c r="AQ42" s="985" t="str">
        <f t="shared" si="39"/>
        <v>.</v>
      </c>
      <c r="AR42" s="702" t="str">
        <f t="shared" si="40"/>
        <v>.</v>
      </c>
      <c r="AS42" s="702" t="str">
        <f t="shared" si="41"/>
        <v>.</v>
      </c>
      <c r="AT42" s="702" t="str">
        <f t="shared" si="42"/>
        <v>.</v>
      </c>
      <c r="AU42" s="702" t="str">
        <f t="shared" si="43"/>
        <v>.</v>
      </c>
      <c r="AV42" s="702" t="str">
        <f t="shared" si="44"/>
        <v>.</v>
      </c>
      <c r="AW42" s="986" t="str">
        <f t="shared" si="45"/>
        <v>.</v>
      </c>
      <c r="AX42" s="214"/>
      <c r="AY42" s="3"/>
      <c r="AZ42" s="3"/>
      <c r="BA42" s="3"/>
      <c r="BB42" s="3"/>
    </row>
    <row r="43" spans="1:54" ht="12" x14ac:dyDescent="0.25">
      <c r="A43" s="3"/>
      <c r="B43" s="212"/>
      <c r="C43" s="973" t="str">
        <f t="shared" si="23"/>
        <v>Residential</v>
      </c>
      <c r="D43" s="998" t="str">
        <f>IF('WK2 - Notional General Income'!D38="","",'WK2 - Notional General Income'!D38)</f>
        <v/>
      </c>
      <c r="E43" s="579"/>
      <c r="F43" s="579"/>
      <c r="G43" s="579"/>
      <c r="H43" s="579"/>
      <c r="I43" s="579"/>
      <c r="J43" s="580"/>
      <c r="K43" s="579"/>
      <c r="L43" s="579"/>
      <c r="M43" s="220"/>
      <c r="N43" s="3"/>
      <c r="O43" s="135"/>
      <c r="P43" s="96"/>
      <c r="Q43" s="3"/>
      <c r="R43" s="212"/>
      <c r="S43" s="699" t="str">
        <f t="shared" si="25"/>
        <v>.</v>
      </c>
      <c r="T43" s="700" t="str">
        <f t="shared" si="26"/>
        <v>.</v>
      </c>
      <c r="U43" s="700" t="str">
        <f t="shared" si="27"/>
        <v>.</v>
      </c>
      <c r="V43" s="700" t="str">
        <f t="shared" si="28"/>
        <v>.</v>
      </c>
      <c r="W43" s="700" t="str">
        <f t="shared" si="29"/>
        <v>.</v>
      </c>
      <c r="X43" s="700" t="str">
        <f t="shared" si="30"/>
        <v>.</v>
      </c>
      <c r="Y43" s="701" t="str">
        <f t="shared" si="31"/>
        <v>.</v>
      </c>
      <c r="Z43" s="3"/>
      <c r="AA43" s="985" t="str">
        <f t="shared" si="32"/>
        <v>.</v>
      </c>
      <c r="AB43" s="702" t="str">
        <f t="shared" si="33"/>
        <v>.</v>
      </c>
      <c r="AC43" s="702" t="str">
        <f t="shared" si="34"/>
        <v>.</v>
      </c>
      <c r="AD43" s="702" t="str">
        <f t="shared" si="35"/>
        <v>.</v>
      </c>
      <c r="AE43" s="702" t="str">
        <f t="shared" si="36"/>
        <v>.</v>
      </c>
      <c r="AF43" s="702" t="str">
        <f t="shared" si="37"/>
        <v>.</v>
      </c>
      <c r="AG43" s="986" t="str">
        <f t="shared" si="38"/>
        <v>.</v>
      </c>
      <c r="AH43" s="3"/>
      <c r="AI43" s="699" t="str">
        <f>IF(S43=".",".",SUM($S43:S43))</f>
        <v>.</v>
      </c>
      <c r="AJ43" s="700" t="str">
        <f>IF(T43=".",".",SUM($S43:T43))</f>
        <v>.</v>
      </c>
      <c r="AK43" s="700" t="str">
        <f>IF(U43=".",".",SUM($S43:U43))</f>
        <v>.</v>
      </c>
      <c r="AL43" s="700" t="str">
        <f>IF(V43=".",".",SUM($S43:V43))</f>
        <v>.</v>
      </c>
      <c r="AM43" s="700" t="str">
        <f>IF(W43=".",".",SUM($S43:W43))</f>
        <v>.</v>
      </c>
      <c r="AN43" s="700" t="str">
        <f>IF(X43=".",".",SUM($S43:X43))</f>
        <v>.</v>
      </c>
      <c r="AO43" s="701" t="str">
        <f>IF(Y43=".",".",SUM($S43:Y43))</f>
        <v>.</v>
      </c>
      <c r="AP43" s="3"/>
      <c r="AQ43" s="985" t="str">
        <f t="shared" si="39"/>
        <v>.</v>
      </c>
      <c r="AR43" s="702" t="str">
        <f t="shared" si="40"/>
        <v>.</v>
      </c>
      <c r="AS43" s="702" t="str">
        <f t="shared" si="41"/>
        <v>.</v>
      </c>
      <c r="AT43" s="702" t="str">
        <f t="shared" si="42"/>
        <v>.</v>
      </c>
      <c r="AU43" s="702" t="str">
        <f t="shared" si="43"/>
        <v>.</v>
      </c>
      <c r="AV43" s="702" t="str">
        <f t="shared" si="44"/>
        <v>.</v>
      </c>
      <c r="AW43" s="986" t="str">
        <f t="shared" si="45"/>
        <v>.</v>
      </c>
      <c r="AX43" s="214"/>
      <c r="AY43" s="3"/>
      <c r="AZ43" s="3"/>
      <c r="BA43" s="3"/>
      <c r="BB43" s="3"/>
    </row>
    <row r="44" spans="1:54" ht="12" x14ac:dyDescent="0.25">
      <c r="A44" s="3"/>
      <c r="B44" s="212"/>
      <c r="C44" s="584"/>
      <c r="D44" s="584"/>
      <c r="E44" s="584"/>
      <c r="F44" s="584"/>
      <c r="G44" s="584"/>
      <c r="H44" s="584"/>
      <c r="I44" s="584"/>
      <c r="J44" s="584"/>
      <c r="K44" s="584"/>
      <c r="L44" s="584"/>
      <c r="M44" s="220"/>
      <c r="N44" s="3"/>
      <c r="O44" s="135"/>
      <c r="P44" s="96"/>
      <c r="Q44" s="3"/>
      <c r="R44" s="212"/>
      <c r="S44" s="699"/>
      <c r="T44" s="700"/>
      <c r="U44" s="700"/>
      <c r="V44" s="700"/>
      <c r="W44" s="700"/>
      <c r="X44" s="700"/>
      <c r="Y44" s="701"/>
      <c r="Z44" s="3"/>
      <c r="AA44" s="985"/>
      <c r="AB44" s="702"/>
      <c r="AC44" s="702"/>
      <c r="AD44" s="702"/>
      <c r="AE44" s="702"/>
      <c r="AF44" s="702"/>
      <c r="AG44" s="986"/>
      <c r="AH44" s="3"/>
      <c r="AI44" s="699"/>
      <c r="AJ44" s="700"/>
      <c r="AK44" s="700"/>
      <c r="AL44" s="700"/>
      <c r="AM44" s="700"/>
      <c r="AN44" s="700"/>
      <c r="AO44" s="701"/>
      <c r="AP44" s="3"/>
      <c r="AQ44" s="985"/>
      <c r="AR44" s="702"/>
      <c r="AS44" s="702"/>
      <c r="AT44" s="702"/>
      <c r="AU44" s="702"/>
      <c r="AV44" s="702"/>
      <c r="AW44" s="986"/>
      <c r="AX44" s="214"/>
      <c r="AY44" s="3"/>
      <c r="AZ44" s="3"/>
      <c r="BA44" s="3"/>
      <c r="BB44" s="3"/>
    </row>
    <row r="45" spans="1:54" ht="12" x14ac:dyDescent="0.25">
      <c r="A45" s="3"/>
      <c r="B45" s="212"/>
      <c r="C45" s="973" t="str">
        <f>'WK3 - Notional GI Yr1 YIELD'!C40</f>
        <v>Business</v>
      </c>
      <c r="D45" s="998" t="str">
        <f>IF('WK2 - Notional General Income'!D40="","",'WK2 - Notional General Income'!D40)</f>
        <v>Business</v>
      </c>
      <c r="E45" s="579">
        <v>625</v>
      </c>
      <c r="F45" s="579">
        <v>678</v>
      </c>
      <c r="G45" s="579">
        <v>729</v>
      </c>
      <c r="H45" s="579">
        <v>776</v>
      </c>
      <c r="I45" s="579">
        <v>819</v>
      </c>
      <c r="J45" s="580">
        <v>840</v>
      </c>
      <c r="K45" s="579">
        <v>861</v>
      </c>
      <c r="L45" s="579">
        <v>882</v>
      </c>
      <c r="M45" s="220"/>
      <c r="N45" s="3"/>
      <c r="O45" s="135"/>
      <c r="P45" s="96"/>
      <c r="Q45" s="3"/>
      <c r="R45" s="212"/>
      <c r="S45" s="699">
        <f t="shared" si="25"/>
        <v>53</v>
      </c>
      <c r="T45" s="700">
        <f t="shared" si="26"/>
        <v>51</v>
      </c>
      <c r="U45" s="700">
        <f t="shared" si="27"/>
        <v>47</v>
      </c>
      <c r="V45" s="700">
        <f t="shared" si="28"/>
        <v>43</v>
      </c>
      <c r="W45" s="700">
        <f t="shared" si="29"/>
        <v>21</v>
      </c>
      <c r="X45" s="700">
        <f t="shared" si="30"/>
        <v>21</v>
      </c>
      <c r="Y45" s="701">
        <f t="shared" si="31"/>
        <v>21</v>
      </c>
      <c r="Z45" s="3"/>
      <c r="AA45" s="985">
        <f t="shared" si="32"/>
        <v>8.4799999999999986E-2</v>
      </c>
      <c r="AB45" s="702">
        <f t="shared" si="33"/>
        <v>7.5221238938053103E-2</v>
      </c>
      <c r="AC45" s="702">
        <f t="shared" si="34"/>
        <v>6.4471879286694067E-2</v>
      </c>
      <c r="AD45" s="702">
        <f t="shared" si="35"/>
        <v>5.5412371134020644E-2</v>
      </c>
      <c r="AE45" s="702">
        <f t="shared" si="36"/>
        <v>2.564102564102555E-2</v>
      </c>
      <c r="AF45" s="702">
        <f t="shared" si="37"/>
        <v>2.4999999999999911E-2</v>
      </c>
      <c r="AG45" s="986">
        <f t="shared" si="38"/>
        <v>2.4390243902439046E-2</v>
      </c>
      <c r="AH45" s="3"/>
      <c r="AI45" s="699">
        <f>IF(S45=".",".",SUM($S45:S45))</f>
        <v>53</v>
      </c>
      <c r="AJ45" s="700">
        <f>IF(T45=".",".",SUM($S45:T45))</f>
        <v>104</v>
      </c>
      <c r="AK45" s="700">
        <f>IF(U45=".",".",SUM($S45:U45))</f>
        <v>151</v>
      </c>
      <c r="AL45" s="700">
        <f>IF(V45=".",".",SUM($S45:V45))</f>
        <v>194</v>
      </c>
      <c r="AM45" s="700">
        <f>IF(W45=".",".",SUM($S45:W45))</f>
        <v>215</v>
      </c>
      <c r="AN45" s="700">
        <f>IF(X45=".",".",SUM($S45:X45))</f>
        <v>236</v>
      </c>
      <c r="AO45" s="701">
        <f>IF(Y45=".",".",SUM($S45:Y45))</f>
        <v>257</v>
      </c>
      <c r="AP45" s="3"/>
      <c r="AQ45" s="985">
        <f t="shared" si="39"/>
        <v>8.4799999999999986E-2</v>
      </c>
      <c r="AR45" s="702">
        <f t="shared" si="40"/>
        <v>0.1664000000000001</v>
      </c>
      <c r="AS45" s="702">
        <f t="shared" si="41"/>
        <v>0.24160000000000004</v>
      </c>
      <c r="AT45" s="702">
        <f t="shared" si="42"/>
        <v>0.31040000000000001</v>
      </c>
      <c r="AU45" s="702">
        <f t="shared" si="43"/>
        <v>0.34400000000000008</v>
      </c>
      <c r="AV45" s="702">
        <f t="shared" si="44"/>
        <v>0.37759999999999994</v>
      </c>
      <c r="AW45" s="986">
        <f t="shared" si="45"/>
        <v>0.41120000000000001</v>
      </c>
      <c r="AX45" s="214"/>
      <c r="AY45" s="3"/>
      <c r="AZ45" s="3"/>
      <c r="BA45" s="3"/>
      <c r="BB45" s="3"/>
    </row>
    <row r="46" spans="1:54" ht="12" x14ac:dyDescent="0.25">
      <c r="A46" s="3"/>
      <c r="B46" s="212"/>
      <c r="C46" s="973" t="str">
        <f>C45</f>
        <v>Business</v>
      </c>
      <c r="D46" s="998" t="str">
        <f>IF('WK2 - Notional General Income'!D41="","",'WK2 - Notional General Income'!D41)</f>
        <v>Hornsby CBD</v>
      </c>
      <c r="E46" s="579">
        <v>625</v>
      </c>
      <c r="F46" s="579">
        <v>678</v>
      </c>
      <c r="G46" s="579">
        <v>729</v>
      </c>
      <c r="H46" s="579">
        <v>776</v>
      </c>
      <c r="I46" s="579">
        <v>819</v>
      </c>
      <c r="J46" s="580">
        <v>840</v>
      </c>
      <c r="K46" s="579">
        <v>861</v>
      </c>
      <c r="L46" s="579">
        <v>882</v>
      </c>
      <c r="M46" s="220"/>
      <c r="N46" s="3"/>
      <c r="O46" s="135"/>
      <c r="P46" s="96"/>
      <c r="Q46" s="3"/>
      <c r="R46" s="212"/>
      <c r="S46" s="699">
        <f t="shared" si="25"/>
        <v>53</v>
      </c>
      <c r="T46" s="700">
        <f t="shared" si="26"/>
        <v>51</v>
      </c>
      <c r="U46" s="700">
        <f t="shared" si="27"/>
        <v>47</v>
      </c>
      <c r="V46" s="700">
        <f t="shared" si="28"/>
        <v>43</v>
      </c>
      <c r="W46" s="700">
        <f t="shared" si="29"/>
        <v>21</v>
      </c>
      <c r="X46" s="700">
        <f t="shared" si="30"/>
        <v>21</v>
      </c>
      <c r="Y46" s="701">
        <f t="shared" si="31"/>
        <v>21</v>
      </c>
      <c r="Z46" s="3"/>
      <c r="AA46" s="985">
        <f t="shared" si="32"/>
        <v>8.4799999999999986E-2</v>
      </c>
      <c r="AB46" s="702">
        <f t="shared" si="33"/>
        <v>7.5221238938053103E-2</v>
      </c>
      <c r="AC46" s="702">
        <f t="shared" si="34"/>
        <v>6.4471879286694067E-2</v>
      </c>
      <c r="AD46" s="702">
        <f t="shared" si="35"/>
        <v>5.5412371134020644E-2</v>
      </c>
      <c r="AE46" s="702">
        <f t="shared" si="36"/>
        <v>2.564102564102555E-2</v>
      </c>
      <c r="AF46" s="702">
        <f t="shared" si="37"/>
        <v>2.4999999999999911E-2</v>
      </c>
      <c r="AG46" s="986">
        <f t="shared" si="38"/>
        <v>2.4390243902439046E-2</v>
      </c>
      <c r="AH46" s="3"/>
      <c r="AI46" s="699">
        <f>IF(S46=".",".",SUM($S46:S46))</f>
        <v>53</v>
      </c>
      <c r="AJ46" s="700">
        <f>IF(T46=".",".",SUM($S46:T46))</f>
        <v>104</v>
      </c>
      <c r="AK46" s="700">
        <f>IF(U46=".",".",SUM($S46:U46))</f>
        <v>151</v>
      </c>
      <c r="AL46" s="700">
        <f>IF(V46=".",".",SUM($S46:V46))</f>
        <v>194</v>
      </c>
      <c r="AM46" s="700">
        <f>IF(W46=".",".",SUM($S46:W46))</f>
        <v>215</v>
      </c>
      <c r="AN46" s="700">
        <f>IF(X46=".",".",SUM($S46:X46))</f>
        <v>236</v>
      </c>
      <c r="AO46" s="701">
        <f>IF(Y46=".",".",SUM($S46:Y46))</f>
        <v>257</v>
      </c>
      <c r="AP46" s="3"/>
      <c r="AQ46" s="985">
        <f t="shared" si="39"/>
        <v>8.4799999999999986E-2</v>
      </c>
      <c r="AR46" s="702">
        <f t="shared" si="40"/>
        <v>0.1664000000000001</v>
      </c>
      <c r="AS46" s="702">
        <f t="shared" si="41"/>
        <v>0.24160000000000004</v>
      </c>
      <c r="AT46" s="702">
        <f t="shared" si="42"/>
        <v>0.31040000000000001</v>
      </c>
      <c r="AU46" s="702">
        <f t="shared" si="43"/>
        <v>0.34400000000000008</v>
      </c>
      <c r="AV46" s="702">
        <f t="shared" si="44"/>
        <v>0.37759999999999994</v>
      </c>
      <c r="AW46" s="986">
        <f t="shared" si="45"/>
        <v>0.41120000000000001</v>
      </c>
      <c r="AX46" s="214"/>
      <c r="AY46" s="3"/>
      <c r="AZ46" s="3"/>
      <c r="BA46" s="3"/>
      <c r="BB46" s="3"/>
    </row>
    <row r="47" spans="1:54" ht="12" x14ac:dyDescent="0.25">
      <c r="A47" s="3"/>
      <c r="B47" s="212"/>
      <c r="C47" s="973" t="str">
        <f t="shared" ref="C47:C69" si="46">C46</f>
        <v>Business</v>
      </c>
      <c r="D47" s="998" t="str">
        <f>IF('WK2 - Notional General Income'!D42="","",'WK2 - Notional General Income'!D42)</f>
        <v>Shopping Centre</v>
      </c>
      <c r="E47" s="579"/>
      <c r="F47" s="579"/>
      <c r="G47" s="579"/>
      <c r="H47" s="579"/>
      <c r="I47" s="579"/>
      <c r="J47" s="580"/>
      <c r="K47" s="579"/>
      <c r="L47" s="579"/>
      <c r="M47" s="220"/>
      <c r="N47" s="3"/>
      <c r="O47" s="135"/>
      <c r="P47" s="96"/>
      <c r="Q47" s="3"/>
      <c r="R47" s="212"/>
      <c r="S47" s="699" t="str">
        <f t="shared" si="25"/>
        <v>.</v>
      </c>
      <c r="T47" s="700" t="str">
        <f t="shared" si="26"/>
        <v>.</v>
      </c>
      <c r="U47" s="700" t="str">
        <f t="shared" si="27"/>
        <v>.</v>
      </c>
      <c r="V47" s="700" t="str">
        <f t="shared" si="28"/>
        <v>.</v>
      </c>
      <c r="W47" s="700" t="str">
        <f t="shared" si="29"/>
        <v>.</v>
      </c>
      <c r="X47" s="700" t="str">
        <f t="shared" si="30"/>
        <v>.</v>
      </c>
      <c r="Y47" s="701" t="str">
        <f t="shared" si="31"/>
        <v>.</v>
      </c>
      <c r="Z47" s="3"/>
      <c r="AA47" s="985" t="str">
        <f t="shared" si="32"/>
        <v>.</v>
      </c>
      <c r="AB47" s="702" t="str">
        <f t="shared" si="33"/>
        <v>.</v>
      </c>
      <c r="AC47" s="702" t="str">
        <f t="shared" si="34"/>
        <v>.</v>
      </c>
      <c r="AD47" s="702" t="str">
        <f t="shared" si="35"/>
        <v>.</v>
      </c>
      <c r="AE47" s="702" t="str">
        <f t="shared" si="36"/>
        <v>.</v>
      </c>
      <c r="AF47" s="702" t="str">
        <f t="shared" si="37"/>
        <v>.</v>
      </c>
      <c r="AG47" s="986" t="str">
        <f t="shared" si="38"/>
        <v>.</v>
      </c>
      <c r="AH47" s="3"/>
      <c r="AI47" s="699" t="str">
        <f>IF(S47=".",".",SUM($S47:S47))</f>
        <v>.</v>
      </c>
      <c r="AJ47" s="700" t="str">
        <f>IF(T47=".",".",SUM($S47:T47))</f>
        <v>.</v>
      </c>
      <c r="AK47" s="700" t="str">
        <f>IF(U47=".",".",SUM($S47:U47))</f>
        <v>.</v>
      </c>
      <c r="AL47" s="700" t="str">
        <f>IF(V47=".",".",SUM($S47:V47))</f>
        <v>.</v>
      </c>
      <c r="AM47" s="700" t="str">
        <f>IF(W47=".",".",SUM($S47:W47))</f>
        <v>.</v>
      </c>
      <c r="AN47" s="700" t="str">
        <f>IF(X47=".",".",SUM($S47:X47))</f>
        <v>.</v>
      </c>
      <c r="AO47" s="701" t="str">
        <f>IF(Y47=".",".",SUM($S47:Y47))</f>
        <v>.</v>
      </c>
      <c r="AP47" s="3"/>
      <c r="AQ47" s="985" t="str">
        <f t="shared" si="39"/>
        <v>.</v>
      </c>
      <c r="AR47" s="702" t="str">
        <f t="shared" si="40"/>
        <v>.</v>
      </c>
      <c r="AS47" s="702" t="str">
        <f t="shared" si="41"/>
        <v>.</v>
      </c>
      <c r="AT47" s="702" t="str">
        <f t="shared" si="42"/>
        <v>.</v>
      </c>
      <c r="AU47" s="702" t="str">
        <f t="shared" si="43"/>
        <v>.</v>
      </c>
      <c r="AV47" s="702" t="str">
        <f t="shared" si="44"/>
        <v>.</v>
      </c>
      <c r="AW47" s="986" t="str">
        <f t="shared" si="45"/>
        <v>.</v>
      </c>
      <c r="AX47" s="214"/>
      <c r="AY47" s="3"/>
      <c r="AZ47" s="3"/>
      <c r="BA47" s="3"/>
      <c r="BB47" s="3"/>
    </row>
    <row r="48" spans="1:54" ht="12" x14ac:dyDescent="0.25">
      <c r="A48" s="3"/>
      <c r="B48" s="212"/>
      <c r="C48" s="973" t="str">
        <f t="shared" si="46"/>
        <v>Business</v>
      </c>
      <c r="D48" s="998" t="str">
        <f>IF('WK2 - Notional General Income'!D43="","",'WK2 - Notional General Income'!D43)</f>
        <v/>
      </c>
      <c r="E48" s="579"/>
      <c r="F48" s="579"/>
      <c r="G48" s="579"/>
      <c r="H48" s="579"/>
      <c r="I48" s="579"/>
      <c r="J48" s="580"/>
      <c r="K48" s="579"/>
      <c r="L48" s="579"/>
      <c r="M48" s="220"/>
      <c r="N48" s="3"/>
      <c r="O48" s="135"/>
      <c r="P48" s="96"/>
      <c r="Q48" s="3"/>
      <c r="R48" s="212"/>
      <c r="S48" s="699" t="str">
        <f t="shared" si="25"/>
        <v>.</v>
      </c>
      <c r="T48" s="700" t="str">
        <f t="shared" si="26"/>
        <v>.</v>
      </c>
      <c r="U48" s="700" t="str">
        <f t="shared" si="27"/>
        <v>.</v>
      </c>
      <c r="V48" s="700" t="str">
        <f t="shared" si="28"/>
        <v>.</v>
      </c>
      <c r="W48" s="700" t="str">
        <f t="shared" si="29"/>
        <v>.</v>
      </c>
      <c r="X48" s="700" t="str">
        <f t="shared" si="30"/>
        <v>.</v>
      </c>
      <c r="Y48" s="701" t="str">
        <f t="shared" si="31"/>
        <v>.</v>
      </c>
      <c r="Z48" s="3"/>
      <c r="AA48" s="985" t="str">
        <f t="shared" si="32"/>
        <v>.</v>
      </c>
      <c r="AB48" s="702" t="str">
        <f t="shared" si="33"/>
        <v>.</v>
      </c>
      <c r="AC48" s="702" t="str">
        <f t="shared" si="34"/>
        <v>.</v>
      </c>
      <c r="AD48" s="702" t="str">
        <f t="shared" si="35"/>
        <v>.</v>
      </c>
      <c r="AE48" s="702" t="str">
        <f t="shared" si="36"/>
        <v>.</v>
      </c>
      <c r="AF48" s="702" t="str">
        <f t="shared" si="37"/>
        <v>.</v>
      </c>
      <c r="AG48" s="986" t="str">
        <f t="shared" si="38"/>
        <v>.</v>
      </c>
      <c r="AH48" s="3"/>
      <c r="AI48" s="699" t="str">
        <f>IF(S48=".",".",SUM($S48:S48))</f>
        <v>.</v>
      </c>
      <c r="AJ48" s="700" t="str">
        <f>IF(T48=".",".",SUM($S48:T48))</f>
        <v>.</v>
      </c>
      <c r="AK48" s="700" t="str">
        <f>IF(U48=".",".",SUM($S48:U48))</f>
        <v>.</v>
      </c>
      <c r="AL48" s="700" t="str">
        <f>IF(V48=".",".",SUM($S48:V48))</f>
        <v>.</v>
      </c>
      <c r="AM48" s="700" t="str">
        <f>IF(W48=".",".",SUM($S48:W48))</f>
        <v>.</v>
      </c>
      <c r="AN48" s="700" t="str">
        <f>IF(X48=".",".",SUM($S48:X48))</f>
        <v>.</v>
      </c>
      <c r="AO48" s="701" t="str">
        <f>IF(Y48=".",".",SUM($S48:Y48))</f>
        <v>.</v>
      </c>
      <c r="AP48" s="3"/>
      <c r="AQ48" s="985" t="str">
        <f t="shared" si="39"/>
        <v>.</v>
      </c>
      <c r="AR48" s="702" t="str">
        <f t="shared" si="40"/>
        <v>.</v>
      </c>
      <c r="AS48" s="702" t="str">
        <f t="shared" si="41"/>
        <v>.</v>
      </c>
      <c r="AT48" s="702" t="str">
        <f t="shared" si="42"/>
        <v>.</v>
      </c>
      <c r="AU48" s="702" t="str">
        <f t="shared" si="43"/>
        <v>.</v>
      </c>
      <c r="AV48" s="702" t="str">
        <f t="shared" si="44"/>
        <v>.</v>
      </c>
      <c r="AW48" s="986" t="str">
        <f t="shared" si="45"/>
        <v>.</v>
      </c>
      <c r="AX48" s="214"/>
      <c r="AY48" s="3"/>
      <c r="AZ48" s="3"/>
      <c r="BA48" s="3"/>
      <c r="BB48" s="3"/>
    </row>
    <row r="49" spans="1:54" ht="12" x14ac:dyDescent="0.25">
      <c r="A49" s="3"/>
      <c r="B49" s="212"/>
      <c r="C49" s="973" t="str">
        <f t="shared" si="46"/>
        <v>Business</v>
      </c>
      <c r="D49" s="998" t="str">
        <f>IF('WK2 - Notional General Income'!D44="","",'WK2 - Notional General Income'!D44)</f>
        <v/>
      </c>
      <c r="E49" s="579"/>
      <c r="F49" s="579"/>
      <c r="G49" s="579"/>
      <c r="H49" s="579"/>
      <c r="I49" s="579"/>
      <c r="J49" s="580"/>
      <c r="K49" s="579"/>
      <c r="L49" s="579"/>
      <c r="M49" s="220"/>
      <c r="N49" s="3"/>
      <c r="O49" s="135"/>
      <c r="P49" s="96"/>
      <c r="Q49" s="3"/>
      <c r="R49" s="212"/>
      <c r="S49" s="699" t="str">
        <f t="shared" si="25"/>
        <v>.</v>
      </c>
      <c r="T49" s="700" t="str">
        <f t="shared" si="26"/>
        <v>.</v>
      </c>
      <c r="U49" s="700" t="str">
        <f t="shared" si="27"/>
        <v>.</v>
      </c>
      <c r="V49" s="700" t="str">
        <f t="shared" si="28"/>
        <v>.</v>
      </c>
      <c r="W49" s="700" t="str">
        <f t="shared" si="29"/>
        <v>.</v>
      </c>
      <c r="X49" s="700" t="str">
        <f t="shared" si="30"/>
        <v>.</v>
      </c>
      <c r="Y49" s="701" t="str">
        <f t="shared" si="31"/>
        <v>.</v>
      </c>
      <c r="Z49" s="3"/>
      <c r="AA49" s="985" t="str">
        <f t="shared" si="32"/>
        <v>.</v>
      </c>
      <c r="AB49" s="702" t="str">
        <f t="shared" si="33"/>
        <v>.</v>
      </c>
      <c r="AC49" s="702" t="str">
        <f t="shared" si="34"/>
        <v>.</v>
      </c>
      <c r="AD49" s="702" t="str">
        <f t="shared" si="35"/>
        <v>.</v>
      </c>
      <c r="AE49" s="702" t="str">
        <f t="shared" si="36"/>
        <v>.</v>
      </c>
      <c r="AF49" s="702" t="str">
        <f t="shared" si="37"/>
        <v>.</v>
      </c>
      <c r="AG49" s="986" t="str">
        <f t="shared" si="38"/>
        <v>.</v>
      </c>
      <c r="AH49" s="3"/>
      <c r="AI49" s="699" t="str">
        <f>IF(S49=".",".",SUM($S49:S49))</f>
        <v>.</v>
      </c>
      <c r="AJ49" s="700" t="str">
        <f>IF(T49=".",".",SUM($S49:T49))</f>
        <v>.</v>
      </c>
      <c r="AK49" s="700" t="str">
        <f>IF(U49=".",".",SUM($S49:U49))</f>
        <v>.</v>
      </c>
      <c r="AL49" s="700" t="str">
        <f>IF(V49=".",".",SUM($S49:V49))</f>
        <v>.</v>
      </c>
      <c r="AM49" s="700" t="str">
        <f>IF(W49=".",".",SUM($S49:W49))</f>
        <v>.</v>
      </c>
      <c r="AN49" s="700" t="str">
        <f>IF(X49=".",".",SUM($S49:X49))</f>
        <v>.</v>
      </c>
      <c r="AO49" s="701" t="str">
        <f>IF(Y49=".",".",SUM($S49:Y49))</f>
        <v>.</v>
      </c>
      <c r="AP49" s="3"/>
      <c r="AQ49" s="985" t="str">
        <f t="shared" si="39"/>
        <v>.</v>
      </c>
      <c r="AR49" s="702" t="str">
        <f t="shared" si="40"/>
        <v>.</v>
      </c>
      <c r="AS49" s="702" t="str">
        <f t="shared" si="41"/>
        <v>.</v>
      </c>
      <c r="AT49" s="702" t="str">
        <f t="shared" si="42"/>
        <v>.</v>
      </c>
      <c r="AU49" s="702" t="str">
        <f t="shared" si="43"/>
        <v>.</v>
      </c>
      <c r="AV49" s="702" t="str">
        <f t="shared" si="44"/>
        <v>.</v>
      </c>
      <c r="AW49" s="986" t="str">
        <f t="shared" si="45"/>
        <v>.</v>
      </c>
      <c r="AX49" s="214"/>
      <c r="AY49" s="3"/>
      <c r="AZ49" s="3"/>
      <c r="BA49" s="3"/>
      <c r="BB49" s="3"/>
    </row>
    <row r="50" spans="1:54" ht="12" x14ac:dyDescent="0.25">
      <c r="A50" s="3"/>
      <c r="B50" s="212"/>
      <c r="C50" s="973" t="str">
        <f t="shared" si="46"/>
        <v>Business</v>
      </c>
      <c r="D50" s="998" t="str">
        <f>IF('WK2 - Notional General Income'!D45="","",'WK2 - Notional General Income'!D45)</f>
        <v/>
      </c>
      <c r="E50" s="579"/>
      <c r="F50" s="579"/>
      <c r="G50" s="579"/>
      <c r="H50" s="579"/>
      <c r="I50" s="579"/>
      <c r="J50" s="580"/>
      <c r="K50" s="579"/>
      <c r="L50" s="579"/>
      <c r="M50" s="220"/>
      <c r="N50" s="3"/>
      <c r="O50" s="135"/>
      <c r="P50" s="96"/>
      <c r="Q50" s="3"/>
      <c r="R50" s="212"/>
      <c r="S50" s="699" t="str">
        <f t="shared" si="25"/>
        <v>.</v>
      </c>
      <c r="T50" s="700" t="str">
        <f t="shared" si="26"/>
        <v>.</v>
      </c>
      <c r="U50" s="700" t="str">
        <f t="shared" si="27"/>
        <v>.</v>
      </c>
      <c r="V50" s="700" t="str">
        <f t="shared" si="28"/>
        <v>.</v>
      </c>
      <c r="W50" s="700" t="str">
        <f t="shared" si="29"/>
        <v>.</v>
      </c>
      <c r="X50" s="700" t="str">
        <f t="shared" si="30"/>
        <v>.</v>
      </c>
      <c r="Y50" s="701" t="str">
        <f t="shared" si="31"/>
        <v>.</v>
      </c>
      <c r="Z50" s="3"/>
      <c r="AA50" s="985" t="str">
        <f t="shared" si="32"/>
        <v>.</v>
      </c>
      <c r="AB50" s="702" t="str">
        <f t="shared" si="33"/>
        <v>.</v>
      </c>
      <c r="AC50" s="702" t="str">
        <f t="shared" si="34"/>
        <v>.</v>
      </c>
      <c r="AD50" s="702" t="str">
        <f t="shared" si="35"/>
        <v>.</v>
      </c>
      <c r="AE50" s="702" t="str">
        <f t="shared" si="36"/>
        <v>.</v>
      </c>
      <c r="AF50" s="702" t="str">
        <f t="shared" si="37"/>
        <v>.</v>
      </c>
      <c r="AG50" s="986" t="str">
        <f t="shared" si="38"/>
        <v>.</v>
      </c>
      <c r="AH50" s="3"/>
      <c r="AI50" s="699" t="str">
        <f>IF(S50=".",".",SUM($S50:S50))</f>
        <v>.</v>
      </c>
      <c r="AJ50" s="700" t="str">
        <f>IF(T50=".",".",SUM($S50:T50))</f>
        <v>.</v>
      </c>
      <c r="AK50" s="700" t="str">
        <f>IF(U50=".",".",SUM($S50:U50))</f>
        <v>.</v>
      </c>
      <c r="AL50" s="700" t="str">
        <f>IF(V50=".",".",SUM($S50:V50))</f>
        <v>.</v>
      </c>
      <c r="AM50" s="700" t="str">
        <f>IF(W50=".",".",SUM($S50:W50))</f>
        <v>.</v>
      </c>
      <c r="AN50" s="700" t="str">
        <f>IF(X50=".",".",SUM($S50:X50))</f>
        <v>.</v>
      </c>
      <c r="AO50" s="701" t="str">
        <f>IF(Y50=".",".",SUM($S50:Y50))</f>
        <v>.</v>
      </c>
      <c r="AP50" s="3"/>
      <c r="AQ50" s="985" t="str">
        <f t="shared" si="39"/>
        <v>.</v>
      </c>
      <c r="AR50" s="702" t="str">
        <f t="shared" si="40"/>
        <v>.</v>
      </c>
      <c r="AS50" s="702" t="str">
        <f t="shared" si="41"/>
        <v>.</v>
      </c>
      <c r="AT50" s="702" t="str">
        <f t="shared" si="42"/>
        <v>.</v>
      </c>
      <c r="AU50" s="702" t="str">
        <f t="shared" si="43"/>
        <v>.</v>
      </c>
      <c r="AV50" s="702" t="str">
        <f t="shared" si="44"/>
        <v>.</v>
      </c>
      <c r="AW50" s="986" t="str">
        <f t="shared" si="45"/>
        <v>.</v>
      </c>
      <c r="AX50" s="214"/>
      <c r="AY50" s="3"/>
      <c r="AZ50" s="3"/>
      <c r="BA50" s="3"/>
      <c r="BB50" s="3"/>
    </row>
    <row r="51" spans="1:54" ht="12" x14ac:dyDescent="0.25">
      <c r="A51" s="3"/>
      <c r="B51" s="212"/>
      <c r="C51" s="973" t="str">
        <f t="shared" si="46"/>
        <v>Business</v>
      </c>
      <c r="D51" s="998" t="str">
        <f>IF('WK2 - Notional General Income'!D46="","",'WK2 - Notional General Income'!D46)</f>
        <v/>
      </c>
      <c r="E51" s="579"/>
      <c r="F51" s="579"/>
      <c r="G51" s="579"/>
      <c r="H51" s="579"/>
      <c r="I51" s="579"/>
      <c r="J51" s="580"/>
      <c r="K51" s="579"/>
      <c r="L51" s="579"/>
      <c r="M51" s="220"/>
      <c r="N51" s="3"/>
      <c r="O51" s="135"/>
      <c r="P51" s="96"/>
      <c r="Q51" s="3"/>
      <c r="R51" s="212"/>
      <c r="S51" s="699" t="str">
        <f t="shared" si="25"/>
        <v>.</v>
      </c>
      <c r="T51" s="700" t="str">
        <f t="shared" si="26"/>
        <v>.</v>
      </c>
      <c r="U51" s="700" t="str">
        <f t="shared" si="27"/>
        <v>.</v>
      </c>
      <c r="V51" s="700" t="str">
        <f t="shared" si="28"/>
        <v>.</v>
      </c>
      <c r="W51" s="700" t="str">
        <f t="shared" si="29"/>
        <v>.</v>
      </c>
      <c r="X51" s="700" t="str">
        <f t="shared" si="30"/>
        <v>.</v>
      </c>
      <c r="Y51" s="701" t="str">
        <f t="shared" si="31"/>
        <v>.</v>
      </c>
      <c r="Z51" s="3"/>
      <c r="AA51" s="985" t="str">
        <f t="shared" si="32"/>
        <v>.</v>
      </c>
      <c r="AB51" s="702" t="str">
        <f t="shared" si="33"/>
        <v>.</v>
      </c>
      <c r="AC51" s="702" t="str">
        <f t="shared" si="34"/>
        <v>.</v>
      </c>
      <c r="AD51" s="702" t="str">
        <f t="shared" si="35"/>
        <v>.</v>
      </c>
      <c r="AE51" s="702" t="str">
        <f t="shared" si="36"/>
        <v>.</v>
      </c>
      <c r="AF51" s="702" t="str">
        <f t="shared" si="37"/>
        <v>.</v>
      </c>
      <c r="AG51" s="986" t="str">
        <f t="shared" si="38"/>
        <v>.</v>
      </c>
      <c r="AH51" s="3"/>
      <c r="AI51" s="699" t="str">
        <f>IF(S51=".",".",SUM($S51:S51))</f>
        <v>.</v>
      </c>
      <c r="AJ51" s="700" t="str">
        <f>IF(T51=".",".",SUM($S51:T51))</f>
        <v>.</v>
      </c>
      <c r="AK51" s="700" t="str">
        <f>IF(U51=".",".",SUM($S51:U51))</f>
        <v>.</v>
      </c>
      <c r="AL51" s="700" t="str">
        <f>IF(V51=".",".",SUM($S51:V51))</f>
        <v>.</v>
      </c>
      <c r="AM51" s="700" t="str">
        <f>IF(W51=".",".",SUM($S51:W51))</f>
        <v>.</v>
      </c>
      <c r="AN51" s="700" t="str">
        <f>IF(X51=".",".",SUM($S51:X51))</f>
        <v>.</v>
      </c>
      <c r="AO51" s="701" t="str">
        <f>IF(Y51=".",".",SUM($S51:Y51))</f>
        <v>.</v>
      </c>
      <c r="AP51" s="3"/>
      <c r="AQ51" s="985" t="str">
        <f t="shared" si="39"/>
        <v>.</v>
      </c>
      <c r="AR51" s="702" t="str">
        <f t="shared" si="40"/>
        <v>.</v>
      </c>
      <c r="AS51" s="702" t="str">
        <f t="shared" si="41"/>
        <v>.</v>
      </c>
      <c r="AT51" s="702" t="str">
        <f t="shared" si="42"/>
        <v>.</v>
      </c>
      <c r="AU51" s="702" t="str">
        <f t="shared" si="43"/>
        <v>.</v>
      </c>
      <c r="AV51" s="702" t="str">
        <f t="shared" si="44"/>
        <v>.</v>
      </c>
      <c r="AW51" s="986" t="str">
        <f t="shared" si="45"/>
        <v>.</v>
      </c>
      <c r="AX51" s="214"/>
      <c r="AY51" s="3"/>
      <c r="AZ51" s="3"/>
      <c r="BA51" s="3"/>
      <c r="BB51" s="3"/>
    </row>
    <row r="52" spans="1:54" ht="12" x14ac:dyDescent="0.25">
      <c r="A52" s="3"/>
      <c r="B52" s="212"/>
      <c r="C52" s="973" t="str">
        <f t="shared" si="46"/>
        <v>Business</v>
      </c>
      <c r="D52" s="998" t="str">
        <f>IF('WK2 - Notional General Income'!D47="","",'WK2 - Notional General Income'!D47)</f>
        <v/>
      </c>
      <c r="E52" s="579"/>
      <c r="F52" s="579"/>
      <c r="G52" s="579"/>
      <c r="H52" s="579"/>
      <c r="I52" s="579"/>
      <c r="J52" s="580"/>
      <c r="K52" s="579"/>
      <c r="L52" s="579"/>
      <c r="M52" s="220"/>
      <c r="N52" s="3"/>
      <c r="O52" s="135"/>
      <c r="P52" s="96"/>
      <c r="Q52" s="3"/>
      <c r="R52" s="212"/>
      <c r="S52" s="699" t="str">
        <f t="shared" si="25"/>
        <v>.</v>
      </c>
      <c r="T52" s="700" t="str">
        <f t="shared" si="26"/>
        <v>.</v>
      </c>
      <c r="U52" s="700" t="str">
        <f t="shared" si="27"/>
        <v>.</v>
      </c>
      <c r="V52" s="700" t="str">
        <f t="shared" si="28"/>
        <v>.</v>
      </c>
      <c r="W52" s="700" t="str">
        <f t="shared" si="29"/>
        <v>.</v>
      </c>
      <c r="X52" s="700" t="str">
        <f t="shared" si="30"/>
        <v>.</v>
      </c>
      <c r="Y52" s="701" t="str">
        <f t="shared" si="31"/>
        <v>.</v>
      </c>
      <c r="Z52" s="3"/>
      <c r="AA52" s="985" t="str">
        <f t="shared" si="32"/>
        <v>.</v>
      </c>
      <c r="AB52" s="702" t="str">
        <f t="shared" si="33"/>
        <v>.</v>
      </c>
      <c r="AC52" s="702" t="str">
        <f t="shared" si="34"/>
        <v>.</v>
      </c>
      <c r="AD52" s="702" t="str">
        <f t="shared" si="35"/>
        <v>.</v>
      </c>
      <c r="AE52" s="702" t="str">
        <f t="shared" si="36"/>
        <v>.</v>
      </c>
      <c r="AF52" s="702" t="str">
        <f t="shared" si="37"/>
        <v>.</v>
      </c>
      <c r="AG52" s="986" t="str">
        <f t="shared" si="38"/>
        <v>.</v>
      </c>
      <c r="AH52" s="3"/>
      <c r="AI52" s="699" t="str">
        <f>IF(S52=".",".",SUM($S52:S52))</f>
        <v>.</v>
      </c>
      <c r="AJ52" s="700" t="str">
        <f>IF(T52=".",".",SUM($S52:T52))</f>
        <v>.</v>
      </c>
      <c r="AK52" s="700" t="str">
        <f>IF(U52=".",".",SUM($S52:U52))</f>
        <v>.</v>
      </c>
      <c r="AL52" s="700" t="str">
        <f>IF(V52=".",".",SUM($S52:V52))</f>
        <v>.</v>
      </c>
      <c r="AM52" s="700" t="str">
        <f>IF(W52=".",".",SUM($S52:W52))</f>
        <v>.</v>
      </c>
      <c r="AN52" s="700" t="str">
        <f>IF(X52=".",".",SUM($S52:X52))</f>
        <v>.</v>
      </c>
      <c r="AO52" s="701" t="str">
        <f>IF(Y52=".",".",SUM($S52:Y52))</f>
        <v>.</v>
      </c>
      <c r="AP52" s="3"/>
      <c r="AQ52" s="985" t="str">
        <f t="shared" si="39"/>
        <v>.</v>
      </c>
      <c r="AR52" s="702" t="str">
        <f t="shared" si="40"/>
        <v>.</v>
      </c>
      <c r="AS52" s="702" t="str">
        <f t="shared" si="41"/>
        <v>.</v>
      </c>
      <c r="AT52" s="702" t="str">
        <f t="shared" si="42"/>
        <v>.</v>
      </c>
      <c r="AU52" s="702" t="str">
        <f t="shared" si="43"/>
        <v>.</v>
      </c>
      <c r="AV52" s="702" t="str">
        <f t="shared" si="44"/>
        <v>.</v>
      </c>
      <c r="AW52" s="986" t="str">
        <f t="shared" si="45"/>
        <v>.</v>
      </c>
      <c r="AX52" s="214"/>
      <c r="AY52" s="3"/>
      <c r="AZ52" s="3"/>
      <c r="BA52" s="3"/>
      <c r="BB52" s="3"/>
    </row>
    <row r="53" spans="1:54" ht="12" x14ac:dyDescent="0.25">
      <c r="A53" s="3"/>
      <c r="B53" s="212"/>
      <c r="C53" s="973" t="str">
        <f t="shared" si="46"/>
        <v>Business</v>
      </c>
      <c r="D53" s="998" t="str">
        <f>IF('WK2 - Notional General Income'!D48="","",'WK2 - Notional General Income'!D48)</f>
        <v/>
      </c>
      <c r="E53" s="579"/>
      <c r="F53" s="579"/>
      <c r="G53" s="579"/>
      <c r="H53" s="579"/>
      <c r="I53" s="579"/>
      <c r="J53" s="580"/>
      <c r="K53" s="579"/>
      <c r="L53" s="579"/>
      <c r="M53" s="220"/>
      <c r="N53" s="3"/>
      <c r="O53" s="135"/>
      <c r="P53" s="96"/>
      <c r="Q53" s="3"/>
      <c r="R53" s="212"/>
      <c r="S53" s="699" t="str">
        <f t="shared" si="25"/>
        <v>.</v>
      </c>
      <c r="T53" s="700" t="str">
        <f t="shared" si="26"/>
        <v>.</v>
      </c>
      <c r="U53" s="700" t="str">
        <f t="shared" si="27"/>
        <v>.</v>
      </c>
      <c r="V53" s="700" t="str">
        <f t="shared" si="28"/>
        <v>.</v>
      </c>
      <c r="W53" s="700" t="str">
        <f t="shared" si="29"/>
        <v>.</v>
      </c>
      <c r="X53" s="700" t="str">
        <f t="shared" si="30"/>
        <v>.</v>
      </c>
      <c r="Y53" s="701" t="str">
        <f t="shared" si="31"/>
        <v>.</v>
      </c>
      <c r="Z53" s="3"/>
      <c r="AA53" s="985" t="str">
        <f t="shared" si="32"/>
        <v>.</v>
      </c>
      <c r="AB53" s="702" t="str">
        <f t="shared" si="33"/>
        <v>.</v>
      </c>
      <c r="AC53" s="702" t="str">
        <f t="shared" si="34"/>
        <v>.</v>
      </c>
      <c r="AD53" s="702" t="str">
        <f t="shared" si="35"/>
        <v>.</v>
      </c>
      <c r="AE53" s="702" t="str">
        <f t="shared" si="36"/>
        <v>.</v>
      </c>
      <c r="AF53" s="702" t="str">
        <f t="shared" si="37"/>
        <v>.</v>
      </c>
      <c r="AG53" s="986" t="str">
        <f t="shared" si="38"/>
        <v>.</v>
      </c>
      <c r="AH53" s="3"/>
      <c r="AI53" s="699" t="str">
        <f>IF(S53=".",".",SUM($S53:S53))</f>
        <v>.</v>
      </c>
      <c r="AJ53" s="700" t="str">
        <f>IF(T53=".",".",SUM($S53:T53))</f>
        <v>.</v>
      </c>
      <c r="AK53" s="700" t="str">
        <f>IF(U53=".",".",SUM($S53:U53))</f>
        <v>.</v>
      </c>
      <c r="AL53" s="700" t="str">
        <f>IF(V53=".",".",SUM($S53:V53))</f>
        <v>.</v>
      </c>
      <c r="AM53" s="700" t="str">
        <f>IF(W53=".",".",SUM($S53:W53))</f>
        <v>.</v>
      </c>
      <c r="AN53" s="700" t="str">
        <f>IF(X53=".",".",SUM($S53:X53))</f>
        <v>.</v>
      </c>
      <c r="AO53" s="701" t="str">
        <f>IF(Y53=".",".",SUM($S53:Y53))</f>
        <v>.</v>
      </c>
      <c r="AP53" s="3"/>
      <c r="AQ53" s="985" t="str">
        <f t="shared" si="39"/>
        <v>.</v>
      </c>
      <c r="AR53" s="702" t="str">
        <f t="shared" si="40"/>
        <v>.</v>
      </c>
      <c r="AS53" s="702" t="str">
        <f t="shared" si="41"/>
        <v>.</v>
      </c>
      <c r="AT53" s="702" t="str">
        <f t="shared" si="42"/>
        <v>.</v>
      </c>
      <c r="AU53" s="702" t="str">
        <f t="shared" si="43"/>
        <v>.</v>
      </c>
      <c r="AV53" s="702" t="str">
        <f t="shared" si="44"/>
        <v>.</v>
      </c>
      <c r="AW53" s="986" t="str">
        <f t="shared" si="45"/>
        <v>.</v>
      </c>
      <c r="AX53" s="214"/>
      <c r="AY53" s="3"/>
      <c r="AZ53" s="3"/>
      <c r="BA53" s="3"/>
      <c r="BB53" s="3"/>
    </row>
    <row r="54" spans="1:54" ht="12" x14ac:dyDescent="0.25">
      <c r="A54" s="3"/>
      <c r="B54" s="212"/>
      <c r="C54" s="973" t="str">
        <f t="shared" si="46"/>
        <v>Business</v>
      </c>
      <c r="D54" s="998" t="str">
        <f>IF('WK2 - Notional General Income'!D49="","",'WK2 - Notional General Income'!D49)</f>
        <v/>
      </c>
      <c r="E54" s="579"/>
      <c r="F54" s="579"/>
      <c r="G54" s="579"/>
      <c r="H54" s="579"/>
      <c r="I54" s="579"/>
      <c r="J54" s="580"/>
      <c r="K54" s="579"/>
      <c r="L54" s="579"/>
      <c r="M54" s="220"/>
      <c r="N54" s="3"/>
      <c r="O54" s="135"/>
      <c r="P54" s="96"/>
      <c r="Q54" s="3"/>
      <c r="R54" s="212"/>
      <c r="S54" s="699" t="str">
        <f t="shared" si="25"/>
        <v>.</v>
      </c>
      <c r="T54" s="700" t="str">
        <f t="shared" si="26"/>
        <v>.</v>
      </c>
      <c r="U54" s="700" t="str">
        <f t="shared" si="27"/>
        <v>.</v>
      </c>
      <c r="V54" s="700" t="str">
        <f t="shared" si="28"/>
        <v>.</v>
      </c>
      <c r="W54" s="700" t="str">
        <f t="shared" si="29"/>
        <v>.</v>
      </c>
      <c r="X54" s="700" t="str">
        <f t="shared" si="30"/>
        <v>.</v>
      </c>
      <c r="Y54" s="701" t="str">
        <f t="shared" si="31"/>
        <v>.</v>
      </c>
      <c r="Z54" s="3"/>
      <c r="AA54" s="985" t="str">
        <f t="shared" si="32"/>
        <v>.</v>
      </c>
      <c r="AB54" s="702" t="str">
        <f t="shared" si="33"/>
        <v>.</v>
      </c>
      <c r="AC54" s="702" t="str">
        <f t="shared" si="34"/>
        <v>.</v>
      </c>
      <c r="AD54" s="702" t="str">
        <f t="shared" si="35"/>
        <v>.</v>
      </c>
      <c r="AE54" s="702" t="str">
        <f t="shared" si="36"/>
        <v>.</v>
      </c>
      <c r="AF54" s="702" t="str">
        <f t="shared" si="37"/>
        <v>.</v>
      </c>
      <c r="AG54" s="986" t="str">
        <f t="shared" si="38"/>
        <v>.</v>
      </c>
      <c r="AH54" s="3"/>
      <c r="AI54" s="699" t="str">
        <f>IF(S54=".",".",SUM($S54:S54))</f>
        <v>.</v>
      </c>
      <c r="AJ54" s="700" t="str">
        <f>IF(T54=".",".",SUM($S54:T54))</f>
        <v>.</v>
      </c>
      <c r="AK54" s="700" t="str">
        <f>IF(U54=".",".",SUM($S54:U54))</f>
        <v>.</v>
      </c>
      <c r="AL54" s="700" t="str">
        <f>IF(V54=".",".",SUM($S54:V54))</f>
        <v>.</v>
      </c>
      <c r="AM54" s="700" t="str">
        <f>IF(W54=".",".",SUM($S54:W54))</f>
        <v>.</v>
      </c>
      <c r="AN54" s="700" t="str">
        <f>IF(X54=".",".",SUM($S54:X54))</f>
        <v>.</v>
      </c>
      <c r="AO54" s="701" t="str">
        <f>IF(Y54=".",".",SUM($S54:Y54))</f>
        <v>.</v>
      </c>
      <c r="AP54" s="3"/>
      <c r="AQ54" s="985" t="str">
        <f t="shared" si="39"/>
        <v>.</v>
      </c>
      <c r="AR54" s="702" t="str">
        <f t="shared" si="40"/>
        <v>.</v>
      </c>
      <c r="AS54" s="702" t="str">
        <f t="shared" si="41"/>
        <v>.</v>
      </c>
      <c r="AT54" s="702" t="str">
        <f t="shared" si="42"/>
        <v>.</v>
      </c>
      <c r="AU54" s="702" t="str">
        <f t="shared" si="43"/>
        <v>.</v>
      </c>
      <c r="AV54" s="702" t="str">
        <f t="shared" si="44"/>
        <v>.</v>
      </c>
      <c r="AW54" s="986" t="str">
        <f t="shared" si="45"/>
        <v>.</v>
      </c>
      <c r="AX54" s="214"/>
      <c r="AY54" s="3"/>
      <c r="AZ54" s="3"/>
      <c r="BA54" s="3"/>
      <c r="BB54" s="3"/>
    </row>
    <row r="55" spans="1:54" ht="12" x14ac:dyDescent="0.25">
      <c r="A55" s="3"/>
      <c r="B55" s="212"/>
      <c r="C55" s="973" t="str">
        <f t="shared" si="46"/>
        <v>Business</v>
      </c>
      <c r="D55" s="998" t="str">
        <f>IF('WK2 - Notional General Income'!D50="","",'WK2 - Notional General Income'!D50)</f>
        <v/>
      </c>
      <c r="E55" s="579"/>
      <c r="F55" s="579"/>
      <c r="G55" s="579"/>
      <c r="H55" s="579"/>
      <c r="I55" s="579"/>
      <c r="J55" s="580"/>
      <c r="K55" s="579"/>
      <c r="L55" s="579"/>
      <c r="M55" s="220"/>
      <c r="N55" s="3"/>
      <c r="O55" s="135"/>
      <c r="P55" s="96"/>
      <c r="Q55" s="3"/>
      <c r="R55" s="212"/>
      <c r="S55" s="699" t="str">
        <f t="shared" si="25"/>
        <v>.</v>
      </c>
      <c r="T55" s="700" t="str">
        <f t="shared" si="26"/>
        <v>.</v>
      </c>
      <c r="U55" s="700" t="str">
        <f t="shared" si="27"/>
        <v>.</v>
      </c>
      <c r="V55" s="700" t="str">
        <f t="shared" si="28"/>
        <v>.</v>
      </c>
      <c r="W55" s="700" t="str">
        <f t="shared" si="29"/>
        <v>.</v>
      </c>
      <c r="X55" s="700" t="str">
        <f t="shared" si="30"/>
        <v>.</v>
      </c>
      <c r="Y55" s="701" t="str">
        <f t="shared" si="31"/>
        <v>.</v>
      </c>
      <c r="Z55" s="3"/>
      <c r="AA55" s="985" t="str">
        <f t="shared" si="32"/>
        <v>.</v>
      </c>
      <c r="AB55" s="702" t="str">
        <f t="shared" si="33"/>
        <v>.</v>
      </c>
      <c r="AC55" s="702" t="str">
        <f t="shared" si="34"/>
        <v>.</v>
      </c>
      <c r="AD55" s="702" t="str">
        <f t="shared" si="35"/>
        <v>.</v>
      </c>
      <c r="AE55" s="702" t="str">
        <f t="shared" si="36"/>
        <v>.</v>
      </c>
      <c r="AF55" s="702" t="str">
        <f t="shared" si="37"/>
        <v>.</v>
      </c>
      <c r="AG55" s="986" t="str">
        <f t="shared" si="38"/>
        <v>.</v>
      </c>
      <c r="AH55" s="3"/>
      <c r="AI55" s="699" t="str">
        <f>IF(S55=".",".",SUM($S55:S55))</f>
        <v>.</v>
      </c>
      <c r="AJ55" s="700" t="str">
        <f>IF(T55=".",".",SUM($S55:T55))</f>
        <v>.</v>
      </c>
      <c r="AK55" s="700" t="str">
        <f>IF(U55=".",".",SUM($S55:U55))</f>
        <v>.</v>
      </c>
      <c r="AL55" s="700" t="str">
        <f>IF(V55=".",".",SUM($S55:V55))</f>
        <v>.</v>
      </c>
      <c r="AM55" s="700" t="str">
        <f>IF(W55=".",".",SUM($S55:W55))</f>
        <v>.</v>
      </c>
      <c r="AN55" s="700" t="str">
        <f>IF(X55=".",".",SUM($S55:X55))</f>
        <v>.</v>
      </c>
      <c r="AO55" s="701" t="str">
        <f>IF(Y55=".",".",SUM($S55:Y55))</f>
        <v>.</v>
      </c>
      <c r="AP55" s="3"/>
      <c r="AQ55" s="985" t="str">
        <f t="shared" si="39"/>
        <v>.</v>
      </c>
      <c r="AR55" s="702" t="str">
        <f t="shared" si="40"/>
        <v>.</v>
      </c>
      <c r="AS55" s="702" t="str">
        <f t="shared" si="41"/>
        <v>.</v>
      </c>
      <c r="AT55" s="702" t="str">
        <f t="shared" si="42"/>
        <v>.</v>
      </c>
      <c r="AU55" s="702" t="str">
        <f t="shared" si="43"/>
        <v>.</v>
      </c>
      <c r="AV55" s="702" t="str">
        <f t="shared" si="44"/>
        <v>.</v>
      </c>
      <c r="AW55" s="986" t="str">
        <f t="shared" si="45"/>
        <v>.</v>
      </c>
      <c r="AX55" s="214"/>
      <c r="AY55" s="3"/>
      <c r="AZ55" s="3"/>
      <c r="BA55" s="3"/>
      <c r="BB55" s="3"/>
    </row>
    <row r="56" spans="1:54" ht="12" x14ac:dyDescent="0.25">
      <c r="A56" s="3"/>
      <c r="B56" s="212"/>
      <c r="C56" s="973" t="str">
        <f t="shared" si="46"/>
        <v>Business</v>
      </c>
      <c r="D56" s="998" t="str">
        <f>IF('WK2 - Notional General Income'!D51="","",'WK2 - Notional General Income'!D51)</f>
        <v/>
      </c>
      <c r="E56" s="579"/>
      <c r="F56" s="579"/>
      <c r="G56" s="579"/>
      <c r="H56" s="579"/>
      <c r="I56" s="579"/>
      <c r="J56" s="580"/>
      <c r="K56" s="579"/>
      <c r="L56" s="579"/>
      <c r="M56" s="220"/>
      <c r="N56" s="3"/>
      <c r="O56" s="135"/>
      <c r="P56" s="96"/>
      <c r="Q56" s="3"/>
      <c r="R56" s="212"/>
      <c r="S56" s="699" t="str">
        <f t="shared" si="25"/>
        <v>.</v>
      </c>
      <c r="T56" s="700" t="str">
        <f t="shared" si="26"/>
        <v>.</v>
      </c>
      <c r="U56" s="700" t="str">
        <f t="shared" si="27"/>
        <v>.</v>
      </c>
      <c r="V56" s="700" t="str">
        <f t="shared" si="28"/>
        <v>.</v>
      </c>
      <c r="W56" s="700" t="str">
        <f t="shared" si="29"/>
        <v>.</v>
      </c>
      <c r="X56" s="700" t="str">
        <f t="shared" si="30"/>
        <v>.</v>
      </c>
      <c r="Y56" s="701" t="str">
        <f t="shared" si="31"/>
        <v>.</v>
      </c>
      <c r="Z56" s="3"/>
      <c r="AA56" s="985" t="str">
        <f t="shared" si="32"/>
        <v>.</v>
      </c>
      <c r="AB56" s="702" t="str">
        <f t="shared" si="33"/>
        <v>.</v>
      </c>
      <c r="AC56" s="702" t="str">
        <f t="shared" si="34"/>
        <v>.</v>
      </c>
      <c r="AD56" s="702" t="str">
        <f t="shared" si="35"/>
        <v>.</v>
      </c>
      <c r="AE56" s="702" t="str">
        <f t="shared" si="36"/>
        <v>.</v>
      </c>
      <c r="AF56" s="702" t="str">
        <f t="shared" si="37"/>
        <v>.</v>
      </c>
      <c r="AG56" s="986" t="str">
        <f t="shared" si="38"/>
        <v>.</v>
      </c>
      <c r="AH56" s="3"/>
      <c r="AI56" s="699" t="str">
        <f>IF(S56=".",".",SUM($S56:S56))</f>
        <v>.</v>
      </c>
      <c r="AJ56" s="700" t="str">
        <f>IF(T56=".",".",SUM($S56:T56))</f>
        <v>.</v>
      </c>
      <c r="AK56" s="700" t="str">
        <f>IF(U56=".",".",SUM($S56:U56))</f>
        <v>.</v>
      </c>
      <c r="AL56" s="700" t="str">
        <f>IF(V56=".",".",SUM($S56:V56))</f>
        <v>.</v>
      </c>
      <c r="AM56" s="700" t="str">
        <f>IF(W56=".",".",SUM($S56:W56))</f>
        <v>.</v>
      </c>
      <c r="AN56" s="700" t="str">
        <f>IF(X56=".",".",SUM($S56:X56))</f>
        <v>.</v>
      </c>
      <c r="AO56" s="701" t="str">
        <f>IF(Y56=".",".",SUM($S56:Y56))</f>
        <v>.</v>
      </c>
      <c r="AP56" s="3"/>
      <c r="AQ56" s="985" t="str">
        <f t="shared" si="39"/>
        <v>.</v>
      </c>
      <c r="AR56" s="702" t="str">
        <f t="shared" si="40"/>
        <v>.</v>
      </c>
      <c r="AS56" s="702" t="str">
        <f t="shared" si="41"/>
        <v>.</v>
      </c>
      <c r="AT56" s="702" t="str">
        <f t="shared" si="42"/>
        <v>.</v>
      </c>
      <c r="AU56" s="702" t="str">
        <f t="shared" si="43"/>
        <v>.</v>
      </c>
      <c r="AV56" s="702" t="str">
        <f t="shared" si="44"/>
        <v>.</v>
      </c>
      <c r="AW56" s="986" t="str">
        <f t="shared" si="45"/>
        <v>.</v>
      </c>
      <c r="AX56" s="214"/>
      <c r="AY56" s="3"/>
      <c r="AZ56" s="3"/>
      <c r="BA56" s="3"/>
      <c r="BB56" s="3"/>
    </row>
    <row r="57" spans="1:54" ht="12" x14ac:dyDescent="0.25">
      <c r="A57" s="3"/>
      <c r="B57" s="212"/>
      <c r="C57" s="973" t="str">
        <f t="shared" si="46"/>
        <v>Business</v>
      </c>
      <c r="D57" s="998" t="str">
        <f>IF('WK2 - Notional General Income'!D52="","",'WK2 - Notional General Income'!D52)</f>
        <v/>
      </c>
      <c r="E57" s="579"/>
      <c r="F57" s="579"/>
      <c r="G57" s="579"/>
      <c r="H57" s="579"/>
      <c r="I57" s="579"/>
      <c r="J57" s="580"/>
      <c r="K57" s="579"/>
      <c r="L57" s="579"/>
      <c r="M57" s="220"/>
      <c r="N57" s="3"/>
      <c r="O57" s="135"/>
      <c r="P57" s="96"/>
      <c r="Q57" s="3"/>
      <c r="R57" s="212"/>
      <c r="S57" s="699" t="str">
        <f t="shared" si="25"/>
        <v>.</v>
      </c>
      <c r="T57" s="700" t="str">
        <f t="shared" si="26"/>
        <v>.</v>
      </c>
      <c r="U57" s="700" t="str">
        <f t="shared" si="27"/>
        <v>.</v>
      </c>
      <c r="V57" s="700" t="str">
        <f t="shared" si="28"/>
        <v>.</v>
      </c>
      <c r="W57" s="700" t="str">
        <f t="shared" si="29"/>
        <v>.</v>
      </c>
      <c r="X57" s="700" t="str">
        <f t="shared" si="30"/>
        <v>.</v>
      </c>
      <c r="Y57" s="701" t="str">
        <f t="shared" si="31"/>
        <v>.</v>
      </c>
      <c r="Z57" s="3"/>
      <c r="AA57" s="985" t="str">
        <f t="shared" si="32"/>
        <v>.</v>
      </c>
      <c r="AB57" s="702" t="str">
        <f t="shared" si="33"/>
        <v>.</v>
      </c>
      <c r="AC57" s="702" t="str">
        <f t="shared" si="34"/>
        <v>.</v>
      </c>
      <c r="AD57" s="702" t="str">
        <f t="shared" si="35"/>
        <v>.</v>
      </c>
      <c r="AE57" s="702" t="str">
        <f t="shared" si="36"/>
        <v>.</v>
      </c>
      <c r="AF57" s="702" t="str">
        <f t="shared" si="37"/>
        <v>.</v>
      </c>
      <c r="AG57" s="986" t="str">
        <f t="shared" si="38"/>
        <v>.</v>
      </c>
      <c r="AH57" s="3"/>
      <c r="AI57" s="699" t="str">
        <f>IF(S57=".",".",SUM($S57:S57))</f>
        <v>.</v>
      </c>
      <c r="AJ57" s="700" t="str">
        <f>IF(T57=".",".",SUM($S57:T57))</f>
        <v>.</v>
      </c>
      <c r="AK57" s="700" t="str">
        <f>IF(U57=".",".",SUM($S57:U57))</f>
        <v>.</v>
      </c>
      <c r="AL57" s="700" t="str">
        <f>IF(V57=".",".",SUM($S57:V57))</f>
        <v>.</v>
      </c>
      <c r="AM57" s="700" t="str">
        <f>IF(W57=".",".",SUM($S57:W57))</f>
        <v>.</v>
      </c>
      <c r="AN57" s="700" t="str">
        <f>IF(X57=".",".",SUM($S57:X57))</f>
        <v>.</v>
      </c>
      <c r="AO57" s="701" t="str">
        <f>IF(Y57=".",".",SUM($S57:Y57))</f>
        <v>.</v>
      </c>
      <c r="AP57" s="3"/>
      <c r="AQ57" s="985" t="str">
        <f t="shared" si="39"/>
        <v>.</v>
      </c>
      <c r="AR57" s="702" t="str">
        <f t="shared" si="40"/>
        <v>.</v>
      </c>
      <c r="AS57" s="702" t="str">
        <f t="shared" si="41"/>
        <v>.</v>
      </c>
      <c r="AT57" s="702" t="str">
        <f t="shared" si="42"/>
        <v>.</v>
      </c>
      <c r="AU57" s="702" t="str">
        <f t="shared" si="43"/>
        <v>.</v>
      </c>
      <c r="AV57" s="702" t="str">
        <f t="shared" si="44"/>
        <v>.</v>
      </c>
      <c r="AW57" s="986" t="str">
        <f t="shared" si="45"/>
        <v>.</v>
      </c>
      <c r="AX57" s="214"/>
      <c r="AY57" s="3"/>
      <c r="AZ57" s="3"/>
      <c r="BA57" s="3"/>
      <c r="BB57" s="3"/>
    </row>
    <row r="58" spans="1:54" ht="12" x14ac:dyDescent="0.25">
      <c r="A58" s="3"/>
      <c r="B58" s="212"/>
      <c r="C58" s="973" t="str">
        <f t="shared" si="46"/>
        <v>Business</v>
      </c>
      <c r="D58" s="998" t="str">
        <f>IF('WK2 - Notional General Income'!D53="","",'WK2 - Notional General Income'!D53)</f>
        <v/>
      </c>
      <c r="E58" s="579"/>
      <c r="F58" s="579"/>
      <c r="G58" s="579"/>
      <c r="H58" s="579"/>
      <c r="I58" s="579"/>
      <c r="J58" s="580"/>
      <c r="K58" s="579"/>
      <c r="L58" s="579"/>
      <c r="M58" s="220"/>
      <c r="N58" s="3"/>
      <c r="O58" s="135"/>
      <c r="P58" s="96"/>
      <c r="Q58" s="3"/>
      <c r="R58" s="212"/>
      <c r="S58" s="699" t="str">
        <f t="shared" si="25"/>
        <v>.</v>
      </c>
      <c r="T58" s="700" t="str">
        <f t="shared" si="26"/>
        <v>.</v>
      </c>
      <c r="U58" s="700" t="str">
        <f t="shared" si="27"/>
        <v>.</v>
      </c>
      <c r="V58" s="700" t="str">
        <f t="shared" si="28"/>
        <v>.</v>
      </c>
      <c r="W58" s="700" t="str">
        <f t="shared" si="29"/>
        <v>.</v>
      </c>
      <c r="X58" s="700" t="str">
        <f t="shared" si="30"/>
        <v>.</v>
      </c>
      <c r="Y58" s="701" t="str">
        <f t="shared" si="31"/>
        <v>.</v>
      </c>
      <c r="Z58" s="3"/>
      <c r="AA58" s="985" t="str">
        <f t="shared" si="32"/>
        <v>.</v>
      </c>
      <c r="AB58" s="702" t="str">
        <f t="shared" si="33"/>
        <v>.</v>
      </c>
      <c r="AC58" s="702" t="str">
        <f t="shared" si="34"/>
        <v>.</v>
      </c>
      <c r="AD58" s="702" t="str">
        <f t="shared" si="35"/>
        <v>.</v>
      </c>
      <c r="AE58" s="702" t="str">
        <f t="shared" si="36"/>
        <v>.</v>
      </c>
      <c r="AF58" s="702" t="str">
        <f t="shared" si="37"/>
        <v>.</v>
      </c>
      <c r="AG58" s="986" t="str">
        <f t="shared" si="38"/>
        <v>.</v>
      </c>
      <c r="AH58" s="3"/>
      <c r="AI58" s="699" t="str">
        <f>IF(S58=".",".",SUM($S58:S58))</f>
        <v>.</v>
      </c>
      <c r="AJ58" s="700" t="str">
        <f>IF(T58=".",".",SUM($S58:T58))</f>
        <v>.</v>
      </c>
      <c r="AK58" s="700" t="str">
        <f>IF(U58=".",".",SUM($S58:U58))</f>
        <v>.</v>
      </c>
      <c r="AL58" s="700" t="str">
        <f>IF(V58=".",".",SUM($S58:V58))</f>
        <v>.</v>
      </c>
      <c r="AM58" s="700" t="str">
        <f>IF(W58=".",".",SUM($S58:W58))</f>
        <v>.</v>
      </c>
      <c r="AN58" s="700" t="str">
        <f>IF(X58=".",".",SUM($S58:X58))</f>
        <v>.</v>
      </c>
      <c r="AO58" s="701" t="str">
        <f>IF(Y58=".",".",SUM($S58:Y58))</f>
        <v>.</v>
      </c>
      <c r="AP58" s="3"/>
      <c r="AQ58" s="985" t="str">
        <f t="shared" si="39"/>
        <v>.</v>
      </c>
      <c r="AR58" s="702" t="str">
        <f t="shared" si="40"/>
        <v>.</v>
      </c>
      <c r="AS58" s="702" t="str">
        <f t="shared" si="41"/>
        <v>.</v>
      </c>
      <c r="AT58" s="702" t="str">
        <f t="shared" si="42"/>
        <v>.</v>
      </c>
      <c r="AU58" s="702" t="str">
        <f t="shared" si="43"/>
        <v>.</v>
      </c>
      <c r="AV58" s="702" t="str">
        <f t="shared" si="44"/>
        <v>.</v>
      </c>
      <c r="AW58" s="986" t="str">
        <f t="shared" si="45"/>
        <v>.</v>
      </c>
      <c r="AX58" s="214"/>
      <c r="AY58" s="3"/>
      <c r="AZ58" s="3"/>
      <c r="BA58" s="3"/>
      <c r="BB58" s="3"/>
    </row>
    <row r="59" spans="1:54" ht="12" x14ac:dyDescent="0.25">
      <c r="A59" s="3"/>
      <c r="B59" s="212"/>
      <c r="C59" s="973" t="str">
        <f t="shared" si="46"/>
        <v>Business</v>
      </c>
      <c r="D59" s="998" t="str">
        <f>IF('WK2 - Notional General Income'!D54="","",'WK2 - Notional General Income'!D54)</f>
        <v/>
      </c>
      <c r="E59" s="579"/>
      <c r="F59" s="579"/>
      <c r="G59" s="579"/>
      <c r="H59" s="579"/>
      <c r="I59" s="579"/>
      <c r="J59" s="580"/>
      <c r="K59" s="579"/>
      <c r="L59" s="579"/>
      <c r="M59" s="220"/>
      <c r="N59" s="3"/>
      <c r="O59" s="135"/>
      <c r="P59" s="96"/>
      <c r="Q59" s="3"/>
      <c r="R59" s="212"/>
      <c r="S59" s="699" t="str">
        <f t="shared" si="25"/>
        <v>.</v>
      </c>
      <c r="T59" s="700" t="str">
        <f t="shared" si="26"/>
        <v>.</v>
      </c>
      <c r="U59" s="700" t="str">
        <f t="shared" si="27"/>
        <v>.</v>
      </c>
      <c r="V59" s="700" t="str">
        <f t="shared" si="28"/>
        <v>.</v>
      </c>
      <c r="W59" s="700" t="str">
        <f t="shared" si="29"/>
        <v>.</v>
      </c>
      <c r="X59" s="700" t="str">
        <f t="shared" si="30"/>
        <v>.</v>
      </c>
      <c r="Y59" s="701" t="str">
        <f t="shared" si="31"/>
        <v>.</v>
      </c>
      <c r="Z59" s="3"/>
      <c r="AA59" s="985" t="str">
        <f t="shared" si="32"/>
        <v>.</v>
      </c>
      <c r="AB59" s="702" t="str">
        <f t="shared" si="33"/>
        <v>.</v>
      </c>
      <c r="AC59" s="702" t="str">
        <f t="shared" si="34"/>
        <v>.</v>
      </c>
      <c r="AD59" s="702" t="str">
        <f t="shared" si="35"/>
        <v>.</v>
      </c>
      <c r="AE59" s="702" t="str">
        <f t="shared" si="36"/>
        <v>.</v>
      </c>
      <c r="AF59" s="702" t="str">
        <f t="shared" si="37"/>
        <v>.</v>
      </c>
      <c r="AG59" s="986" t="str">
        <f t="shared" si="38"/>
        <v>.</v>
      </c>
      <c r="AH59" s="3"/>
      <c r="AI59" s="699" t="str">
        <f>IF(S59=".",".",SUM($S59:S59))</f>
        <v>.</v>
      </c>
      <c r="AJ59" s="700" t="str">
        <f>IF(T59=".",".",SUM($S59:T59))</f>
        <v>.</v>
      </c>
      <c r="AK59" s="700" t="str">
        <f>IF(U59=".",".",SUM($S59:U59))</f>
        <v>.</v>
      </c>
      <c r="AL59" s="700" t="str">
        <f>IF(V59=".",".",SUM($S59:V59))</f>
        <v>.</v>
      </c>
      <c r="AM59" s="700" t="str">
        <f>IF(W59=".",".",SUM($S59:W59))</f>
        <v>.</v>
      </c>
      <c r="AN59" s="700" t="str">
        <f>IF(X59=".",".",SUM($S59:X59))</f>
        <v>.</v>
      </c>
      <c r="AO59" s="701" t="str">
        <f>IF(Y59=".",".",SUM($S59:Y59))</f>
        <v>.</v>
      </c>
      <c r="AP59" s="3"/>
      <c r="AQ59" s="985" t="str">
        <f t="shared" si="39"/>
        <v>.</v>
      </c>
      <c r="AR59" s="702" t="str">
        <f t="shared" si="40"/>
        <v>.</v>
      </c>
      <c r="AS59" s="702" t="str">
        <f t="shared" si="41"/>
        <v>.</v>
      </c>
      <c r="AT59" s="702" t="str">
        <f t="shared" si="42"/>
        <v>.</v>
      </c>
      <c r="AU59" s="702" t="str">
        <f t="shared" si="43"/>
        <v>.</v>
      </c>
      <c r="AV59" s="702" t="str">
        <f t="shared" si="44"/>
        <v>.</v>
      </c>
      <c r="AW59" s="986" t="str">
        <f t="shared" si="45"/>
        <v>.</v>
      </c>
      <c r="AX59" s="214"/>
      <c r="AY59" s="3"/>
      <c r="AZ59" s="3"/>
      <c r="BA59" s="3"/>
      <c r="BB59" s="3"/>
    </row>
    <row r="60" spans="1:54" ht="12" x14ac:dyDescent="0.25">
      <c r="A60" s="3"/>
      <c r="B60" s="212"/>
      <c r="C60" s="973" t="str">
        <f t="shared" si="46"/>
        <v>Business</v>
      </c>
      <c r="D60" s="998" t="str">
        <f>IF('WK2 - Notional General Income'!D55="","",'WK2 - Notional General Income'!D55)</f>
        <v/>
      </c>
      <c r="E60" s="579"/>
      <c r="F60" s="579"/>
      <c r="G60" s="579"/>
      <c r="H60" s="579"/>
      <c r="I60" s="579"/>
      <c r="J60" s="580"/>
      <c r="K60" s="579"/>
      <c r="L60" s="579"/>
      <c r="M60" s="220"/>
      <c r="N60" s="3"/>
      <c r="O60" s="135"/>
      <c r="P60" s="96"/>
      <c r="Q60" s="3"/>
      <c r="R60" s="212"/>
      <c r="S60" s="699" t="str">
        <f t="shared" si="25"/>
        <v>.</v>
      </c>
      <c r="T60" s="700" t="str">
        <f t="shared" si="26"/>
        <v>.</v>
      </c>
      <c r="U60" s="700" t="str">
        <f t="shared" si="27"/>
        <v>.</v>
      </c>
      <c r="V60" s="700" t="str">
        <f t="shared" si="28"/>
        <v>.</v>
      </c>
      <c r="W60" s="700" t="str">
        <f t="shared" si="29"/>
        <v>.</v>
      </c>
      <c r="X60" s="700" t="str">
        <f t="shared" si="30"/>
        <v>.</v>
      </c>
      <c r="Y60" s="701" t="str">
        <f t="shared" si="31"/>
        <v>.</v>
      </c>
      <c r="Z60" s="3"/>
      <c r="AA60" s="985" t="str">
        <f t="shared" si="32"/>
        <v>.</v>
      </c>
      <c r="AB60" s="702" t="str">
        <f t="shared" si="33"/>
        <v>.</v>
      </c>
      <c r="AC60" s="702" t="str">
        <f t="shared" si="34"/>
        <v>.</v>
      </c>
      <c r="AD60" s="702" t="str">
        <f t="shared" si="35"/>
        <v>.</v>
      </c>
      <c r="AE60" s="702" t="str">
        <f t="shared" si="36"/>
        <v>.</v>
      </c>
      <c r="AF60" s="702" t="str">
        <f t="shared" si="37"/>
        <v>.</v>
      </c>
      <c r="AG60" s="986" t="str">
        <f t="shared" si="38"/>
        <v>.</v>
      </c>
      <c r="AH60" s="3"/>
      <c r="AI60" s="699" t="str">
        <f>IF(S60=".",".",SUM($S60:S60))</f>
        <v>.</v>
      </c>
      <c r="AJ60" s="700" t="str">
        <f>IF(T60=".",".",SUM($S60:T60))</f>
        <v>.</v>
      </c>
      <c r="AK60" s="700" t="str">
        <f>IF(U60=".",".",SUM($S60:U60))</f>
        <v>.</v>
      </c>
      <c r="AL60" s="700" t="str">
        <f>IF(V60=".",".",SUM($S60:V60))</f>
        <v>.</v>
      </c>
      <c r="AM60" s="700" t="str">
        <f>IF(W60=".",".",SUM($S60:W60))</f>
        <v>.</v>
      </c>
      <c r="AN60" s="700" t="str">
        <f>IF(X60=".",".",SUM($S60:X60))</f>
        <v>.</v>
      </c>
      <c r="AO60" s="701" t="str">
        <f>IF(Y60=".",".",SUM($S60:Y60))</f>
        <v>.</v>
      </c>
      <c r="AP60" s="3"/>
      <c r="AQ60" s="985" t="str">
        <f t="shared" si="39"/>
        <v>.</v>
      </c>
      <c r="AR60" s="702" t="str">
        <f t="shared" si="40"/>
        <v>.</v>
      </c>
      <c r="AS60" s="702" t="str">
        <f t="shared" si="41"/>
        <v>.</v>
      </c>
      <c r="AT60" s="702" t="str">
        <f t="shared" si="42"/>
        <v>.</v>
      </c>
      <c r="AU60" s="702" t="str">
        <f t="shared" si="43"/>
        <v>.</v>
      </c>
      <c r="AV60" s="702" t="str">
        <f t="shared" si="44"/>
        <v>.</v>
      </c>
      <c r="AW60" s="986" t="str">
        <f t="shared" si="45"/>
        <v>.</v>
      </c>
      <c r="AX60" s="214"/>
      <c r="AY60" s="3"/>
      <c r="AZ60" s="3"/>
      <c r="BA60" s="3"/>
      <c r="BB60" s="3"/>
    </row>
    <row r="61" spans="1:54" ht="12" x14ac:dyDescent="0.25">
      <c r="A61" s="3"/>
      <c r="B61" s="212"/>
      <c r="C61" s="973" t="str">
        <f t="shared" si="46"/>
        <v>Business</v>
      </c>
      <c r="D61" s="998" t="str">
        <f>IF('WK2 - Notional General Income'!D56="","",'WK2 - Notional General Income'!D56)</f>
        <v/>
      </c>
      <c r="E61" s="579"/>
      <c r="F61" s="579"/>
      <c r="G61" s="579"/>
      <c r="H61" s="579"/>
      <c r="I61" s="579"/>
      <c r="J61" s="580"/>
      <c r="K61" s="579"/>
      <c r="L61" s="579"/>
      <c r="M61" s="220"/>
      <c r="N61" s="3"/>
      <c r="O61" s="135"/>
      <c r="P61" s="96"/>
      <c r="Q61" s="3"/>
      <c r="R61" s="212"/>
      <c r="S61" s="699" t="str">
        <f t="shared" si="25"/>
        <v>.</v>
      </c>
      <c r="T61" s="700" t="str">
        <f t="shared" si="26"/>
        <v>.</v>
      </c>
      <c r="U61" s="700" t="str">
        <f t="shared" si="27"/>
        <v>.</v>
      </c>
      <c r="V61" s="700" t="str">
        <f t="shared" si="28"/>
        <v>.</v>
      </c>
      <c r="W61" s="700" t="str">
        <f t="shared" si="29"/>
        <v>.</v>
      </c>
      <c r="X61" s="700" t="str">
        <f t="shared" si="30"/>
        <v>.</v>
      </c>
      <c r="Y61" s="701" t="str">
        <f t="shared" si="31"/>
        <v>.</v>
      </c>
      <c r="Z61" s="3"/>
      <c r="AA61" s="985" t="str">
        <f t="shared" si="32"/>
        <v>.</v>
      </c>
      <c r="AB61" s="702" t="str">
        <f t="shared" si="33"/>
        <v>.</v>
      </c>
      <c r="AC61" s="702" t="str">
        <f t="shared" si="34"/>
        <v>.</v>
      </c>
      <c r="AD61" s="702" t="str">
        <f t="shared" si="35"/>
        <v>.</v>
      </c>
      <c r="AE61" s="702" t="str">
        <f t="shared" si="36"/>
        <v>.</v>
      </c>
      <c r="AF61" s="702" t="str">
        <f t="shared" si="37"/>
        <v>.</v>
      </c>
      <c r="AG61" s="986" t="str">
        <f t="shared" si="38"/>
        <v>.</v>
      </c>
      <c r="AH61" s="3"/>
      <c r="AI61" s="699" t="str">
        <f>IF(S61=".",".",SUM($S61:S61))</f>
        <v>.</v>
      </c>
      <c r="AJ61" s="700" t="str">
        <f>IF(T61=".",".",SUM($S61:T61))</f>
        <v>.</v>
      </c>
      <c r="AK61" s="700" t="str">
        <f>IF(U61=".",".",SUM($S61:U61))</f>
        <v>.</v>
      </c>
      <c r="AL61" s="700" t="str">
        <f>IF(V61=".",".",SUM($S61:V61))</f>
        <v>.</v>
      </c>
      <c r="AM61" s="700" t="str">
        <f>IF(W61=".",".",SUM($S61:W61))</f>
        <v>.</v>
      </c>
      <c r="AN61" s="700" t="str">
        <f>IF(X61=".",".",SUM($S61:X61))</f>
        <v>.</v>
      </c>
      <c r="AO61" s="701" t="str">
        <f>IF(Y61=".",".",SUM($S61:Y61))</f>
        <v>.</v>
      </c>
      <c r="AP61" s="3"/>
      <c r="AQ61" s="985" t="str">
        <f t="shared" si="39"/>
        <v>.</v>
      </c>
      <c r="AR61" s="702" t="str">
        <f t="shared" si="40"/>
        <v>.</v>
      </c>
      <c r="AS61" s="702" t="str">
        <f t="shared" si="41"/>
        <v>.</v>
      </c>
      <c r="AT61" s="702" t="str">
        <f t="shared" si="42"/>
        <v>.</v>
      </c>
      <c r="AU61" s="702" t="str">
        <f t="shared" si="43"/>
        <v>.</v>
      </c>
      <c r="AV61" s="702" t="str">
        <f t="shared" si="44"/>
        <v>.</v>
      </c>
      <c r="AW61" s="986" t="str">
        <f t="shared" si="45"/>
        <v>.</v>
      </c>
      <c r="AX61" s="214"/>
      <c r="AY61" s="3"/>
      <c r="AZ61" s="3"/>
      <c r="BA61" s="3"/>
      <c r="BB61" s="3"/>
    </row>
    <row r="62" spans="1:54" ht="12" x14ac:dyDescent="0.25">
      <c r="A62" s="3"/>
      <c r="B62" s="212"/>
      <c r="C62" s="973" t="str">
        <f t="shared" si="46"/>
        <v>Business</v>
      </c>
      <c r="D62" s="998" t="str">
        <f>IF('WK2 - Notional General Income'!D57="","",'WK2 - Notional General Income'!D57)</f>
        <v/>
      </c>
      <c r="E62" s="579"/>
      <c r="F62" s="579"/>
      <c r="G62" s="579"/>
      <c r="H62" s="579"/>
      <c r="I62" s="579"/>
      <c r="J62" s="580"/>
      <c r="K62" s="579"/>
      <c r="L62" s="579"/>
      <c r="M62" s="220"/>
      <c r="N62" s="3"/>
      <c r="O62" s="135"/>
      <c r="P62" s="96"/>
      <c r="Q62" s="3"/>
      <c r="R62" s="212"/>
      <c r="S62" s="699" t="str">
        <f t="shared" si="25"/>
        <v>.</v>
      </c>
      <c r="T62" s="700" t="str">
        <f t="shared" si="26"/>
        <v>.</v>
      </c>
      <c r="U62" s="700" t="str">
        <f t="shared" si="27"/>
        <v>.</v>
      </c>
      <c r="V62" s="700" t="str">
        <f t="shared" si="28"/>
        <v>.</v>
      </c>
      <c r="W62" s="700" t="str">
        <f t="shared" si="29"/>
        <v>.</v>
      </c>
      <c r="X62" s="700" t="str">
        <f t="shared" si="30"/>
        <v>.</v>
      </c>
      <c r="Y62" s="701" t="str">
        <f t="shared" si="31"/>
        <v>.</v>
      </c>
      <c r="Z62" s="3"/>
      <c r="AA62" s="985" t="str">
        <f t="shared" si="32"/>
        <v>.</v>
      </c>
      <c r="AB62" s="702" t="str">
        <f t="shared" si="33"/>
        <v>.</v>
      </c>
      <c r="AC62" s="702" t="str">
        <f t="shared" si="34"/>
        <v>.</v>
      </c>
      <c r="AD62" s="702" t="str">
        <f t="shared" si="35"/>
        <v>.</v>
      </c>
      <c r="AE62" s="702" t="str">
        <f t="shared" si="36"/>
        <v>.</v>
      </c>
      <c r="AF62" s="702" t="str">
        <f t="shared" si="37"/>
        <v>.</v>
      </c>
      <c r="AG62" s="986" t="str">
        <f t="shared" si="38"/>
        <v>.</v>
      </c>
      <c r="AH62" s="3"/>
      <c r="AI62" s="699" t="str">
        <f>IF(S62=".",".",SUM($S62:S62))</f>
        <v>.</v>
      </c>
      <c r="AJ62" s="700" t="str">
        <f>IF(T62=".",".",SUM($S62:T62))</f>
        <v>.</v>
      </c>
      <c r="AK62" s="700" t="str">
        <f>IF(U62=".",".",SUM($S62:U62))</f>
        <v>.</v>
      </c>
      <c r="AL62" s="700" t="str">
        <f>IF(V62=".",".",SUM($S62:V62))</f>
        <v>.</v>
      </c>
      <c r="AM62" s="700" t="str">
        <f>IF(W62=".",".",SUM($S62:W62))</f>
        <v>.</v>
      </c>
      <c r="AN62" s="700" t="str">
        <f>IF(X62=".",".",SUM($S62:X62))</f>
        <v>.</v>
      </c>
      <c r="AO62" s="701" t="str">
        <f>IF(Y62=".",".",SUM($S62:Y62))</f>
        <v>.</v>
      </c>
      <c r="AP62" s="3"/>
      <c r="AQ62" s="985" t="str">
        <f t="shared" si="39"/>
        <v>.</v>
      </c>
      <c r="AR62" s="702" t="str">
        <f t="shared" si="40"/>
        <v>.</v>
      </c>
      <c r="AS62" s="702" t="str">
        <f t="shared" si="41"/>
        <v>.</v>
      </c>
      <c r="AT62" s="702" t="str">
        <f t="shared" si="42"/>
        <v>.</v>
      </c>
      <c r="AU62" s="702" t="str">
        <f t="shared" si="43"/>
        <v>.</v>
      </c>
      <c r="AV62" s="702" t="str">
        <f t="shared" si="44"/>
        <v>.</v>
      </c>
      <c r="AW62" s="986" t="str">
        <f t="shared" si="45"/>
        <v>.</v>
      </c>
      <c r="AX62" s="214"/>
      <c r="AY62" s="3"/>
      <c r="AZ62" s="3"/>
      <c r="BA62" s="3"/>
      <c r="BB62" s="3"/>
    </row>
    <row r="63" spans="1:54" ht="12" x14ac:dyDescent="0.25">
      <c r="A63" s="3"/>
      <c r="B63" s="212"/>
      <c r="C63" s="973" t="str">
        <f t="shared" si="46"/>
        <v>Business</v>
      </c>
      <c r="D63" s="998" t="str">
        <f>IF('WK2 - Notional General Income'!D58="","",'WK2 - Notional General Income'!D58)</f>
        <v/>
      </c>
      <c r="E63" s="579"/>
      <c r="F63" s="579"/>
      <c r="G63" s="579"/>
      <c r="H63" s="579"/>
      <c r="I63" s="579"/>
      <c r="J63" s="580"/>
      <c r="K63" s="579"/>
      <c r="L63" s="579"/>
      <c r="M63" s="220"/>
      <c r="N63" s="3"/>
      <c r="O63" s="135"/>
      <c r="P63" s="96"/>
      <c r="Q63" s="3"/>
      <c r="R63" s="212"/>
      <c r="S63" s="699" t="str">
        <f t="shared" si="25"/>
        <v>.</v>
      </c>
      <c r="T63" s="700" t="str">
        <f t="shared" si="26"/>
        <v>.</v>
      </c>
      <c r="U63" s="700" t="str">
        <f t="shared" si="27"/>
        <v>.</v>
      </c>
      <c r="V63" s="700" t="str">
        <f t="shared" si="28"/>
        <v>.</v>
      </c>
      <c r="W63" s="700" t="str">
        <f t="shared" si="29"/>
        <v>.</v>
      </c>
      <c r="X63" s="700" t="str">
        <f t="shared" si="30"/>
        <v>.</v>
      </c>
      <c r="Y63" s="701" t="str">
        <f t="shared" si="31"/>
        <v>.</v>
      </c>
      <c r="Z63" s="3"/>
      <c r="AA63" s="985" t="str">
        <f t="shared" si="32"/>
        <v>.</v>
      </c>
      <c r="AB63" s="702" t="str">
        <f t="shared" si="33"/>
        <v>.</v>
      </c>
      <c r="AC63" s="702" t="str">
        <f t="shared" si="34"/>
        <v>.</v>
      </c>
      <c r="AD63" s="702" t="str">
        <f t="shared" si="35"/>
        <v>.</v>
      </c>
      <c r="AE63" s="702" t="str">
        <f t="shared" si="36"/>
        <v>.</v>
      </c>
      <c r="AF63" s="702" t="str">
        <f t="shared" si="37"/>
        <v>.</v>
      </c>
      <c r="AG63" s="986" t="str">
        <f t="shared" si="38"/>
        <v>.</v>
      </c>
      <c r="AH63" s="3"/>
      <c r="AI63" s="699" t="str">
        <f>IF(S63=".",".",SUM($S63:S63))</f>
        <v>.</v>
      </c>
      <c r="AJ63" s="700" t="str">
        <f>IF(T63=".",".",SUM($S63:T63))</f>
        <v>.</v>
      </c>
      <c r="AK63" s="700" t="str">
        <f>IF(U63=".",".",SUM($S63:U63))</f>
        <v>.</v>
      </c>
      <c r="AL63" s="700" t="str">
        <f>IF(V63=".",".",SUM($S63:V63))</f>
        <v>.</v>
      </c>
      <c r="AM63" s="700" t="str">
        <f>IF(W63=".",".",SUM($S63:W63))</f>
        <v>.</v>
      </c>
      <c r="AN63" s="700" t="str">
        <f>IF(X63=".",".",SUM($S63:X63))</f>
        <v>.</v>
      </c>
      <c r="AO63" s="701" t="str">
        <f>IF(Y63=".",".",SUM($S63:Y63))</f>
        <v>.</v>
      </c>
      <c r="AP63" s="3"/>
      <c r="AQ63" s="985" t="str">
        <f t="shared" si="39"/>
        <v>.</v>
      </c>
      <c r="AR63" s="702" t="str">
        <f t="shared" si="40"/>
        <v>.</v>
      </c>
      <c r="AS63" s="702" t="str">
        <f t="shared" si="41"/>
        <v>.</v>
      </c>
      <c r="AT63" s="702" t="str">
        <f t="shared" si="42"/>
        <v>.</v>
      </c>
      <c r="AU63" s="702" t="str">
        <f t="shared" si="43"/>
        <v>.</v>
      </c>
      <c r="AV63" s="702" t="str">
        <f t="shared" si="44"/>
        <v>.</v>
      </c>
      <c r="AW63" s="986" t="str">
        <f t="shared" si="45"/>
        <v>.</v>
      </c>
      <c r="AX63" s="214"/>
      <c r="AY63" s="3"/>
      <c r="AZ63" s="3"/>
      <c r="BA63" s="3"/>
      <c r="BB63" s="3"/>
    </row>
    <row r="64" spans="1:54" ht="12" x14ac:dyDescent="0.25">
      <c r="A64" s="3"/>
      <c r="B64" s="212"/>
      <c r="C64" s="973" t="str">
        <f t="shared" si="46"/>
        <v>Business</v>
      </c>
      <c r="D64" s="998" t="str">
        <f>IF('WK2 - Notional General Income'!D59="","",'WK2 - Notional General Income'!D59)</f>
        <v/>
      </c>
      <c r="E64" s="579"/>
      <c r="F64" s="579"/>
      <c r="G64" s="579"/>
      <c r="H64" s="579"/>
      <c r="I64" s="579"/>
      <c r="J64" s="580"/>
      <c r="K64" s="579"/>
      <c r="L64" s="579"/>
      <c r="M64" s="220"/>
      <c r="N64" s="3"/>
      <c r="O64" s="135"/>
      <c r="P64" s="96"/>
      <c r="Q64" s="3"/>
      <c r="R64" s="212"/>
      <c r="S64" s="699" t="str">
        <f t="shared" si="25"/>
        <v>.</v>
      </c>
      <c r="T64" s="700" t="str">
        <f t="shared" si="26"/>
        <v>.</v>
      </c>
      <c r="U64" s="700" t="str">
        <f t="shared" si="27"/>
        <v>.</v>
      </c>
      <c r="V64" s="700" t="str">
        <f t="shared" si="28"/>
        <v>.</v>
      </c>
      <c r="W64" s="700" t="str">
        <f t="shared" si="29"/>
        <v>.</v>
      </c>
      <c r="X64" s="700" t="str">
        <f t="shared" si="30"/>
        <v>.</v>
      </c>
      <c r="Y64" s="701" t="str">
        <f t="shared" si="31"/>
        <v>.</v>
      </c>
      <c r="Z64" s="3"/>
      <c r="AA64" s="985" t="str">
        <f t="shared" si="32"/>
        <v>.</v>
      </c>
      <c r="AB64" s="702" t="str">
        <f t="shared" si="33"/>
        <v>.</v>
      </c>
      <c r="AC64" s="702" t="str">
        <f t="shared" si="34"/>
        <v>.</v>
      </c>
      <c r="AD64" s="702" t="str">
        <f t="shared" si="35"/>
        <v>.</v>
      </c>
      <c r="AE64" s="702" t="str">
        <f t="shared" si="36"/>
        <v>.</v>
      </c>
      <c r="AF64" s="702" t="str">
        <f t="shared" si="37"/>
        <v>.</v>
      </c>
      <c r="AG64" s="986" t="str">
        <f t="shared" si="38"/>
        <v>.</v>
      </c>
      <c r="AH64" s="3"/>
      <c r="AI64" s="699" t="str">
        <f>IF(S64=".",".",SUM($S64:S64))</f>
        <v>.</v>
      </c>
      <c r="AJ64" s="700" t="str">
        <f>IF(T64=".",".",SUM($S64:T64))</f>
        <v>.</v>
      </c>
      <c r="AK64" s="700" t="str">
        <f>IF(U64=".",".",SUM($S64:U64))</f>
        <v>.</v>
      </c>
      <c r="AL64" s="700" t="str">
        <f>IF(V64=".",".",SUM($S64:V64))</f>
        <v>.</v>
      </c>
      <c r="AM64" s="700" t="str">
        <f>IF(W64=".",".",SUM($S64:W64))</f>
        <v>.</v>
      </c>
      <c r="AN64" s="700" t="str">
        <f>IF(X64=".",".",SUM($S64:X64))</f>
        <v>.</v>
      </c>
      <c r="AO64" s="701" t="str">
        <f>IF(Y64=".",".",SUM($S64:Y64))</f>
        <v>.</v>
      </c>
      <c r="AP64" s="3"/>
      <c r="AQ64" s="985" t="str">
        <f t="shared" si="39"/>
        <v>.</v>
      </c>
      <c r="AR64" s="702" t="str">
        <f t="shared" si="40"/>
        <v>.</v>
      </c>
      <c r="AS64" s="702" t="str">
        <f t="shared" si="41"/>
        <v>.</v>
      </c>
      <c r="AT64" s="702" t="str">
        <f t="shared" si="42"/>
        <v>.</v>
      </c>
      <c r="AU64" s="702" t="str">
        <f t="shared" si="43"/>
        <v>.</v>
      </c>
      <c r="AV64" s="702" t="str">
        <f t="shared" si="44"/>
        <v>.</v>
      </c>
      <c r="AW64" s="986" t="str">
        <f t="shared" si="45"/>
        <v>.</v>
      </c>
      <c r="AX64" s="214"/>
      <c r="AY64" s="3"/>
      <c r="AZ64" s="3"/>
      <c r="BA64" s="3"/>
      <c r="BB64" s="3"/>
    </row>
    <row r="65" spans="1:54" ht="12" x14ac:dyDescent="0.25">
      <c r="A65" s="3"/>
      <c r="B65" s="212"/>
      <c r="C65" s="973" t="str">
        <f t="shared" si="46"/>
        <v>Business</v>
      </c>
      <c r="D65" s="998" t="str">
        <f>IF('WK2 - Notional General Income'!D60="","",'WK2 - Notional General Income'!D60)</f>
        <v/>
      </c>
      <c r="E65" s="579"/>
      <c r="F65" s="579"/>
      <c r="G65" s="579"/>
      <c r="H65" s="579"/>
      <c r="I65" s="579"/>
      <c r="J65" s="580"/>
      <c r="K65" s="579"/>
      <c r="L65" s="579"/>
      <c r="M65" s="220"/>
      <c r="N65" s="3"/>
      <c r="O65" s="135"/>
      <c r="P65" s="96"/>
      <c r="Q65" s="3"/>
      <c r="R65" s="212"/>
      <c r="S65" s="699" t="str">
        <f t="shared" si="25"/>
        <v>.</v>
      </c>
      <c r="T65" s="700" t="str">
        <f t="shared" si="26"/>
        <v>.</v>
      </c>
      <c r="U65" s="700" t="str">
        <f t="shared" si="27"/>
        <v>.</v>
      </c>
      <c r="V65" s="700" t="str">
        <f t="shared" si="28"/>
        <v>.</v>
      </c>
      <c r="W65" s="700" t="str">
        <f t="shared" si="29"/>
        <v>.</v>
      </c>
      <c r="X65" s="700" t="str">
        <f t="shared" si="30"/>
        <v>.</v>
      </c>
      <c r="Y65" s="701" t="str">
        <f t="shared" si="31"/>
        <v>.</v>
      </c>
      <c r="Z65" s="3"/>
      <c r="AA65" s="985" t="str">
        <f t="shared" si="32"/>
        <v>.</v>
      </c>
      <c r="AB65" s="702" t="str">
        <f t="shared" si="33"/>
        <v>.</v>
      </c>
      <c r="AC65" s="702" t="str">
        <f t="shared" si="34"/>
        <v>.</v>
      </c>
      <c r="AD65" s="702" t="str">
        <f t="shared" si="35"/>
        <v>.</v>
      </c>
      <c r="AE65" s="702" t="str">
        <f t="shared" si="36"/>
        <v>.</v>
      </c>
      <c r="AF65" s="702" t="str">
        <f t="shared" si="37"/>
        <v>.</v>
      </c>
      <c r="AG65" s="986" t="str">
        <f t="shared" si="38"/>
        <v>.</v>
      </c>
      <c r="AH65" s="3"/>
      <c r="AI65" s="699" t="str">
        <f>IF(S65=".",".",SUM($S65:S65))</f>
        <v>.</v>
      </c>
      <c r="AJ65" s="700" t="str">
        <f>IF(T65=".",".",SUM($S65:T65))</f>
        <v>.</v>
      </c>
      <c r="AK65" s="700" t="str">
        <f>IF(U65=".",".",SUM($S65:U65))</f>
        <v>.</v>
      </c>
      <c r="AL65" s="700" t="str">
        <f>IF(V65=".",".",SUM($S65:V65))</f>
        <v>.</v>
      </c>
      <c r="AM65" s="700" t="str">
        <f>IF(W65=".",".",SUM($S65:W65))</f>
        <v>.</v>
      </c>
      <c r="AN65" s="700" t="str">
        <f>IF(X65=".",".",SUM($S65:X65))</f>
        <v>.</v>
      </c>
      <c r="AO65" s="701" t="str">
        <f>IF(Y65=".",".",SUM($S65:Y65))</f>
        <v>.</v>
      </c>
      <c r="AP65" s="3"/>
      <c r="AQ65" s="985" t="str">
        <f t="shared" si="39"/>
        <v>.</v>
      </c>
      <c r="AR65" s="702" t="str">
        <f t="shared" si="40"/>
        <v>.</v>
      </c>
      <c r="AS65" s="702" t="str">
        <f t="shared" si="41"/>
        <v>.</v>
      </c>
      <c r="AT65" s="702" t="str">
        <f t="shared" si="42"/>
        <v>.</v>
      </c>
      <c r="AU65" s="702" t="str">
        <f t="shared" si="43"/>
        <v>.</v>
      </c>
      <c r="AV65" s="702" t="str">
        <f t="shared" si="44"/>
        <v>.</v>
      </c>
      <c r="AW65" s="986" t="str">
        <f t="shared" si="45"/>
        <v>.</v>
      </c>
      <c r="AX65" s="214"/>
      <c r="AY65" s="3"/>
      <c r="AZ65" s="3"/>
      <c r="BA65" s="3"/>
      <c r="BB65" s="3"/>
    </row>
    <row r="66" spans="1:54" ht="12" x14ac:dyDescent="0.25">
      <c r="A66" s="3"/>
      <c r="B66" s="212"/>
      <c r="C66" s="973" t="str">
        <f t="shared" si="46"/>
        <v>Business</v>
      </c>
      <c r="D66" s="998" t="str">
        <f>IF('WK2 - Notional General Income'!D61="","",'WK2 - Notional General Income'!D61)</f>
        <v/>
      </c>
      <c r="E66" s="579"/>
      <c r="F66" s="579"/>
      <c r="G66" s="579"/>
      <c r="H66" s="579"/>
      <c r="I66" s="579"/>
      <c r="J66" s="580"/>
      <c r="K66" s="579"/>
      <c r="L66" s="579"/>
      <c r="M66" s="220"/>
      <c r="N66" s="3"/>
      <c r="O66" s="135"/>
      <c r="P66" s="96"/>
      <c r="Q66" s="3"/>
      <c r="R66" s="212"/>
      <c r="S66" s="699" t="str">
        <f t="shared" si="25"/>
        <v>.</v>
      </c>
      <c r="T66" s="700" t="str">
        <f t="shared" si="26"/>
        <v>.</v>
      </c>
      <c r="U66" s="700" t="str">
        <f t="shared" si="27"/>
        <v>.</v>
      </c>
      <c r="V66" s="700" t="str">
        <f t="shared" si="28"/>
        <v>.</v>
      </c>
      <c r="W66" s="700" t="str">
        <f t="shared" si="29"/>
        <v>.</v>
      </c>
      <c r="X66" s="700" t="str">
        <f t="shared" si="30"/>
        <v>.</v>
      </c>
      <c r="Y66" s="701" t="str">
        <f t="shared" si="31"/>
        <v>.</v>
      </c>
      <c r="Z66" s="3"/>
      <c r="AA66" s="985" t="str">
        <f t="shared" si="32"/>
        <v>.</v>
      </c>
      <c r="AB66" s="702" t="str">
        <f t="shared" si="33"/>
        <v>.</v>
      </c>
      <c r="AC66" s="702" t="str">
        <f t="shared" si="34"/>
        <v>.</v>
      </c>
      <c r="AD66" s="702" t="str">
        <f t="shared" si="35"/>
        <v>.</v>
      </c>
      <c r="AE66" s="702" t="str">
        <f t="shared" si="36"/>
        <v>.</v>
      </c>
      <c r="AF66" s="702" t="str">
        <f t="shared" si="37"/>
        <v>.</v>
      </c>
      <c r="AG66" s="986" t="str">
        <f t="shared" si="38"/>
        <v>.</v>
      </c>
      <c r="AH66" s="3"/>
      <c r="AI66" s="699" t="str">
        <f>IF(S66=".",".",SUM($S66:S66))</f>
        <v>.</v>
      </c>
      <c r="AJ66" s="700" t="str">
        <f>IF(T66=".",".",SUM($S66:T66))</f>
        <v>.</v>
      </c>
      <c r="AK66" s="700" t="str">
        <f>IF(U66=".",".",SUM($S66:U66))</f>
        <v>.</v>
      </c>
      <c r="AL66" s="700" t="str">
        <f>IF(V66=".",".",SUM($S66:V66))</f>
        <v>.</v>
      </c>
      <c r="AM66" s="700" t="str">
        <f>IF(W66=".",".",SUM($S66:W66))</f>
        <v>.</v>
      </c>
      <c r="AN66" s="700" t="str">
        <f>IF(X66=".",".",SUM($S66:X66))</f>
        <v>.</v>
      </c>
      <c r="AO66" s="701" t="str">
        <f>IF(Y66=".",".",SUM($S66:Y66))</f>
        <v>.</v>
      </c>
      <c r="AP66" s="3"/>
      <c r="AQ66" s="985" t="str">
        <f t="shared" si="39"/>
        <v>.</v>
      </c>
      <c r="AR66" s="702" t="str">
        <f t="shared" si="40"/>
        <v>.</v>
      </c>
      <c r="AS66" s="702" t="str">
        <f t="shared" si="41"/>
        <v>.</v>
      </c>
      <c r="AT66" s="702" t="str">
        <f t="shared" si="42"/>
        <v>.</v>
      </c>
      <c r="AU66" s="702" t="str">
        <f t="shared" si="43"/>
        <v>.</v>
      </c>
      <c r="AV66" s="702" t="str">
        <f t="shared" si="44"/>
        <v>.</v>
      </c>
      <c r="AW66" s="986" t="str">
        <f t="shared" si="45"/>
        <v>.</v>
      </c>
      <c r="AX66" s="214"/>
      <c r="AY66" s="3"/>
      <c r="AZ66" s="3"/>
      <c r="BA66" s="3"/>
      <c r="BB66" s="3"/>
    </row>
    <row r="67" spans="1:54" ht="12" x14ac:dyDescent="0.25">
      <c r="A67" s="3"/>
      <c r="B67" s="212"/>
      <c r="C67" s="973" t="str">
        <f t="shared" si="46"/>
        <v>Business</v>
      </c>
      <c r="D67" s="998" t="str">
        <f>IF('WK2 - Notional General Income'!D62="","",'WK2 - Notional General Income'!D62)</f>
        <v/>
      </c>
      <c r="E67" s="579"/>
      <c r="F67" s="579"/>
      <c r="G67" s="579"/>
      <c r="H67" s="579"/>
      <c r="I67" s="579"/>
      <c r="J67" s="580"/>
      <c r="K67" s="579"/>
      <c r="L67" s="579"/>
      <c r="M67" s="220"/>
      <c r="N67" s="3"/>
      <c r="O67" s="135"/>
      <c r="P67" s="96"/>
      <c r="Q67" s="3"/>
      <c r="R67" s="212"/>
      <c r="S67" s="699" t="str">
        <f t="shared" si="25"/>
        <v>.</v>
      </c>
      <c r="T67" s="700" t="str">
        <f t="shared" si="26"/>
        <v>.</v>
      </c>
      <c r="U67" s="700" t="str">
        <f t="shared" si="27"/>
        <v>.</v>
      </c>
      <c r="V67" s="700" t="str">
        <f t="shared" si="28"/>
        <v>.</v>
      </c>
      <c r="W67" s="700" t="str">
        <f t="shared" si="29"/>
        <v>.</v>
      </c>
      <c r="X67" s="700" t="str">
        <f t="shared" si="30"/>
        <v>.</v>
      </c>
      <c r="Y67" s="701" t="str">
        <f t="shared" si="31"/>
        <v>.</v>
      </c>
      <c r="Z67" s="3"/>
      <c r="AA67" s="985" t="str">
        <f t="shared" si="32"/>
        <v>.</v>
      </c>
      <c r="AB67" s="702" t="str">
        <f t="shared" si="33"/>
        <v>.</v>
      </c>
      <c r="AC67" s="702" t="str">
        <f t="shared" si="34"/>
        <v>.</v>
      </c>
      <c r="AD67" s="702" t="str">
        <f t="shared" si="35"/>
        <v>.</v>
      </c>
      <c r="AE67" s="702" t="str">
        <f t="shared" si="36"/>
        <v>.</v>
      </c>
      <c r="AF67" s="702" t="str">
        <f t="shared" si="37"/>
        <v>.</v>
      </c>
      <c r="AG67" s="986" t="str">
        <f t="shared" si="38"/>
        <v>.</v>
      </c>
      <c r="AH67" s="3"/>
      <c r="AI67" s="699" t="str">
        <f>IF(S67=".",".",SUM($S67:S67))</f>
        <v>.</v>
      </c>
      <c r="AJ67" s="700" t="str">
        <f>IF(T67=".",".",SUM($S67:T67))</f>
        <v>.</v>
      </c>
      <c r="AK67" s="700" t="str">
        <f>IF(U67=".",".",SUM($S67:U67))</f>
        <v>.</v>
      </c>
      <c r="AL67" s="700" t="str">
        <f>IF(V67=".",".",SUM($S67:V67))</f>
        <v>.</v>
      </c>
      <c r="AM67" s="700" t="str">
        <f>IF(W67=".",".",SUM($S67:W67))</f>
        <v>.</v>
      </c>
      <c r="AN67" s="700" t="str">
        <f>IF(X67=".",".",SUM($S67:X67))</f>
        <v>.</v>
      </c>
      <c r="AO67" s="701" t="str">
        <f>IF(Y67=".",".",SUM($S67:Y67))</f>
        <v>.</v>
      </c>
      <c r="AP67" s="3"/>
      <c r="AQ67" s="985" t="str">
        <f t="shared" si="39"/>
        <v>.</v>
      </c>
      <c r="AR67" s="702" t="str">
        <f t="shared" si="40"/>
        <v>.</v>
      </c>
      <c r="AS67" s="702" t="str">
        <f t="shared" si="41"/>
        <v>.</v>
      </c>
      <c r="AT67" s="702" t="str">
        <f t="shared" si="42"/>
        <v>.</v>
      </c>
      <c r="AU67" s="702" t="str">
        <f t="shared" si="43"/>
        <v>.</v>
      </c>
      <c r="AV67" s="702" t="str">
        <f t="shared" si="44"/>
        <v>.</v>
      </c>
      <c r="AW67" s="986" t="str">
        <f t="shared" si="45"/>
        <v>.</v>
      </c>
      <c r="AX67" s="214"/>
      <c r="AY67" s="3"/>
      <c r="AZ67" s="3"/>
      <c r="BA67" s="3"/>
      <c r="BB67" s="3"/>
    </row>
    <row r="68" spans="1:54" ht="12" x14ac:dyDescent="0.25">
      <c r="A68" s="3"/>
      <c r="B68" s="212"/>
      <c r="C68" s="973" t="str">
        <f t="shared" si="46"/>
        <v>Business</v>
      </c>
      <c r="D68" s="998" t="str">
        <f>IF('WK2 - Notional General Income'!D63="","",'WK2 - Notional General Income'!D63)</f>
        <v/>
      </c>
      <c r="E68" s="579"/>
      <c r="F68" s="579"/>
      <c r="G68" s="579"/>
      <c r="H68" s="579"/>
      <c r="I68" s="579"/>
      <c r="J68" s="580"/>
      <c r="K68" s="579"/>
      <c r="L68" s="579"/>
      <c r="M68" s="220"/>
      <c r="N68" s="3"/>
      <c r="O68" s="135"/>
      <c r="P68" s="96"/>
      <c r="Q68" s="3"/>
      <c r="R68" s="212"/>
      <c r="S68" s="699" t="str">
        <f t="shared" si="25"/>
        <v>.</v>
      </c>
      <c r="T68" s="700" t="str">
        <f t="shared" si="26"/>
        <v>.</v>
      </c>
      <c r="U68" s="700" t="str">
        <f t="shared" si="27"/>
        <v>.</v>
      </c>
      <c r="V68" s="700" t="str">
        <f t="shared" si="28"/>
        <v>.</v>
      </c>
      <c r="W68" s="700" t="str">
        <f t="shared" si="29"/>
        <v>.</v>
      </c>
      <c r="X68" s="700" t="str">
        <f t="shared" si="30"/>
        <v>.</v>
      </c>
      <c r="Y68" s="701" t="str">
        <f t="shared" si="31"/>
        <v>.</v>
      </c>
      <c r="Z68" s="3"/>
      <c r="AA68" s="985" t="str">
        <f t="shared" si="32"/>
        <v>.</v>
      </c>
      <c r="AB68" s="702" t="str">
        <f t="shared" si="33"/>
        <v>.</v>
      </c>
      <c r="AC68" s="702" t="str">
        <f t="shared" si="34"/>
        <v>.</v>
      </c>
      <c r="AD68" s="702" t="str">
        <f t="shared" si="35"/>
        <v>.</v>
      </c>
      <c r="AE68" s="702" t="str">
        <f t="shared" si="36"/>
        <v>.</v>
      </c>
      <c r="AF68" s="702" t="str">
        <f t="shared" si="37"/>
        <v>.</v>
      </c>
      <c r="AG68" s="986" t="str">
        <f t="shared" si="38"/>
        <v>.</v>
      </c>
      <c r="AH68" s="3"/>
      <c r="AI68" s="699" t="str">
        <f>IF(S68=".",".",SUM($S68:S68))</f>
        <v>.</v>
      </c>
      <c r="AJ68" s="700" t="str">
        <f>IF(T68=".",".",SUM($S68:T68))</f>
        <v>.</v>
      </c>
      <c r="AK68" s="700" t="str">
        <f>IF(U68=".",".",SUM($S68:U68))</f>
        <v>.</v>
      </c>
      <c r="AL68" s="700" t="str">
        <f>IF(V68=".",".",SUM($S68:V68))</f>
        <v>.</v>
      </c>
      <c r="AM68" s="700" t="str">
        <f>IF(W68=".",".",SUM($S68:W68))</f>
        <v>.</v>
      </c>
      <c r="AN68" s="700" t="str">
        <f>IF(X68=".",".",SUM($S68:X68))</f>
        <v>.</v>
      </c>
      <c r="AO68" s="701" t="str">
        <f>IF(Y68=".",".",SUM($S68:Y68))</f>
        <v>.</v>
      </c>
      <c r="AP68" s="3"/>
      <c r="AQ68" s="985" t="str">
        <f t="shared" si="39"/>
        <v>.</v>
      </c>
      <c r="AR68" s="702" t="str">
        <f t="shared" si="40"/>
        <v>.</v>
      </c>
      <c r="AS68" s="702" t="str">
        <f t="shared" si="41"/>
        <v>.</v>
      </c>
      <c r="AT68" s="702" t="str">
        <f t="shared" si="42"/>
        <v>.</v>
      </c>
      <c r="AU68" s="702" t="str">
        <f t="shared" si="43"/>
        <v>.</v>
      </c>
      <c r="AV68" s="702" t="str">
        <f t="shared" si="44"/>
        <v>.</v>
      </c>
      <c r="AW68" s="986" t="str">
        <f t="shared" si="45"/>
        <v>.</v>
      </c>
      <c r="AX68" s="214"/>
      <c r="AY68" s="3"/>
      <c r="AZ68" s="3"/>
      <c r="BA68" s="3"/>
      <c r="BB68" s="3"/>
    </row>
    <row r="69" spans="1:54" ht="12" x14ac:dyDescent="0.25">
      <c r="A69" s="3"/>
      <c r="B69" s="212"/>
      <c r="C69" s="973" t="str">
        <f t="shared" si="46"/>
        <v>Business</v>
      </c>
      <c r="D69" s="998" t="str">
        <f>IF('WK2 - Notional General Income'!D64="","",'WK2 - Notional General Income'!D64)</f>
        <v/>
      </c>
      <c r="E69" s="579"/>
      <c r="F69" s="579"/>
      <c r="G69" s="579"/>
      <c r="H69" s="579"/>
      <c r="I69" s="579"/>
      <c r="J69" s="580"/>
      <c r="K69" s="579"/>
      <c r="L69" s="579"/>
      <c r="M69" s="220"/>
      <c r="N69" s="3"/>
      <c r="O69" s="135"/>
      <c r="P69" s="96"/>
      <c r="Q69" s="3"/>
      <c r="R69" s="212"/>
      <c r="S69" s="699" t="str">
        <f t="shared" si="25"/>
        <v>.</v>
      </c>
      <c r="T69" s="700" t="str">
        <f t="shared" si="26"/>
        <v>.</v>
      </c>
      <c r="U69" s="700" t="str">
        <f t="shared" si="27"/>
        <v>.</v>
      </c>
      <c r="V69" s="700" t="str">
        <f t="shared" si="28"/>
        <v>.</v>
      </c>
      <c r="W69" s="700" t="str">
        <f t="shared" si="29"/>
        <v>.</v>
      </c>
      <c r="X69" s="700" t="str">
        <f t="shared" si="30"/>
        <v>.</v>
      </c>
      <c r="Y69" s="701" t="str">
        <f t="shared" si="31"/>
        <v>.</v>
      </c>
      <c r="Z69" s="3"/>
      <c r="AA69" s="985" t="str">
        <f t="shared" si="32"/>
        <v>.</v>
      </c>
      <c r="AB69" s="702" t="str">
        <f t="shared" si="33"/>
        <v>.</v>
      </c>
      <c r="AC69" s="702" t="str">
        <f t="shared" si="34"/>
        <v>.</v>
      </c>
      <c r="AD69" s="702" t="str">
        <f t="shared" si="35"/>
        <v>.</v>
      </c>
      <c r="AE69" s="702" t="str">
        <f t="shared" si="36"/>
        <v>.</v>
      </c>
      <c r="AF69" s="702" t="str">
        <f t="shared" si="37"/>
        <v>.</v>
      </c>
      <c r="AG69" s="986" t="str">
        <f t="shared" si="38"/>
        <v>.</v>
      </c>
      <c r="AH69" s="3"/>
      <c r="AI69" s="699" t="str">
        <f>IF(S69=".",".",SUM($S69:S69))</f>
        <v>.</v>
      </c>
      <c r="AJ69" s="700" t="str">
        <f>IF(T69=".",".",SUM($S69:T69))</f>
        <v>.</v>
      </c>
      <c r="AK69" s="700" t="str">
        <f>IF(U69=".",".",SUM($S69:U69))</f>
        <v>.</v>
      </c>
      <c r="AL69" s="700" t="str">
        <f>IF(V69=".",".",SUM($S69:V69))</f>
        <v>.</v>
      </c>
      <c r="AM69" s="700" t="str">
        <f>IF(W69=".",".",SUM($S69:W69))</f>
        <v>.</v>
      </c>
      <c r="AN69" s="700" t="str">
        <f>IF(X69=".",".",SUM($S69:X69))</f>
        <v>.</v>
      </c>
      <c r="AO69" s="701" t="str">
        <f>IF(Y69=".",".",SUM($S69:Y69))</f>
        <v>.</v>
      </c>
      <c r="AP69" s="3"/>
      <c r="AQ69" s="985" t="str">
        <f t="shared" si="39"/>
        <v>.</v>
      </c>
      <c r="AR69" s="702" t="str">
        <f t="shared" si="40"/>
        <v>.</v>
      </c>
      <c r="AS69" s="702" t="str">
        <f t="shared" si="41"/>
        <v>.</v>
      </c>
      <c r="AT69" s="702" t="str">
        <f t="shared" si="42"/>
        <v>.</v>
      </c>
      <c r="AU69" s="702" t="str">
        <f t="shared" si="43"/>
        <v>.</v>
      </c>
      <c r="AV69" s="702" t="str">
        <f t="shared" si="44"/>
        <v>.</v>
      </c>
      <c r="AW69" s="986" t="str">
        <f t="shared" si="45"/>
        <v>.</v>
      </c>
      <c r="AX69" s="214"/>
      <c r="AY69" s="3"/>
      <c r="AZ69" s="3"/>
      <c r="BA69" s="3"/>
      <c r="BB69" s="3"/>
    </row>
    <row r="70" spans="1:54" ht="12" x14ac:dyDescent="0.25">
      <c r="A70" s="3"/>
      <c r="B70" s="212"/>
      <c r="C70" s="584"/>
      <c r="D70" s="584"/>
      <c r="E70" s="584"/>
      <c r="F70" s="584"/>
      <c r="G70" s="584"/>
      <c r="H70" s="584"/>
      <c r="I70" s="584"/>
      <c r="J70" s="584"/>
      <c r="K70" s="584"/>
      <c r="L70" s="584"/>
      <c r="M70" s="220"/>
      <c r="N70" s="3"/>
      <c r="O70" s="135"/>
      <c r="P70" s="96"/>
      <c r="Q70" s="3"/>
      <c r="R70" s="212"/>
      <c r="S70" s="699"/>
      <c r="T70" s="700"/>
      <c r="U70" s="700"/>
      <c r="V70" s="700"/>
      <c r="W70" s="700"/>
      <c r="X70" s="700"/>
      <c r="Y70" s="701"/>
      <c r="Z70" s="3"/>
      <c r="AA70" s="985"/>
      <c r="AB70" s="702"/>
      <c r="AC70" s="702"/>
      <c r="AD70" s="702"/>
      <c r="AE70" s="702"/>
      <c r="AF70" s="702"/>
      <c r="AG70" s="986"/>
      <c r="AH70" s="3"/>
      <c r="AI70" s="699"/>
      <c r="AJ70" s="700"/>
      <c r="AK70" s="700"/>
      <c r="AL70" s="700"/>
      <c r="AM70" s="700"/>
      <c r="AN70" s="700"/>
      <c r="AO70" s="701"/>
      <c r="AP70" s="3"/>
      <c r="AQ70" s="985"/>
      <c r="AR70" s="702"/>
      <c r="AS70" s="702"/>
      <c r="AT70" s="702"/>
      <c r="AU70" s="702"/>
      <c r="AV70" s="702"/>
      <c r="AW70" s="986"/>
      <c r="AX70" s="214"/>
      <c r="AY70" s="3"/>
      <c r="AZ70" s="3"/>
      <c r="BA70" s="3"/>
      <c r="BB70" s="3"/>
    </row>
    <row r="71" spans="1:54" ht="12" x14ac:dyDescent="0.25">
      <c r="A71" s="3"/>
      <c r="B71" s="212"/>
      <c r="C71" s="973" t="str">
        <f>'WK3 - Notional GI Yr1 YIELD'!C66</f>
        <v>Farmland</v>
      </c>
      <c r="D71" s="998" t="str">
        <f>IF('WK2 - Notional General Income'!D66="","",'WK2 - Notional General Income'!D66)</f>
        <v>Farmland</v>
      </c>
      <c r="E71" s="579"/>
      <c r="F71" s="579"/>
      <c r="G71" s="579"/>
      <c r="H71" s="579"/>
      <c r="I71" s="579"/>
      <c r="J71" s="580"/>
      <c r="K71" s="579"/>
      <c r="L71" s="579"/>
      <c r="M71" s="220"/>
      <c r="N71" s="3"/>
      <c r="O71" s="135"/>
      <c r="P71" s="96"/>
      <c r="Q71" s="3"/>
      <c r="R71" s="212"/>
      <c r="S71" s="699" t="str">
        <f t="shared" si="25"/>
        <v>.</v>
      </c>
      <c r="T71" s="700" t="str">
        <f t="shared" si="26"/>
        <v>.</v>
      </c>
      <c r="U71" s="700" t="str">
        <f t="shared" si="27"/>
        <v>.</v>
      </c>
      <c r="V71" s="700" t="str">
        <f t="shared" si="28"/>
        <v>.</v>
      </c>
      <c r="W71" s="700" t="str">
        <f t="shared" si="29"/>
        <v>.</v>
      </c>
      <c r="X71" s="700" t="str">
        <f t="shared" si="30"/>
        <v>.</v>
      </c>
      <c r="Y71" s="701" t="str">
        <f t="shared" si="31"/>
        <v>.</v>
      </c>
      <c r="Z71" s="3"/>
      <c r="AA71" s="985" t="str">
        <f t="shared" si="32"/>
        <v>.</v>
      </c>
      <c r="AB71" s="702" t="str">
        <f t="shared" si="33"/>
        <v>.</v>
      </c>
      <c r="AC71" s="702" t="str">
        <f t="shared" si="34"/>
        <v>.</v>
      </c>
      <c r="AD71" s="702" t="str">
        <f t="shared" si="35"/>
        <v>.</v>
      </c>
      <c r="AE71" s="702" t="str">
        <f t="shared" si="36"/>
        <v>.</v>
      </c>
      <c r="AF71" s="702" t="str">
        <f t="shared" si="37"/>
        <v>.</v>
      </c>
      <c r="AG71" s="986" t="str">
        <f t="shared" si="38"/>
        <v>.</v>
      </c>
      <c r="AH71" s="3"/>
      <c r="AI71" s="699" t="str">
        <f>IF(S71=".",".",SUM($S71:S71))</f>
        <v>.</v>
      </c>
      <c r="AJ71" s="700" t="str">
        <f>IF(T71=".",".",SUM($S71:T71))</f>
        <v>.</v>
      </c>
      <c r="AK71" s="700" t="str">
        <f>IF(U71=".",".",SUM($S71:U71))</f>
        <v>.</v>
      </c>
      <c r="AL71" s="700" t="str">
        <f>IF(V71=".",".",SUM($S71:V71))</f>
        <v>.</v>
      </c>
      <c r="AM71" s="700" t="str">
        <f>IF(W71=".",".",SUM($S71:W71))</f>
        <v>.</v>
      </c>
      <c r="AN71" s="700" t="str">
        <f>IF(X71=".",".",SUM($S71:X71))</f>
        <v>.</v>
      </c>
      <c r="AO71" s="701" t="str">
        <f>IF(Y71=".",".",SUM($S71:Y71))</f>
        <v>.</v>
      </c>
      <c r="AP71" s="3"/>
      <c r="AQ71" s="985" t="str">
        <f t="shared" si="39"/>
        <v>.</v>
      </c>
      <c r="AR71" s="702" t="str">
        <f t="shared" si="40"/>
        <v>.</v>
      </c>
      <c r="AS71" s="702" t="str">
        <f t="shared" si="41"/>
        <v>.</v>
      </c>
      <c r="AT71" s="702" t="str">
        <f t="shared" si="42"/>
        <v>.</v>
      </c>
      <c r="AU71" s="702" t="str">
        <f t="shared" si="43"/>
        <v>.</v>
      </c>
      <c r="AV71" s="702" t="str">
        <f t="shared" si="44"/>
        <v>.</v>
      </c>
      <c r="AW71" s="986" t="str">
        <f t="shared" si="45"/>
        <v>.</v>
      </c>
      <c r="AX71" s="214"/>
      <c r="AY71" s="3"/>
      <c r="AZ71" s="3"/>
      <c r="BA71" s="3"/>
      <c r="BB71" s="3"/>
    </row>
    <row r="72" spans="1:54" ht="12" x14ac:dyDescent="0.25">
      <c r="A72" s="3"/>
      <c r="B72" s="212"/>
      <c r="C72" s="973" t="str">
        <f t="shared" ref="C72:C80" si="47">C71</f>
        <v>Farmland</v>
      </c>
      <c r="D72" s="998" t="str">
        <f>IF('WK2 - Notional General Income'!D67="","",'WK2 - Notional General Income'!D67)</f>
        <v/>
      </c>
      <c r="E72" s="579"/>
      <c r="F72" s="579"/>
      <c r="G72" s="579"/>
      <c r="H72" s="579"/>
      <c r="I72" s="579"/>
      <c r="J72" s="580"/>
      <c r="K72" s="579"/>
      <c r="L72" s="579"/>
      <c r="M72" s="220"/>
      <c r="N72" s="3"/>
      <c r="O72" s="135"/>
      <c r="P72" s="96"/>
      <c r="Q72" s="3"/>
      <c r="R72" s="212"/>
      <c r="S72" s="699" t="str">
        <f t="shared" si="25"/>
        <v>.</v>
      </c>
      <c r="T72" s="700" t="str">
        <f t="shared" si="26"/>
        <v>.</v>
      </c>
      <c r="U72" s="700" t="str">
        <f t="shared" si="27"/>
        <v>.</v>
      </c>
      <c r="V72" s="700" t="str">
        <f t="shared" si="28"/>
        <v>.</v>
      </c>
      <c r="W72" s="700" t="str">
        <f t="shared" si="29"/>
        <v>.</v>
      </c>
      <c r="X72" s="700" t="str">
        <f t="shared" si="30"/>
        <v>.</v>
      </c>
      <c r="Y72" s="701" t="str">
        <f t="shared" si="31"/>
        <v>.</v>
      </c>
      <c r="Z72" s="3"/>
      <c r="AA72" s="985" t="str">
        <f t="shared" si="32"/>
        <v>.</v>
      </c>
      <c r="AB72" s="702" t="str">
        <f t="shared" si="33"/>
        <v>.</v>
      </c>
      <c r="AC72" s="702" t="str">
        <f t="shared" si="34"/>
        <v>.</v>
      </c>
      <c r="AD72" s="702" t="str">
        <f t="shared" si="35"/>
        <v>.</v>
      </c>
      <c r="AE72" s="702" t="str">
        <f t="shared" si="36"/>
        <v>.</v>
      </c>
      <c r="AF72" s="702" t="str">
        <f t="shared" si="37"/>
        <v>.</v>
      </c>
      <c r="AG72" s="986" t="str">
        <f t="shared" si="38"/>
        <v>.</v>
      </c>
      <c r="AH72" s="3"/>
      <c r="AI72" s="699" t="str">
        <f>IF(S72=".",".",SUM($S72:S72))</f>
        <v>.</v>
      </c>
      <c r="AJ72" s="700" t="str">
        <f>IF(T72=".",".",SUM($S72:T72))</f>
        <v>.</v>
      </c>
      <c r="AK72" s="700" t="str">
        <f>IF(U72=".",".",SUM($S72:U72))</f>
        <v>.</v>
      </c>
      <c r="AL72" s="700" t="str">
        <f>IF(V72=".",".",SUM($S72:V72))</f>
        <v>.</v>
      </c>
      <c r="AM72" s="700" t="str">
        <f>IF(W72=".",".",SUM($S72:W72))</f>
        <v>.</v>
      </c>
      <c r="AN72" s="700" t="str">
        <f>IF(X72=".",".",SUM($S72:X72))</f>
        <v>.</v>
      </c>
      <c r="AO72" s="701" t="str">
        <f>IF(Y72=".",".",SUM($S72:Y72))</f>
        <v>.</v>
      </c>
      <c r="AP72" s="3"/>
      <c r="AQ72" s="985" t="str">
        <f t="shared" si="39"/>
        <v>.</v>
      </c>
      <c r="AR72" s="702" t="str">
        <f t="shared" si="40"/>
        <v>.</v>
      </c>
      <c r="AS72" s="702" t="str">
        <f t="shared" si="41"/>
        <v>.</v>
      </c>
      <c r="AT72" s="702" t="str">
        <f t="shared" si="42"/>
        <v>.</v>
      </c>
      <c r="AU72" s="702" t="str">
        <f t="shared" si="43"/>
        <v>.</v>
      </c>
      <c r="AV72" s="702" t="str">
        <f t="shared" si="44"/>
        <v>.</v>
      </c>
      <c r="AW72" s="986" t="str">
        <f t="shared" si="45"/>
        <v>.</v>
      </c>
      <c r="AX72" s="214"/>
      <c r="AY72" s="3"/>
      <c r="AZ72" s="3"/>
      <c r="BA72" s="3"/>
      <c r="BB72" s="3"/>
    </row>
    <row r="73" spans="1:54" ht="12" x14ac:dyDescent="0.25">
      <c r="A73" s="3"/>
      <c r="B73" s="212"/>
      <c r="C73" s="973" t="str">
        <f t="shared" si="47"/>
        <v>Farmland</v>
      </c>
      <c r="D73" s="998" t="str">
        <f>IF('WK2 - Notional General Income'!D68="","",'WK2 - Notional General Income'!D68)</f>
        <v/>
      </c>
      <c r="E73" s="579"/>
      <c r="F73" s="579"/>
      <c r="G73" s="579"/>
      <c r="H73" s="579"/>
      <c r="I73" s="579"/>
      <c r="J73" s="580"/>
      <c r="K73" s="579"/>
      <c r="L73" s="579"/>
      <c r="M73" s="220"/>
      <c r="N73" s="3"/>
      <c r="O73" s="135"/>
      <c r="P73" s="96"/>
      <c r="Q73" s="3"/>
      <c r="R73" s="212"/>
      <c r="S73" s="699" t="str">
        <f t="shared" si="25"/>
        <v>.</v>
      </c>
      <c r="T73" s="700" t="str">
        <f t="shared" si="26"/>
        <v>.</v>
      </c>
      <c r="U73" s="700" t="str">
        <f t="shared" si="27"/>
        <v>.</v>
      </c>
      <c r="V73" s="700" t="str">
        <f t="shared" si="28"/>
        <v>.</v>
      </c>
      <c r="W73" s="700" t="str">
        <f t="shared" si="29"/>
        <v>.</v>
      </c>
      <c r="X73" s="700" t="str">
        <f t="shared" si="30"/>
        <v>.</v>
      </c>
      <c r="Y73" s="701" t="str">
        <f t="shared" si="31"/>
        <v>.</v>
      </c>
      <c r="Z73" s="3"/>
      <c r="AA73" s="985" t="str">
        <f t="shared" si="32"/>
        <v>.</v>
      </c>
      <c r="AB73" s="702" t="str">
        <f t="shared" si="33"/>
        <v>.</v>
      </c>
      <c r="AC73" s="702" t="str">
        <f t="shared" si="34"/>
        <v>.</v>
      </c>
      <c r="AD73" s="702" t="str">
        <f t="shared" si="35"/>
        <v>.</v>
      </c>
      <c r="AE73" s="702" t="str">
        <f t="shared" si="36"/>
        <v>.</v>
      </c>
      <c r="AF73" s="702" t="str">
        <f t="shared" si="37"/>
        <v>.</v>
      </c>
      <c r="AG73" s="986" t="str">
        <f t="shared" si="38"/>
        <v>.</v>
      </c>
      <c r="AH73" s="3"/>
      <c r="AI73" s="699" t="str">
        <f>IF(S73=".",".",SUM($S73:S73))</f>
        <v>.</v>
      </c>
      <c r="AJ73" s="700" t="str">
        <f>IF(T73=".",".",SUM($S73:T73))</f>
        <v>.</v>
      </c>
      <c r="AK73" s="700" t="str">
        <f>IF(U73=".",".",SUM($S73:U73))</f>
        <v>.</v>
      </c>
      <c r="AL73" s="700" t="str">
        <f>IF(V73=".",".",SUM($S73:V73))</f>
        <v>.</v>
      </c>
      <c r="AM73" s="700" t="str">
        <f>IF(W73=".",".",SUM($S73:W73))</f>
        <v>.</v>
      </c>
      <c r="AN73" s="700" t="str">
        <f>IF(X73=".",".",SUM($S73:X73))</f>
        <v>.</v>
      </c>
      <c r="AO73" s="701" t="str">
        <f>IF(Y73=".",".",SUM($S73:Y73))</f>
        <v>.</v>
      </c>
      <c r="AP73" s="3"/>
      <c r="AQ73" s="985" t="str">
        <f t="shared" si="39"/>
        <v>.</v>
      </c>
      <c r="AR73" s="702" t="str">
        <f t="shared" si="40"/>
        <v>.</v>
      </c>
      <c r="AS73" s="702" t="str">
        <f t="shared" si="41"/>
        <v>.</v>
      </c>
      <c r="AT73" s="702" t="str">
        <f t="shared" si="42"/>
        <v>.</v>
      </c>
      <c r="AU73" s="702" t="str">
        <f t="shared" si="43"/>
        <v>.</v>
      </c>
      <c r="AV73" s="702" t="str">
        <f t="shared" si="44"/>
        <v>.</v>
      </c>
      <c r="AW73" s="986" t="str">
        <f t="shared" si="45"/>
        <v>.</v>
      </c>
      <c r="AX73" s="214"/>
      <c r="AY73" s="3"/>
      <c r="AZ73" s="3"/>
      <c r="BA73" s="3"/>
      <c r="BB73" s="3"/>
    </row>
    <row r="74" spans="1:54" ht="12" x14ac:dyDescent="0.25">
      <c r="A74" s="3"/>
      <c r="B74" s="212"/>
      <c r="C74" s="973" t="str">
        <f t="shared" si="47"/>
        <v>Farmland</v>
      </c>
      <c r="D74" s="998" t="str">
        <f>IF('WK2 - Notional General Income'!D69="","",'WK2 - Notional General Income'!D69)</f>
        <v/>
      </c>
      <c r="E74" s="579"/>
      <c r="F74" s="579"/>
      <c r="G74" s="579"/>
      <c r="H74" s="579"/>
      <c r="I74" s="579"/>
      <c r="J74" s="580"/>
      <c r="K74" s="579"/>
      <c r="L74" s="579"/>
      <c r="M74" s="220"/>
      <c r="N74" s="3"/>
      <c r="O74" s="135"/>
      <c r="P74" s="96"/>
      <c r="Q74" s="3"/>
      <c r="R74" s="212"/>
      <c r="S74" s="699" t="str">
        <f t="shared" si="25"/>
        <v>.</v>
      </c>
      <c r="T74" s="700" t="str">
        <f t="shared" si="26"/>
        <v>.</v>
      </c>
      <c r="U74" s="700" t="str">
        <f t="shared" si="27"/>
        <v>.</v>
      </c>
      <c r="V74" s="700" t="str">
        <f t="shared" si="28"/>
        <v>.</v>
      </c>
      <c r="W74" s="700" t="str">
        <f t="shared" si="29"/>
        <v>.</v>
      </c>
      <c r="X74" s="700" t="str">
        <f t="shared" si="30"/>
        <v>.</v>
      </c>
      <c r="Y74" s="701" t="str">
        <f t="shared" si="31"/>
        <v>.</v>
      </c>
      <c r="Z74" s="3"/>
      <c r="AA74" s="985" t="str">
        <f t="shared" si="32"/>
        <v>.</v>
      </c>
      <c r="AB74" s="702" t="str">
        <f t="shared" si="33"/>
        <v>.</v>
      </c>
      <c r="AC74" s="702" t="str">
        <f t="shared" si="34"/>
        <v>.</v>
      </c>
      <c r="AD74" s="702" t="str">
        <f t="shared" si="35"/>
        <v>.</v>
      </c>
      <c r="AE74" s="702" t="str">
        <f t="shared" si="36"/>
        <v>.</v>
      </c>
      <c r="AF74" s="702" t="str">
        <f t="shared" si="37"/>
        <v>.</v>
      </c>
      <c r="AG74" s="986" t="str">
        <f t="shared" si="38"/>
        <v>.</v>
      </c>
      <c r="AH74" s="3"/>
      <c r="AI74" s="699" t="str">
        <f>IF(S74=".",".",SUM($S74:S74))</f>
        <v>.</v>
      </c>
      <c r="AJ74" s="700" t="str">
        <f>IF(T74=".",".",SUM($S74:T74))</f>
        <v>.</v>
      </c>
      <c r="AK74" s="700" t="str">
        <f>IF(U74=".",".",SUM($S74:U74))</f>
        <v>.</v>
      </c>
      <c r="AL74" s="700" t="str">
        <f>IF(V74=".",".",SUM($S74:V74))</f>
        <v>.</v>
      </c>
      <c r="AM74" s="700" t="str">
        <f>IF(W74=".",".",SUM($S74:W74))</f>
        <v>.</v>
      </c>
      <c r="AN74" s="700" t="str">
        <f>IF(X74=".",".",SUM($S74:X74))</f>
        <v>.</v>
      </c>
      <c r="AO74" s="701" t="str">
        <f>IF(Y74=".",".",SUM($S74:Y74))</f>
        <v>.</v>
      </c>
      <c r="AP74" s="3"/>
      <c r="AQ74" s="985" t="str">
        <f t="shared" si="39"/>
        <v>.</v>
      </c>
      <c r="AR74" s="702" t="str">
        <f t="shared" si="40"/>
        <v>.</v>
      </c>
      <c r="AS74" s="702" t="str">
        <f t="shared" si="41"/>
        <v>.</v>
      </c>
      <c r="AT74" s="702" t="str">
        <f t="shared" si="42"/>
        <v>.</v>
      </c>
      <c r="AU74" s="702" t="str">
        <f t="shared" si="43"/>
        <v>.</v>
      </c>
      <c r="AV74" s="702" t="str">
        <f t="shared" si="44"/>
        <v>.</v>
      </c>
      <c r="AW74" s="986" t="str">
        <f t="shared" si="45"/>
        <v>.</v>
      </c>
      <c r="AX74" s="214"/>
      <c r="AY74" s="3"/>
      <c r="AZ74" s="3"/>
      <c r="BA74" s="3"/>
      <c r="BB74" s="3"/>
    </row>
    <row r="75" spans="1:54" ht="12" x14ac:dyDescent="0.25">
      <c r="A75" s="3"/>
      <c r="B75" s="212"/>
      <c r="C75" s="973" t="str">
        <f t="shared" si="47"/>
        <v>Farmland</v>
      </c>
      <c r="D75" s="998" t="str">
        <f>IF('WK2 - Notional General Income'!D70="","",'WK2 - Notional General Income'!D70)</f>
        <v/>
      </c>
      <c r="E75" s="579"/>
      <c r="F75" s="579"/>
      <c r="G75" s="579"/>
      <c r="H75" s="579"/>
      <c r="I75" s="579"/>
      <c r="J75" s="580"/>
      <c r="K75" s="579"/>
      <c r="L75" s="579"/>
      <c r="M75" s="220"/>
      <c r="N75" s="3"/>
      <c r="O75" s="135"/>
      <c r="P75" s="96"/>
      <c r="Q75" s="3"/>
      <c r="R75" s="212"/>
      <c r="S75" s="699" t="str">
        <f t="shared" si="25"/>
        <v>.</v>
      </c>
      <c r="T75" s="700" t="str">
        <f t="shared" si="26"/>
        <v>.</v>
      </c>
      <c r="U75" s="700" t="str">
        <f t="shared" si="27"/>
        <v>.</v>
      </c>
      <c r="V75" s="700" t="str">
        <f t="shared" si="28"/>
        <v>.</v>
      </c>
      <c r="W75" s="700" t="str">
        <f t="shared" si="29"/>
        <v>.</v>
      </c>
      <c r="X75" s="700" t="str">
        <f t="shared" si="30"/>
        <v>.</v>
      </c>
      <c r="Y75" s="701" t="str">
        <f t="shared" si="31"/>
        <v>.</v>
      </c>
      <c r="Z75" s="3"/>
      <c r="AA75" s="985" t="str">
        <f t="shared" si="32"/>
        <v>.</v>
      </c>
      <c r="AB75" s="702" t="str">
        <f t="shared" si="33"/>
        <v>.</v>
      </c>
      <c r="AC75" s="702" t="str">
        <f t="shared" si="34"/>
        <v>.</v>
      </c>
      <c r="AD75" s="702" t="str">
        <f t="shared" si="35"/>
        <v>.</v>
      </c>
      <c r="AE75" s="702" t="str">
        <f t="shared" si="36"/>
        <v>.</v>
      </c>
      <c r="AF75" s="702" t="str">
        <f t="shared" si="37"/>
        <v>.</v>
      </c>
      <c r="AG75" s="986" t="str">
        <f t="shared" si="38"/>
        <v>.</v>
      </c>
      <c r="AH75" s="3"/>
      <c r="AI75" s="699" t="str">
        <f>IF(S75=".",".",SUM($S75:S75))</f>
        <v>.</v>
      </c>
      <c r="AJ75" s="700" t="str">
        <f>IF(T75=".",".",SUM($S75:T75))</f>
        <v>.</v>
      </c>
      <c r="AK75" s="700" t="str">
        <f>IF(U75=".",".",SUM($S75:U75))</f>
        <v>.</v>
      </c>
      <c r="AL75" s="700" t="str">
        <f>IF(V75=".",".",SUM($S75:V75))</f>
        <v>.</v>
      </c>
      <c r="AM75" s="700" t="str">
        <f>IF(W75=".",".",SUM($S75:W75))</f>
        <v>.</v>
      </c>
      <c r="AN75" s="700" t="str">
        <f>IF(X75=".",".",SUM($S75:X75))</f>
        <v>.</v>
      </c>
      <c r="AO75" s="701" t="str">
        <f>IF(Y75=".",".",SUM($S75:Y75))</f>
        <v>.</v>
      </c>
      <c r="AP75" s="3"/>
      <c r="AQ75" s="985" t="str">
        <f t="shared" si="39"/>
        <v>.</v>
      </c>
      <c r="AR75" s="702" t="str">
        <f t="shared" si="40"/>
        <v>.</v>
      </c>
      <c r="AS75" s="702" t="str">
        <f t="shared" si="41"/>
        <v>.</v>
      </c>
      <c r="AT75" s="702" t="str">
        <f t="shared" si="42"/>
        <v>.</v>
      </c>
      <c r="AU75" s="702" t="str">
        <f t="shared" si="43"/>
        <v>.</v>
      </c>
      <c r="AV75" s="702" t="str">
        <f t="shared" si="44"/>
        <v>.</v>
      </c>
      <c r="AW75" s="986" t="str">
        <f t="shared" si="45"/>
        <v>.</v>
      </c>
      <c r="AX75" s="214"/>
      <c r="AY75" s="3"/>
      <c r="AZ75" s="3"/>
      <c r="BA75" s="3"/>
      <c r="BB75" s="3"/>
    </row>
    <row r="76" spans="1:54" ht="12" x14ac:dyDescent="0.25">
      <c r="A76" s="3"/>
      <c r="B76" s="212"/>
      <c r="C76" s="973" t="str">
        <f t="shared" si="47"/>
        <v>Farmland</v>
      </c>
      <c r="D76" s="998" t="str">
        <f>IF('WK2 - Notional General Income'!D71="","",'WK2 - Notional General Income'!D71)</f>
        <v/>
      </c>
      <c r="E76" s="579"/>
      <c r="F76" s="579"/>
      <c r="G76" s="579"/>
      <c r="H76" s="579"/>
      <c r="I76" s="579"/>
      <c r="J76" s="580"/>
      <c r="K76" s="579"/>
      <c r="L76" s="579"/>
      <c r="M76" s="220"/>
      <c r="N76" s="3"/>
      <c r="O76" s="135"/>
      <c r="P76" s="96"/>
      <c r="Q76" s="3"/>
      <c r="R76" s="212"/>
      <c r="S76" s="699" t="str">
        <f t="shared" si="25"/>
        <v>.</v>
      </c>
      <c r="T76" s="700" t="str">
        <f t="shared" si="26"/>
        <v>.</v>
      </c>
      <c r="U76" s="700" t="str">
        <f t="shared" si="27"/>
        <v>.</v>
      </c>
      <c r="V76" s="700" t="str">
        <f t="shared" si="28"/>
        <v>.</v>
      </c>
      <c r="W76" s="700" t="str">
        <f t="shared" si="29"/>
        <v>.</v>
      </c>
      <c r="X76" s="700" t="str">
        <f t="shared" si="30"/>
        <v>.</v>
      </c>
      <c r="Y76" s="701" t="str">
        <f t="shared" si="31"/>
        <v>.</v>
      </c>
      <c r="Z76" s="3"/>
      <c r="AA76" s="985" t="str">
        <f t="shared" si="32"/>
        <v>.</v>
      </c>
      <c r="AB76" s="702" t="str">
        <f t="shared" si="33"/>
        <v>.</v>
      </c>
      <c r="AC76" s="702" t="str">
        <f t="shared" si="34"/>
        <v>.</v>
      </c>
      <c r="AD76" s="702" t="str">
        <f t="shared" si="35"/>
        <v>.</v>
      </c>
      <c r="AE76" s="702" t="str">
        <f t="shared" si="36"/>
        <v>.</v>
      </c>
      <c r="AF76" s="702" t="str">
        <f t="shared" si="37"/>
        <v>.</v>
      </c>
      <c r="AG76" s="986" t="str">
        <f t="shared" si="38"/>
        <v>.</v>
      </c>
      <c r="AH76" s="3"/>
      <c r="AI76" s="699" t="str">
        <f>IF(S76=".",".",SUM($S76:S76))</f>
        <v>.</v>
      </c>
      <c r="AJ76" s="700" t="str">
        <f>IF(T76=".",".",SUM($S76:T76))</f>
        <v>.</v>
      </c>
      <c r="AK76" s="700" t="str">
        <f>IF(U76=".",".",SUM($S76:U76))</f>
        <v>.</v>
      </c>
      <c r="AL76" s="700" t="str">
        <f>IF(V76=".",".",SUM($S76:V76))</f>
        <v>.</v>
      </c>
      <c r="AM76" s="700" t="str">
        <f>IF(W76=".",".",SUM($S76:W76))</f>
        <v>.</v>
      </c>
      <c r="AN76" s="700" t="str">
        <f>IF(X76=".",".",SUM($S76:X76))</f>
        <v>.</v>
      </c>
      <c r="AO76" s="701" t="str">
        <f>IF(Y76=".",".",SUM($S76:Y76))</f>
        <v>.</v>
      </c>
      <c r="AP76" s="3"/>
      <c r="AQ76" s="985" t="str">
        <f t="shared" si="39"/>
        <v>.</v>
      </c>
      <c r="AR76" s="702" t="str">
        <f t="shared" si="40"/>
        <v>.</v>
      </c>
      <c r="AS76" s="702" t="str">
        <f t="shared" si="41"/>
        <v>.</v>
      </c>
      <c r="AT76" s="702" t="str">
        <f t="shared" si="42"/>
        <v>.</v>
      </c>
      <c r="AU76" s="702" t="str">
        <f t="shared" si="43"/>
        <v>.</v>
      </c>
      <c r="AV76" s="702" t="str">
        <f t="shared" si="44"/>
        <v>.</v>
      </c>
      <c r="AW76" s="986" t="str">
        <f t="shared" si="45"/>
        <v>.</v>
      </c>
      <c r="AX76" s="214"/>
      <c r="AY76" s="3"/>
      <c r="AZ76" s="3"/>
      <c r="BA76" s="3"/>
      <c r="BB76" s="3"/>
    </row>
    <row r="77" spans="1:54" ht="12" x14ac:dyDescent="0.25">
      <c r="A77" s="3"/>
      <c r="B77" s="212"/>
      <c r="C77" s="973" t="str">
        <f t="shared" si="47"/>
        <v>Farmland</v>
      </c>
      <c r="D77" s="998" t="str">
        <f>IF('WK2 - Notional General Income'!D72="","",'WK2 - Notional General Income'!D72)</f>
        <v/>
      </c>
      <c r="E77" s="579"/>
      <c r="F77" s="579"/>
      <c r="G77" s="579"/>
      <c r="H77" s="579"/>
      <c r="I77" s="579"/>
      <c r="J77" s="580"/>
      <c r="K77" s="579"/>
      <c r="L77" s="579"/>
      <c r="M77" s="220"/>
      <c r="N77" s="3"/>
      <c r="O77" s="135"/>
      <c r="P77" s="96"/>
      <c r="Q77" s="3"/>
      <c r="R77" s="212"/>
      <c r="S77" s="699" t="str">
        <f t="shared" si="25"/>
        <v>.</v>
      </c>
      <c r="T77" s="700" t="str">
        <f t="shared" si="26"/>
        <v>.</v>
      </c>
      <c r="U77" s="700" t="str">
        <f t="shared" si="27"/>
        <v>.</v>
      </c>
      <c r="V77" s="700" t="str">
        <f t="shared" si="28"/>
        <v>.</v>
      </c>
      <c r="W77" s="700" t="str">
        <f t="shared" si="29"/>
        <v>.</v>
      </c>
      <c r="X77" s="700" t="str">
        <f t="shared" si="30"/>
        <v>.</v>
      </c>
      <c r="Y77" s="701" t="str">
        <f t="shared" si="31"/>
        <v>.</v>
      </c>
      <c r="Z77" s="3"/>
      <c r="AA77" s="985" t="str">
        <f t="shared" si="32"/>
        <v>.</v>
      </c>
      <c r="AB77" s="702" t="str">
        <f t="shared" si="33"/>
        <v>.</v>
      </c>
      <c r="AC77" s="702" t="str">
        <f t="shared" si="34"/>
        <v>.</v>
      </c>
      <c r="AD77" s="702" t="str">
        <f t="shared" si="35"/>
        <v>.</v>
      </c>
      <c r="AE77" s="702" t="str">
        <f t="shared" si="36"/>
        <v>.</v>
      </c>
      <c r="AF77" s="702" t="str">
        <f t="shared" si="37"/>
        <v>.</v>
      </c>
      <c r="AG77" s="986" t="str">
        <f t="shared" si="38"/>
        <v>.</v>
      </c>
      <c r="AH77" s="3"/>
      <c r="AI77" s="699" t="str">
        <f>IF(S77=".",".",SUM($S77:S77))</f>
        <v>.</v>
      </c>
      <c r="AJ77" s="700" t="str">
        <f>IF(T77=".",".",SUM($S77:T77))</f>
        <v>.</v>
      </c>
      <c r="AK77" s="700" t="str">
        <f>IF(U77=".",".",SUM($S77:U77))</f>
        <v>.</v>
      </c>
      <c r="AL77" s="700" t="str">
        <f>IF(V77=".",".",SUM($S77:V77))</f>
        <v>.</v>
      </c>
      <c r="AM77" s="700" t="str">
        <f>IF(W77=".",".",SUM($S77:W77))</f>
        <v>.</v>
      </c>
      <c r="AN77" s="700" t="str">
        <f>IF(X77=".",".",SUM($S77:X77))</f>
        <v>.</v>
      </c>
      <c r="AO77" s="701" t="str">
        <f>IF(Y77=".",".",SUM($S77:Y77))</f>
        <v>.</v>
      </c>
      <c r="AP77" s="3"/>
      <c r="AQ77" s="985" t="str">
        <f t="shared" si="39"/>
        <v>.</v>
      </c>
      <c r="AR77" s="702" t="str">
        <f t="shared" si="40"/>
        <v>.</v>
      </c>
      <c r="AS77" s="702" t="str">
        <f t="shared" si="41"/>
        <v>.</v>
      </c>
      <c r="AT77" s="702" t="str">
        <f t="shared" si="42"/>
        <v>.</v>
      </c>
      <c r="AU77" s="702" t="str">
        <f t="shared" si="43"/>
        <v>.</v>
      </c>
      <c r="AV77" s="702" t="str">
        <f t="shared" si="44"/>
        <v>.</v>
      </c>
      <c r="AW77" s="986" t="str">
        <f t="shared" si="45"/>
        <v>.</v>
      </c>
      <c r="AX77" s="214"/>
      <c r="AY77" s="3"/>
      <c r="AZ77" s="3"/>
      <c r="BA77" s="3"/>
      <c r="BB77" s="3"/>
    </row>
    <row r="78" spans="1:54" ht="12" x14ac:dyDescent="0.25">
      <c r="A78" s="3"/>
      <c r="B78" s="212"/>
      <c r="C78" s="973" t="str">
        <f t="shared" si="47"/>
        <v>Farmland</v>
      </c>
      <c r="D78" s="998" t="str">
        <f>IF('WK2 - Notional General Income'!D73="","",'WK2 - Notional General Income'!D73)</f>
        <v/>
      </c>
      <c r="E78" s="579"/>
      <c r="F78" s="579"/>
      <c r="G78" s="579"/>
      <c r="H78" s="579"/>
      <c r="I78" s="579"/>
      <c r="J78" s="580"/>
      <c r="K78" s="579"/>
      <c r="L78" s="579"/>
      <c r="M78" s="220"/>
      <c r="N78" s="3"/>
      <c r="O78" s="135"/>
      <c r="P78" s="96"/>
      <c r="Q78" s="3"/>
      <c r="R78" s="212"/>
      <c r="S78" s="699" t="str">
        <f t="shared" si="25"/>
        <v>.</v>
      </c>
      <c r="T78" s="700" t="str">
        <f t="shared" si="26"/>
        <v>.</v>
      </c>
      <c r="U78" s="700" t="str">
        <f t="shared" si="27"/>
        <v>.</v>
      </c>
      <c r="V78" s="700" t="str">
        <f t="shared" si="28"/>
        <v>.</v>
      </c>
      <c r="W78" s="700" t="str">
        <f t="shared" si="29"/>
        <v>.</v>
      </c>
      <c r="X78" s="700" t="str">
        <f t="shared" si="30"/>
        <v>.</v>
      </c>
      <c r="Y78" s="701" t="str">
        <f t="shared" si="31"/>
        <v>.</v>
      </c>
      <c r="Z78" s="3"/>
      <c r="AA78" s="985" t="str">
        <f t="shared" si="32"/>
        <v>.</v>
      </c>
      <c r="AB78" s="702" t="str">
        <f t="shared" si="33"/>
        <v>.</v>
      </c>
      <c r="AC78" s="702" t="str">
        <f t="shared" si="34"/>
        <v>.</v>
      </c>
      <c r="AD78" s="702" t="str">
        <f t="shared" si="35"/>
        <v>.</v>
      </c>
      <c r="AE78" s="702" t="str">
        <f t="shared" si="36"/>
        <v>.</v>
      </c>
      <c r="AF78" s="702" t="str">
        <f t="shared" si="37"/>
        <v>.</v>
      </c>
      <c r="AG78" s="986" t="str">
        <f t="shared" si="38"/>
        <v>.</v>
      </c>
      <c r="AH78" s="3"/>
      <c r="AI78" s="699" t="str">
        <f>IF(S78=".",".",SUM($S78:S78))</f>
        <v>.</v>
      </c>
      <c r="AJ78" s="700" t="str">
        <f>IF(T78=".",".",SUM($S78:T78))</f>
        <v>.</v>
      </c>
      <c r="AK78" s="700" t="str">
        <f>IF(U78=".",".",SUM($S78:U78))</f>
        <v>.</v>
      </c>
      <c r="AL78" s="700" t="str">
        <f>IF(V78=".",".",SUM($S78:V78))</f>
        <v>.</v>
      </c>
      <c r="AM78" s="700" t="str">
        <f>IF(W78=".",".",SUM($S78:W78))</f>
        <v>.</v>
      </c>
      <c r="AN78" s="700" t="str">
        <f>IF(X78=".",".",SUM($S78:X78))</f>
        <v>.</v>
      </c>
      <c r="AO78" s="701" t="str">
        <f>IF(Y78=".",".",SUM($S78:Y78))</f>
        <v>.</v>
      </c>
      <c r="AP78" s="3"/>
      <c r="AQ78" s="985" t="str">
        <f t="shared" si="39"/>
        <v>.</v>
      </c>
      <c r="AR78" s="702" t="str">
        <f t="shared" si="40"/>
        <v>.</v>
      </c>
      <c r="AS78" s="702" t="str">
        <f t="shared" si="41"/>
        <v>.</v>
      </c>
      <c r="AT78" s="702" t="str">
        <f t="shared" si="42"/>
        <v>.</v>
      </c>
      <c r="AU78" s="702" t="str">
        <f t="shared" si="43"/>
        <v>.</v>
      </c>
      <c r="AV78" s="702" t="str">
        <f t="shared" si="44"/>
        <v>.</v>
      </c>
      <c r="AW78" s="986" t="str">
        <f t="shared" si="45"/>
        <v>.</v>
      </c>
      <c r="AX78" s="214"/>
      <c r="AY78" s="3"/>
      <c r="AZ78" s="3"/>
      <c r="BA78" s="3"/>
      <c r="BB78" s="3"/>
    </row>
    <row r="79" spans="1:54" ht="12" x14ac:dyDescent="0.25">
      <c r="A79" s="3"/>
      <c r="B79" s="212"/>
      <c r="C79" s="973" t="str">
        <f t="shared" si="47"/>
        <v>Farmland</v>
      </c>
      <c r="D79" s="998" t="str">
        <f>IF('WK2 - Notional General Income'!D74="","",'WK2 - Notional General Income'!D74)</f>
        <v/>
      </c>
      <c r="E79" s="579"/>
      <c r="F79" s="579"/>
      <c r="G79" s="579"/>
      <c r="H79" s="579"/>
      <c r="I79" s="579"/>
      <c r="J79" s="580"/>
      <c r="K79" s="579"/>
      <c r="L79" s="579"/>
      <c r="M79" s="220"/>
      <c r="N79" s="3"/>
      <c r="O79" s="135"/>
      <c r="P79" s="96"/>
      <c r="Q79" s="3"/>
      <c r="R79" s="212"/>
      <c r="S79" s="699" t="str">
        <f t="shared" si="25"/>
        <v>.</v>
      </c>
      <c r="T79" s="700" t="str">
        <f t="shared" si="26"/>
        <v>.</v>
      </c>
      <c r="U79" s="700" t="str">
        <f t="shared" si="27"/>
        <v>.</v>
      </c>
      <c r="V79" s="700" t="str">
        <f t="shared" si="28"/>
        <v>.</v>
      </c>
      <c r="W79" s="700" t="str">
        <f t="shared" si="29"/>
        <v>.</v>
      </c>
      <c r="X79" s="700" t="str">
        <f t="shared" si="30"/>
        <v>.</v>
      </c>
      <c r="Y79" s="701" t="str">
        <f t="shared" si="31"/>
        <v>.</v>
      </c>
      <c r="Z79" s="3"/>
      <c r="AA79" s="985" t="str">
        <f t="shared" si="32"/>
        <v>.</v>
      </c>
      <c r="AB79" s="702" t="str">
        <f t="shared" si="33"/>
        <v>.</v>
      </c>
      <c r="AC79" s="702" t="str">
        <f t="shared" si="34"/>
        <v>.</v>
      </c>
      <c r="AD79" s="702" t="str">
        <f t="shared" si="35"/>
        <v>.</v>
      </c>
      <c r="AE79" s="702" t="str">
        <f t="shared" si="36"/>
        <v>.</v>
      </c>
      <c r="AF79" s="702" t="str">
        <f t="shared" si="37"/>
        <v>.</v>
      </c>
      <c r="AG79" s="986" t="str">
        <f t="shared" si="38"/>
        <v>.</v>
      </c>
      <c r="AH79" s="3"/>
      <c r="AI79" s="699" t="str">
        <f>IF(S79=".",".",SUM($S79:S79))</f>
        <v>.</v>
      </c>
      <c r="AJ79" s="700" t="str">
        <f>IF(T79=".",".",SUM($S79:T79))</f>
        <v>.</v>
      </c>
      <c r="AK79" s="700" t="str">
        <f>IF(U79=".",".",SUM($S79:U79))</f>
        <v>.</v>
      </c>
      <c r="AL79" s="700" t="str">
        <f>IF(V79=".",".",SUM($S79:V79))</f>
        <v>.</v>
      </c>
      <c r="AM79" s="700" t="str">
        <f>IF(W79=".",".",SUM($S79:W79))</f>
        <v>.</v>
      </c>
      <c r="AN79" s="700" t="str">
        <f>IF(X79=".",".",SUM($S79:X79))</f>
        <v>.</v>
      </c>
      <c r="AO79" s="701" t="str">
        <f>IF(Y79=".",".",SUM($S79:Y79))</f>
        <v>.</v>
      </c>
      <c r="AP79" s="3"/>
      <c r="AQ79" s="985" t="str">
        <f t="shared" si="39"/>
        <v>.</v>
      </c>
      <c r="AR79" s="702" t="str">
        <f t="shared" si="40"/>
        <v>.</v>
      </c>
      <c r="AS79" s="702" t="str">
        <f t="shared" si="41"/>
        <v>.</v>
      </c>
      <c r="AT79" s="702" t="str">
        <f t="shared" si="42"/>
        <v>.</v>
      </c>
      <c r="AU79" s="702" t="str">
        <f t="shared" si="43"/>
        <v>.</v>
      </c>
      <c r="AV79" s="702" t="str">
        <f t="shared" si="44"/>
        <v>.</v>
      </c>
      <c r="AW79" s="986" t="str">
        <f t="shared" si="45"/>
        <v>.</v>
      </c>
      <c r="AX79" s="214"/>
      <c r="AY79" s="3"/>
      <c r="AZ79" s="3"/>
      <c r="BA79" s="3"/>
      <c r="BB79" s="3"/>
    </row>
    <row r="80" spans="1:54" ht="12" x14ac:dyDescent="0.25">
      <c r="A80" s="3"/>
      <c r="B80" s="212"/>
      <c r="C80" s="973" t="str">
        <f t="shared" si="47"/>
        <v>Farmland</v>
      </c>
      <c r="D80" s="998" t="str">
        <f>IF('WK2 - Notional General Income'!D75="","",'WK2 - Notional General Income'!D75)</f>
        <v/>
      </c>
      <c r="E80" s="579"/>
      <c r="F80" s="579"/>
      <c r="G80" s="579"/>
      <c r="H80" s="579"/>
      <c r="I80" s="579"/>
      <c r="J80" s="580"/>
      <c r="K80" s="579"/>
      <c r="L80" s="579"/>
      <c r="M80" s="220"/>
      <c r="N80" s="3"/>
      <c r="O80" s="135"/>
      <c r="P80" s="96"/>
      <c r="Q80" s="3"/>
      <c r="R80" s="212"/>
      <c r="S80" s="699" t="str">
        <f t="shared" si="25"/>
        <v>.</v>
      </c>
      <c r="T80" s="700" t="str">
        <f t="shared" si="26"/>
        <v>.</v>
      </c>
      <c r="U80" s="700" t="str">
        <f t="shared" si="27"/>
        <v>.</v>
      </c>
      <c r="V80" s="700" t="str">
        <f t="shared" si="28"/>
        <v>.</v>
      </c>
      <c r="W80" s="700" t="str">
        <f t="shared" si="29"/>
        <v>.</v>
      </c>
      <c r="X80" s="700" t="str">
        <f t="shared" si="30"/>
        <v>.</v>
      </c>
      <c r="Y80" s="701" t="str">
        <f t="shared" si="31"/>
        <v>.</v>
      </c>
      <c r="Z80" s="3"/>
      <c r="AA80" s="985" t="str">
        <f t="shared" si="32"/>
        <v>.</v>
      </c>
      <c r="AB80" s="702" t="str">
        <f t="shared" si="33"/>
        <v>.</v>
      </c>
      <c r="AC80" s="702" t="str">
        <f t="shared" si="34"/>
        <v>.</v>
      </c>
      <c r="AD80" s="702" t="str">
        <f t="shared" si="35"/>
        <v>.</v>
      </c>
      <c r="AE80" s="702" t="str">
        <f t="shared" si="36"/>
        <v>.</v>
      </c>
      <c r="AF80" s="702" t="str">
        <f t="shared" si="37"/>
        <v>.</v>
      </c>
      <c r="AG80" s="986" t="str">
        <f t="shared" si="38"/>
        <v>.</v>
      </c>
      <c r="AH80" s="3"/>
      <c r="AI80" s="699" t="str">
        <f>IF(S80=".",".",SUM($S80:S80))</f>
        <v>.</v>
      </c>
      <c r="AJ80" s="700" t="str">
        <f>IF(T80=".",".",SUM($S80:T80))</f>
        <v>.</v>
      </c>
      <c r="AK80" s="700" t="str">
        <f>IF(U80=".",".",SUM($S80:U80))</f>
        <v>.</v>
      </c>
      <c r="AL80" s="700" t="str">
        <f>IF(V80=".",".",SUM($S80:V80))</f>
        <v>.</v>
      </c>
      <c r="AM80" s="700" t="str">
        <f>IF(W80=".",".",SUM($S80:W80))</f>
        <v>.</v>
      </c>
      <c r="AN80" s="700" t="str">
        <f>IF(X80=".",".",SUM($S80:X80))</f>
        <v>.</v>
      </c>
      <c r="AO80" s="701" t="str">
        <f>IF(Y80=".",".",SUM($S80:Y80))</f>
        <v>.</v>
      </c>
      <c r="AP80" s="3"/>
      <c r="AQ80" s="985" t="str">
        <f t="shared" si="39"/>
        <v>.</v>
      </c>
      <c r="AR80" s="702" t="str">
        <f t="shared" si="40"/>
        <v>.</v>
      </c>
      <c r="AS80" s="702" t="str">
        <f t="shared" si="41"/>
        <v>.</v>
      </c>
      <c r="AT80" s="702" t="str">
        <f t="shared" si="42"/>
        <v>.</v>
      </c>
      <c r="AU80" s="702" t="str">
        <f t="shared" si="43"/>
        <v>.</v>
      </c>
      <c r="AV80" s="702" t="str">
        <f t="shared" si="44"/>
        <v>.</v>
      </c>
      <c r="AW80" s="986" t="str">
        <f t="shared" si="45"/>
        <v>.</v>
      </c>
      <c r="AX80" s="214"/>
      <c r="AY80" s="3"/>
      <c r="AZ80" s="3"/>
      <c r="BA80" s="3"/>
      <c r="BB80" s="3"/>
    </row>
    <row r="81" spans="1:54" ht="12" x14ac:dyDescent="0.25">
      <c r="A81" s="3"/>
      <c r="B81" s="212"/>
      <c r="C81" s="584"/>
      <c r="D81" s="584"/>
      <c r="E81" s="584"/>
      <c r="F81" s="584"/>
      <c r="G81" s="584"/>
      <c r="H81" s="584"/>
      <c r="I81" s="584"/>
      <c r="J81" s="584"/>
      <c r="K81" s="584"/>
      <c r="L81" s="584"/>
      <c r="M81" s="220"/>
      <c r="N81" s="3"/>
      <c r="O81" s="135"/>
      <c r="P81" s="96"/>
      <c r="Q81" s="3"/>
      <c r="R81" s="212"/>
      <c r="S81" s="699"/>
      <c r="T81" s="700"/>
      <c r="U81" s="700"/>
      <c r="V81" s="700"/>
      <c r="W81" s="700"/>
      <c r="X81" s="700"/>
      <c r="Y81" s="701"/>
      <c r="Z81" s="3"/>
      <c r="AA81" s="985"/>
      <c r="AB81" s="702"/>
      <c r="AC81" s="702"/>
      <c r="AD81" s="702"/>
      <c r="AE81" s="702"/>
      <c r="AF81" s="702"/>
      <c r="AG81" s="986"/>
      <c r="AH81" s="3"/>
      <c r="AI81" s="699"/>
      <c r="AJ81" s="700"/>
      <c r="AK81" s="700"/>
      <c r="AL81" s="700"/>
      <c r="AM81" s="700"/>
      <c r="AN81" s="700"/>
      <c r="AO81" s="701"/>
      <c r="AP81" s="3"/>
      <c r="AQ81" s="985"/>
      <c r="AR81" s="702"/>
      <c r="AS81" s="702"/>
      <c r="AT81" s="702"/>
      <c r="AU81" s="702"/>
      <c r="AV81" s="702"/>
      <c r="AW81" s="986"/>
      <c r="AX81" s="214"/>
      <c r="AY81" s="3"/>
      <c r="AZ81" s="3"/>
      <c r="BA81" s="3"/>
      <c r="BB81" s="3"/>
    </row>
    <row r="82" spans="1:54" ht="12" x14ac:dyDescent="0.25">
      <c r="A82" s="3"/>
      <c r="B82" s="212"/>
      <c r="C82" s="973" t="str">
        <f>'WK3 - Notional GI Yr1 YIELD'!C77</f>
        <v>Mining</v>
      </c>
      <c r="D82" s="998" t="str">
        <f>IF('WK2 - Notional General Income'!D77="","",'WK2 - Notional General Income'!D77)</f>
        <v/>
      </c>
      <c r="E82" s="579"/>
      <c r="F82" s="579"/>
      <c r="G82" s="579"/>
      <c r="H82" s="579"/>
      <c r="I82" s="579"/>
      <c r="J82" s="580"/>
      <c r="K82" s="579"/>
      <c r="L82" s="579"/>
      <c r="M82" s="220"/>
      <c r="N82" s="3"/>
      <c r="O82" s="135"/>
      <c r="P82" s="96"/>
      <c r="Q82" s="3"/>
      <c r="R82" s="212"/>
      <c r="S82" s="699" t="str">
        <f t="shared" si="25"/>
        <v>.</v>
      </c>
      <c r="T82" s="700" t="str">
        <f t="shared" si="26"/>
        <v>.</v>
      </c>
      <c r="U82" s="700" t="str">
        <f t="shared" si="27"/>
        <v>.</v>
      </c>
      <c r="V82" s="700" t="str">
        <f t="shared" si="28"/>
        <v>.</v>
      </c>
      <c r="W82" s="700" t="str">
        <f t="shared" si="29"/>
        <v>.</v>
      </c>
      <c r="X82" s="700" t="str">
        <f t="shared" si="30"/>
        <v>.</v>
      </c>
      <c r="Y82" s="701" t="str">
        <f t="shared" si="31"/>
        <v>.</v>
      </c>
      <c r="Z82" s="3"/>
      <c r="AA82" s="985" t="str">
        <f t="shared" si="32"/>
        <v>.</v>
      </c>
      <c r="AB82" s="702" t="str">
        <f t="shared" si="33"/>
        <v>.</v>
      </c>
      <c r="AC82" s="702" t="str">
        <f t="shared" si="34"/>
        <v>.</v>
      </c>
      <c r="AD82" s="702" t="str">
        <f t="shared" si="35"/>
        <v>.</v>
      </c>
      <c r="AE82" s="702" t="str">
        <f t="shared" si="36"/>
        <v>.</v>
      </c>
      <c r="AF82" s="702" t="str">
        <f t="shared" si="37"/>
        <v>.</v>
      </c>
      <c r="AG82" s="986" t="str">
        <f t="shared" si="38"/>
        <v>.</v>
      </c>
      <c r="AH82" s="3"/>
      <c r="AI82" s="699" t="str">
        <f>IF(S82=".",".",SUM($S82:S82))</f>
        <v>.</v>
      </c>
      <c r="AJ82" s="700" t="str">
        <f>IF(T82=".",".",SUM($S82:T82))</f>
        <v>.</v>
      </c>
      <c r="AK82" s="700" t="str">
        <f>IF(U82=".",".",SUM($S82:U82))</f>
        <v>.</v>
      </c>
      <c r="AL82" s="700" t="str">
        <f>IF(V82=".",".",SUM($S82:V82))</f>
        <v>.</v>
      </c>
      <c r="AM82" s="700" t="str">
        <f>IF(W82=".",".",SUM($S82:W82))</f>
        <v>.</v>
      </c>
      <c r="AN82" s="700" t="str">
        <f>IF(X82=".",".",SUM($S82:X82))</f>
        <v>.</v>
      </c>
      <c r="AO82" s="701" t="str">
        <f>IF(Y82=".",".",SUM($S82:Y82))</f>
        <v>.</v>
      </c>
      <c r="AP82" s="3"/>
      <c r="AQ82" s="985" t="str">
        <f t="shared" si="39"/>
        <v>.</v>
      </c>
      <c r="AR82" s="702" t="str">
        <f t="shared" si="40"/>
        <v>.</v>
      </c>
      <c r="AS82" s="702" t="str">
        <f t="shared" si="41"/>
        <v>.</v>
      </c>
      <c r="AT82" s="702" t="str">
        <f t="shared" si="42"/>
        <v>.</v>
      </c>
      <c r="AU82" s="702" t="str">
        <f t="shared" si="43"/>
        <v>.</v>
      </c>
      <c r="AV82" s="702" t="str">
        <f t="shared" si="44"/>
        <v>.</v>
      </c>
      <c r="AW82" s="986" t="str">
        <f t="shared" si="45"/>
        <v>.</v>
      </c>
      <c r="AX82" s="214"/>
      <c r="AY82" s="3"/>
      <c r="AZ82" s="3"/>
      <c r="BA82" s="3"/>
      <c r="BB82" s="3"/>
    </row>
    <row r="83" spans="1:54" ht="12" x14ac:dyDescent="0.25">
      <c r="A83" s="3"/>
      <c r="B83" s="212"/>
      <c r="C83" s="973" t="str">
        <f>C82</f>
        <v>Mining</v>
      </c>
      <c r="D83" s="998" t="str">
        <f>IF('WK2 - Notional General Income'!D78="","",'WK2 - Notional General Income'!D78)</f>
        <v/>
      </c>
      <c r="E83" s="579"/>
      <c r="F83" s="579"/>
      <c r="G83" s="579"/>
      <c r="H83" s="579"/>
      <c r="I83" s="579"/>
      <c r="J83" s="580"/>
      <c r="K83" s="579"/>
      <c r="L83" s="579"/>
      <c r="M83" s="220"/>
      <c r="N83" s="3"/>
      <c r="O83" s="135"/>
      <c r="P83" s="96"/>
      <c r="Q83" s="3"/>
      <c r="R83" s="212"/>
      <c r="S83" s="699" t="str">
        <f t="shared" si="25"/>
        <v>.</v>
      </c>
      <c r="T83" s="700" t="str">
        <f t="shared" si="26"/>
        <v>.</v>
      </c>
      <c r="U83" s="700" t="str">
        <f t="shared" si="27"/>
        <v>.</v>
      </c>
      <c r="V83" s="700" t="str">
        <f t="shared" si="28"/>
        <v>.</v>
      </c>
      <c r="W83" s="700" t="str">
        <f t="shared" si="29"/>
        <v>.</v>
      </c>
      <c r="X83" s="700" t="str">
        <f t="shared" si="30"/>
        <v>.</v>
      </c>
      <c r="Y83" s="701" t="str">
        <f t="shared" si="31"/>
        <v>.</v>
      </c>
      <c r="Z83" s="3"/>
      <c r="AA83" s="985" t="str">
        <f t="shared" si="32"/>
        <v>.</v>
      </c>
      <c r="AB83" s="702" t="str">
        <f t="shared" si="33"/>
        <v>.</v>
      </c>
      <c r="AC83" s="702" t="str">
        <f t="shared" si="34"/>
        <v>.</v>
      </c>
      <c r="AD83" s="702" t="str">
        <f t="shared" si="35"/>
        <v>.</v>
      </c>
      <c r="AE83" s="702" t="str">
        <f t="shared" si="36"/>
        <v>.</v>
      </c>
      <c r="AF83" s="702" t="str">
        <f t="shared" si="37"/>
        <v>.</v>
      </c>
      <c r="AG83" s="986" t="str">
        <f t="shared" si="38"/>
        <v>.</v>
      </c>
      <c r="AH83" s="3"/>
      <c r="AI83" s="699" t="str">
        <f>IF(S83=".",".",SUM($S83:S83))</f>
        <v>.</v>
      </c>
      <c r="AJ83" s="700" t="str">
        <f>IF(T83=".",".",SUM($S83:T83))</f>
        <v>.</v>
      </c>
      <c r="AK83" s="700" t="str">
        <f>IF(U83=".",".",SUM($S83:U83))</f>
        <v>.</v>
      </c>
      <c r="AL83" s="700" t="str">
        <f>IF(V83=".",".",SUM($S83:V83))</f>
        <v>.</v>
      </c>
      <c r="AM83" s="700" t="str">
        <f>IF(W83=".",".",SUM($S83:W83))</f>
        <v>.</v>
      </c>
      <c r="AN83" s="700" t="str">
        <f>IF(X83=".",".",SUM($S83:X83))</f>
        <v>.</v>
      </c>
      <c r="AO83" s="701" t="str">
        <f>IF(Y83=".",".",SUM($S83:Y83))</f>
        <v>.</v>
      </c>
      <c r="AP83" s="3"/>
      <c r="AQ83" s="985" t="str">
        <f t="shared" si="39"/>
        <v>.</v>
      </c>
      <c r="AR83" s="702" t="str">
        <f t="shared" si="40"/>
        <v>.</v>
      </c>
      <c r="AS83" s="702" t="str">
        <f t="shared" si="41"/>
        <v>.</v>
      </c>
      <c r="AT83" s="702" t="str">
        <f t="shared" si="42"/>
        <v>.</v>
      </c>
      <c r="AU83" s="702" t="str">
        <f t="shared" si="43"/>
        <v>.</v>
      </c>
      <c r="AV83" s="702" t="str">
        <f t="shared" si="44"/>
        <v>.</v>
      </c>
      <c r="AW83" s="986" t="str">
        <f t="shared" si="45"/>
        <v>.</v>
      </c>
      <c r="AX83" s="214"/>
      <c r="AY83" s="3"/>
      <c r="AZ83" s="3"/>
      <c r="BA83" s="3"/>
      <c r="BB83" s="3"/>
    </row>
    <row r="84" spans="1:54" ht="12" x14ac:dyDescent="0.25">
      <c r="A84" s="3"/>
      <c r="B84" s="212"/>
      <c r="C84" s="973" t="str">
        <f t="shared" ref="C84:C91" si="48">C83</f>
        <v>Mining</v>
      </c>
      <c r="D84" s="998" t="str">
        <f>IF('WK2 - Notional General Income'!D79="","",'WK2 - Notional General Income'!D79)</f>
        <v/>
      </c>
      <c r="E84" s="579"/>
      <c r="F84" s="579"/>
      <c r="G84" s="579"/>
      <c r="H84" s="579"/>
      <c r="I84" s="579"/>
      <c r="J84" s="580"/>
      <c r="K84" s="579"/>
      <c r="L84" s="579"/>
      <c r="M84" s="220"/>
      <c r="N84" s="3"/>
      <c r="O84" s="135"/>
      <c r="P84" s="96"/>
      <c r="Q84" s="3"/>
      <c r="R84" s="212"/>
      <c r="S84" s="699" t="str">
        <f t="shared" si="25"/>
        <v>.</v>
      </c>
      <c r="T84" s="700" t="str">
        <f t="shared" si="26"/>
        <v>.</v>
      </c>
      <c r="U84" s="700" t="str">
        <f t="shared" si="27"/>
        <v>.</v>
      </c>
      <c r="V84" s="700" t="str">
        <f t="shared" si="28"/>
        <v>.</v>
      </c>
      <c r="W84" s="700" t="str">
        <f t="shared" si="29"/>
        <v>.</v>
      </c>
      <c r="X84" s="700" t="str">
        <f t="shared" si="30"/>
        <v>.</v>
      </c>
      <c r="Y84" s="701" t="str">
        <f t="shared" si="31"/>
        <v>.</v>
      </c>
      <c r="Z84" s="3"/>
      <c r="AA84" s="985" t="str">
        <f t="shared" si="32"/>
        <v>.</v>
      </c>
      <c r="AB84" s="702" t="str">
        <f t="shared" si="33"/>
        <v>.</v>
      </c>
      <c r="AC84" s="702" t="str">
        <f t="shared" si="34"/>
        <v>.</v>
      </c>
      <c r="AD84" s="702" t="str">
        <f t="shared" si="35"/>
        <v>.</v>
      </c>
      <c r="AE84" s="702" t="str">
        <f t="shared" si="36"/>
        <v>.</v>
      </c>
      <c r="AF84" s="702" t="str">
        <f t="shared" si="37"/>
        <v>.</v>
      </c>
      <c r="AG84" s="986" t="str">
        <f t="shared" si="38"/>
        <v>.</v>
      </c>
      <c r="AH84" s="3"/>
      <c r="AI84" s="699" t="str">
        <f>IF(S84=".",".",SUM($S84:S84))</f>
        <v>.</v>
      </c>
      <c r="AJ84" s="700" t="str">
        <f>IF(T84=".",".",SUM($S84:T84))</f>
        <v>.</v>
      </c>
      <c r="AK84" s="700" t="str">
        <f>IF(U84=".",".",SUM($S84:U84))</f>
        <v>.</v>
      </c>
      <c r="AL84" s="700" t="str">
        <f>IF(V84=".",".",SUM($S84:V84))</f>
        <v>.</v>
      </c>
      <c r="AM84" s="700" t="str">
        <f>IF(W84=".",".",SUM($S84:W84))</f>
        <v>.</v>
      </c>
      <c r="AN84" s="700" t="str">
        <f>IF(X84=".",".",SUM($S84:X84))</f>
        <v>.</v>
      </c>
      <c r="AO84" s="701" t="str">
        <f>IF(Y84=".",".",SUM($S84:Y84))</f>
        <v>.</v>
      </c>
      <c r="AP84" s="3"/>
      <c r="AQ84" s="985" t="str">
        <f t="shared" si="39"/>
        <v>.</v>
      </c>
      <c r="AR84" s="702" t="str">
        <f t="shared" si="40"/>
        <v>.</v>
      </c>
      <c r="AS84" s="702" t="str">
        <f t="shared" si="41"/>
        <v>.</v>
      </c>
      <c r="AT84" s="702" t="str">
        <f t="shared" si="42"/>
        <v>.</v>
      </c>
      <c r="AU84" s="702" t="str">
        <f t="shared" si="43"/>
        <v>.</v>
      </c>
      <c r="AV84" s="702" t="str">
        <f t="shared" si="44"/>
        <v>.</v>
      </c>
      <c r="AW84" s="986" t="str">
        <f t="shared" si="45"/>
        <v>.</v>
      </c>
      <c r="AX84" s="214"/>
      <c r="AY84" s="3"/>
      <c r="AZ84" s="3"/>
      <c r="BA84" s="3"/>
      <c r="BB84" s="3"/>
    </row>
    <row r="85" spans="1:54" ht="12" x14ac:dyDescent="0.25">
      <c r="A85" s="3"/>
      <c r="B85" s="212"/>
      <c r="C85" s="973" t="str">
        <f t="shared" si="48"/>
        <v>Mining</v>
      </c>
      <c r="D85" s="998" t="str">
        <f>IF('WK2 - Notional General Income'!D80="","",'WK2 - Notional General Income'!D80)</f>
        <v/>
      </c>
      <c r="E85" s="579"/>
      <c r="F85" s="579"/>
      <c r="G85" s="579"/>
      <c r="H85" s="579"/>
      <c r="I85" s="579"/>
      <c r="J85" s="580"/>
      <c r="K85" s="579"/>
      <c r="L85" s="579"/>
      <c r="M85" s="220"/>
      <c r="N85" s="3"/>
      <c r="O85" s="135"/>
      <c r="P85" s="96"/>
      <c r="Q85" s="3"/>
      <c r="R85" s="212"/>
      <c r="S85" s="699" t="str">
        <f t="shared" si="25"/>
        <v>.</v>
      </c>
      <c r="T85" s="700" t="str">
        <f t="shared" si="26"/>
        <v>.</v>
      </c>
      <c r="U85" s="700" t="str">
        <f t="shared" si="27"/>
        <v>.</v>
      </c>
      <c r="V85" s="700" t="str">
        <f t="shared" si="28"/>
        <v>.</v>
      </c>
      <c r="W85" s="700" t="str">
        <f t="shared" si="29"/>
        <v>.</v>
      </c>
      <c r="X85" s="700" t="str">
        <f t="shared" si="30"/>
        <v>.</v>
      </c>
      <c r="Y85" s="701" t="str">
        <f t="shared" si="31"/>
        <v>.</v>
      </c>
      <c r="Z85" s="3"/>
      <c r="AA85" s="985" t="str">
        <f t="shared" si="32"/>
        <v>.</v>
      </c>
      <c r="AB85" s="702" t="str">
        <f t="shared" si="33"/>
        <v>.</v>
      </c>
      <c r="AC85" s="702" t="str">
        <f t="shared" si="34"/>
        <v>.</v>
      </c>
      <c r="AD85" s="702" t="str">
        <f t="shared" si="35"/>
        <v>.</v>
      </c>
      <c r="AE85" s="702" t="str">
        <f t="shared" si="36"/>
        <v>.</v>
      </c>
      <c r="AF85" s="702" t="str">
        <f t="shared" si="37"/>
        <v>.</v>
      </c>
      <c r="AG85" s="986" t="str">
        <f t="shared" si="38"/>
        <v>.</v>
      </c>
      <c r="AH85" s="3"/>
      <c r="AI85" s="699" t="str">
        <f>IF(S85=".",".",SUM($S85:S85))</f>
        <v>.</v>
      </c>
      <c r="AJ85" s="700" t="str">
        <f>IF(T85=".",".",SUM($S85:T85))</f>
        <v>.</v>
      </c>
      <c r="AK85" s="700" t="str">
        <f>IF(U85=".",".",SUM($S85:U85))</f>
        <v>.</v>
      </c>
      <c r="AL85" s="700" t="str">
        <f>IF(V85=".",".",SUM($S85:V85))</f>
        <v>.</v>
      </c>
      <c r="AM85" s="700" t="str">
        <f>IF(W85=".",".",SUM($S85:W85))</f>
        <v>.</v>
      </c>
      <c r="AN85" s="700" t="str">
        <f>IF(X85=".",".",SUM($S85:X85))</f>
        <v>.</v>
      </c>
      <c r="AO85" s="701" t="str">
        <f>IF(Y85=".",".",SUM($S85:Y85))</f>
        <v>.</v>
      </c>
      <c r="AP85" s="3"/>
      <c r="AQ85" s="985" t="str">
        <f t="shared" si="39"/>
        <v>.</v>
      </c>
      <c r="AR85" s="702" t="str">
        <f t="shared" si="40"/>
        <v>.</v>
      </c>
      <c r="AS85" s="702" t="str">
        <f t="shared" si="41"/>
        <v>.</v>
      </c>
      <c r="AT85" s="702" t="str">
        <f t="shared" si="42"/>
        <v>.</v>
      </c>
      <c r="AU85" s="702" t="str">
        <f t="shared" si="43"/>
        <v>.</v>
      </c>
      <c r="AV85" s="702" t="str">
        <f t="shared" si="44"/>
        <v>.</v>
      </c>
      <c r="AW85" s="986" t="str">
        <f t="shared" si="45"/>
        <v>.</v>
      </c>
      <c r="AX85" s="214"/>
      <c r="AY85" s="3"/>
      <c r="AZ85" s="3"/>
      <c r="BA85" s="3"/>
      <c r="BB85" s="3"/>
    </row>
    <row r="86" spans="1:54" ht="12" x14ac:dyDescent="0.25">
      <c r="A86" s="3"/>
      <c r="B86" s="212"/>
      <c r="C86" s="973" t="str">
        <f t="shared" si="48"/>
        <v>Mining</v>
      </c>
      <c r="D86" s="998" t="str">
        <f>IF('WK2 - Notional General Income'!D81="","",'WK2 - Notional General Income'!D81)</f>
        <v/>
      </c>
      <c r="E86" s="579"/>
      <c r="F86" s="579"/>
      <c r="G86" s="579"/>
      <c r="H86" s="579"/>
      <c r="I86" s="579"/>
      <c r="J86" s="580"/>
      <c r="K86" s="579"/>
      <c r="L86" s="579"/>
      <c r="M86" s="220"/>
      <c r="N86" s="3"/>
      <c r="O86" s="135"/>
      <c r="P86" s="96"/>
      <c r="Q86" s="3"/>
      <c r="R86" s="212"/>
      <c r="S86" s="699" t="str">
        <f t="shared" si="25"/>
        <v>.</v>
      </c>
      <c r="T86" s="700" t="str">
        <f t="shared" si="26"/>
        <v>.</v>
      </c>
      <c r="U86" s="700" t="str">
        <f t="shared" si="27"/>
        <v>.</v>
      </c>
      <c r="V86" s="700" t="str">
        <f t="shared" si="28"/>
        <v>.</v>
      </c>
      <c r="W86" s="700" t="str">
        <f t="shared" si="29"/>
        <v>.</v>
      </c>
      <c r="X86" s="700" t="str">
        <f t="shared" si="30"/>
        <v>.</v>
      </c>
      <c r="Y86" s="701" t="str">
        <f t="shared" si="31"/>
        <v>.</v>
      </c>
      <c r="Z86" s="3"/>
      <c r="AA86" s="985" t="str">
        <f t="shared" si="32"/>
        <v>.</v>
      </c>
      <c r="AB86" s="702" t="str">
        <f t="shared" si="33"/>
        <v>.</v>
      </c>
      <c r="AC86" s="702" t="str">
        <f t="shared" si="34"/>
        <v>.</v>
      </c>
      <c r="AD86" s="702" t="str">
        <f t="shared" si="35"/>
        <v>.</v>
      </c>
      <c r="AE86" s="702" t="str">
        <f t="shared" si="36"/>
        <v>.</v>
      </c>
      <c r="AF86" s="702" t="str">
        <f t="shared" si="37"/>
        <v>.</v>
      </c>
      <c r="AG86" s="986" t="str">
        <f t="shared" si="38"/>
        <v>.</v>
      </c>
      <c r="AH86" s="3"/>
      <c r="AI86" s="699" t="str">
        <f>IF(S86=".",".",SUM($S86:S86))</f>
        <v>.</v>
      </c>
      <c r="AJ86" s="700" t="str">
        <f>IF(T86=".",".",SUM($S86:T86))</f>
        <v>.</v>
      </c>
      <c r="AK86" s="700" t="str">
        <f>IF(U86=".",".",SUM($S86:U86))</f>
        <v>.</v>
      </c>
      <c r="AL86" s="700" t="str">
        <f>IF(V86=".",".",SUM($S86:V86))</f>
        <v>.</v>
      </c>
      <c r="AM86" s="700" t="str">
        <f>IF(W86=".",".",SUM($S86:W86))</f>
        <v>.</v>
      </c>
      <c r="AN86" s="700" t="str">
        <f>IF(X86=".",".",SUM($S86:X86))</f>
        <v>.</v>
      </c>
      <c r="AO86" s="701" t="str">
        <f>IF(Y86=".",".",SUM($S86:Y86))</f>
        <v>.</v>
      </c>
      <c r="AP86" s="3"/>
      <c r="AQ86" s="985" t="str">
        <f t="shared" si="39"/>
        <v>.</v>
      </c>
      <c r="AR86" s="702" t="str">
        <f t="shared" si="40"/>
        <v>.</v>
      </c>
      <c r="AS86" s="702" t="str">
        <f t="shared" si="41"/>
        <v>.</v>
      </c>
      <c r="AT86" s="702" t="str">
        <f t="shared" si="42"/>
        <v>.</v>
      </c>
      <c r="AU86" s="702" t="str">
        <f t="shared" si="43"/>
        <v>.</v>
      </c>
      <c r="AV86" s="702" t="str">
        <f t="shared" si="44"/>
        <v>.</v>
      </c>
      <c r="AW86" s="986" t="str">
        <f t="shared" si="45"/>
        <v>.</v>
      </c>
      <c r="AX86" s="214"/>
      <c r="AY86" s="3"/>
      <c r="AZ86" s="3"/>
      <c r="BA86" s="3"/>
      <c r="BB86" s="3"/>
    </row>
    <row r="87" spans="1:54" ht="12" x14ac:dyDescent="0.25">
      <c r="A87" s="3"/>
      <c r="B87" s="212"/>
      <c r="C87" s="973" t="str">
        <f t="shared" si="48"/>
        <v>Mining</v>
      </c>
      <c r="D87" s="998" t="str">
        <f>IF('WK2 - Notional General Income'!D82="","",'WK2 - Notional General Income'!D82)</f>
        <v/>
      </c>
      <c r="E87" s="579"/>
      <c r="F87" s="579"/>
      <c r="G87" s="579"/>
      <c r="H87" s="579"/>
      <c r="I87" s="579"/>
      <c r="J87" s="580"/>
      <c r="K87" s="579"/>
      <c r="L87" s="579"/>
      <c r="M87" s="220"/>
      <c r="N87" s="3"/>
      <c r="O87" s="135"/>
      <c r="P87" s="96"/>
      <c r="Q87" s="3"/>
      <c r="R87" s="212"/>
      <c r="S87" s="699" t="str">
        <f t="shared" si="25"/>
        <v>.</v>
      </c>
      <c r="T87" s="700" t="str">
        <f t="shared" si="26"/>
        <v>.</v>
      </c>
      <c r="U87" s="700" t="str">
        <f t="shared" si="27"/>
        <v>.</v>
      </c>
      <c r="V87" s="700" t="str">
        <f t="shared" si="28"/>
        <v>.</v>
      </c>
      <c r="W87" s="700" t="str">
        <f t="shared" si="29"/>
        <v>.</v>
      </c>
      <c r="X87" s="700" t="str">
        <f t="shared" si="30"/>
        <v>.</v>
      </c>
      <c r="Y87" s="701" t="str">
        <f t="shared" si="31"/>
        <v>.</v>
      </c>
      <c r="Z87" s="3"/>
      <c r="AA87" s="985" t="str">
        <f t="shared" si="32"/>
        <v>.</v>
      </c>
      <c r="AB87" s="702" t="str">
        <f t="shared" si="33"/>
        <v>.</v>
      </c>
      <c r="AC87" s="702" t="str">
        <f t="shared" si="34"/>
        <v>.</v>
      </c>
      <c r="AD87" s="702" t="str">
        <f t="shared" si="35"/>
        <v>.</v>
      </c>
      <c r="AE87" s="702" t="str">
        <f t="shared" si="36"/>
        <v>.</v>
      </c>
      <c r="AF87" s="702" t="str">
        <f t="shared" si="37"/>
        <v>.</v>
      </c>
      <c r="AG87" s="986" t="str">
        <f t="shared" si="38"/>
        <v>.</v>
      </c>
      <c r="AH87" s="3"/>
      <c r="AI87" s="699" t="str">
        <f>IF(S87=".",".",SUM($S87:S87))</f>
        <v>.</v>
      </c>
      <c r="AJ87" s="700" t="str">
        <f>IF(T87=".",".",SUM($S87:T87))</f>
        <v>.</v>
      </c>
      <c r="AK87" s="700" t="str">
        <f>IF(U87=".",".",SUM($S87:U87))</f>
        <v>.</v>
      </c>
      <c r="AL87" s="700" t="str">
        <f>IF(V87=".",".",SUM($S87:V87))</f>
        <v>.</v>
      </c>
      <c r="AM87" s="700" t="str">
        <f>IF(W87=".",".",SUM($S87:W87))</f>
        <v>.</v>
      </c>
      <c r="AN87" s="700" t="str">
        <f>IF(X87=".",".",SUM($S87:X87))</f>
        <v>.</v>
      </c>
      <c r="AO87" s="701" t="str">
        <f>IF(Y87=".",".",SUM($S87:Y87))</f>
        <v>.</v>
      </c>
      <c r="AP87" s="3"/>
      <c r="AQ87" s="985" t="str">
        <f t="shared" si="39"/>
        <v>.</v>
      </c>
      <c r="AR87" s="702" t="str">
        <f t="shared" si="40"/>
        <v>.</v>
      </c>
      <c r="AS87" s="702" t="str">
        <f t="shared" si="41"/>
        <v>.</v>
      </c>
      <c r="AT87" s="702" t="str">
        <f t="shared" si="42"/>
        <v>.</v>
      </c>
      <c r="AU87" s="702" t="str">
        <f t="shared" si="43"/>
        <v>.</v>
      </c>
      <c r="AV87" s="702" t="str">
        <f t="shared" si="44"/>
        <v>.</v>
      </c>
      <c r="AW87" s="986" t="str">
        <f t="shared" si="45"/>
        <v>.</v>
      </c>
      <c r="AX87" s="214"/>
      <c r="AY87" s="3"/>
      <c r="AZ87" s="3"/>
      <c r="BA87" s="3"/>
      <c r="BB87" s="3"/>
    </row>
    <row r="88" spans="1:54" ht="12" x14ac:dyDescent="0.25">
      <c r="A88" s="3"/>
      <c r="B88" s="212"/>
      <c r="C88" s="973" t="str">
        <f t="shared" si="48"/>
        <v>Mining</v>
      </c>
      <c r="D88" s="998" t="str">
        <f>IF('WK2 - Notional General Income'!D83="","",'WK2 - Notional General Income'!D83)</f>
        <v/>
      </c>
      <c r="E88" s="579"/>
      <c r="F88" s="579"/>
      <c r="G88" s="579"/>
      <c r="H88" s="579"/>
      <c r="I88" s="579"/>
      <c r="J88" s="580"/>
      <c r="K88" s="579"/>
      <c r="L88" s="579"/>
      <c r="M88" s="220"/>
      <c r="N88" s="3"/>
      <c r="O88" s="135"/>
      <c r="P88" s="96"/>
      <c r="Q88" s="3"/>
      <c r="R88" s="212"/>
      <c r="S88" s="699" t="str">
        <f t="shared" si="25"/>
        <v>.</v>
      </c>
      <c r="T88" s="700" t="str">
        <f t="shared" si="26"/>
        <v>.</v>
      </c>
      <c r="U88" s="700" t="str">
        <f t="shared" si="27"/>
        <v>.</v>
      </c>
      <c r="V88" s="700" t="str">
        <f t="shared" si="28"/>
        <v>.</v>
      </c>
      <c r="W88" s="700" t="str">
        <f t="shared" si="29"/>
        <v>.</v>
      </c>
      <c r="X88" s="700" t="str">
        <f t="shared" si="30"/>
        <v>.</v>
      </c>
      <c r="Y88" s="701" t="str">
        <f t="shared" si="31"/>
        <v>.</v>
      </c>
      <c r="Z88" s="3"/>
      <c r="AA88" s="985" t="str">
        <f t="shared" si="32"/>
        <v>.</v>
      </c>
      <c r="AB88" s="702" t="str">
        <f t="shared" si="33"/>
        <v>.</v>
      </c>
      <c r="AC88" s="702" t="str">
        <f t="shared" si="34"/>
        <v>.</v>
      </c>
      <c r="AD88" s="702" t="str">
        <f t="shared" si="35"/>
        <v>.</v>
      </c>
      <c r="AE88" s="702" t="str">
        <f t="shared" si="36"/>
        <v>.</v>
      </c>
      <c r="AF88" s="702" t="str">
        <f t="shared" si="37"/>
        <v>.</v>
      </c>
      <c r="AG88" s="986" t="str">
        <f t="shared" si="38"/>
        <v>.</v>
      </c>
      <c r="AH88" s="3"/>
      <c r="AI88" s="699" t="str">
        <f>IF(S88=".",".",SUM($S88:S88))</f>
        <v>.</v>
      </c>
      <c r="AJ88" s="700" t="str">
        <f>IF(T88=".",".",SUM($S88:T88))</f>
        <v>.</v>
      </c>
      <c r="AK88" s="700" t="str">
        <f>IF(U88=".",".",SUM($S88:U88))</f>
        <v>.</v>
      </c>
      <c r="AL88" s="700" t="str">
        <f>IF(V88=".",".",SUM($S88:V88))</f>
        <v>.</v>
      </c>
      <c r="AM88" s="700" t="str">
        <f>IF(W88=".",".",SUM($S88:W88))</f>
        <v>.</v>
      </c>
      <c r="AN88" s="700" t="str">
        <f>IF(X88=".",".",SUM($S88:X88))</f>
        <v>.</v>
      </c>
      <c r="AO88" s="701" t="str">
        <f>IF(Y88=".",".",SUM($S88:Y88))</f>
        <v>.</v>
      </c>
      <c r="AP88" s="3"/>
      <c r="AQ88" s="985" t="str">
        <f t="shared" si="39"/>
        <v>.</v>
      </c>
      <c r="AR88" s="702" t="str">
        <f t="shared" si="40"/>
        <v>.</v>
      </c>
      <c r="AS88" s="702" t="str">
        <f t="shared" si="41"/>
        <v>.</v>
      </c>
      <c r="AT88" s="702" t="str">
        <f t="shared" si="42"/>
        <v>.</v>
      </c>
      <c r="AU88" s="702" t="str">
        <f t="shared" si="43"/>
        <v>.</v>
      </c>
      <c r="AV88" s="702" t="str">
        <f t="shared" si="44"/>
        <v>.</v>
      </c>
      <c r="AW88" s="986" t="str">
        <f t="shared" si="45"/>
        <v>.</v>
      </c>
      <c r="AX88" s="214"/>
      <c r="AY88" s="3"/>
      <c r="AZ88" s="3"/>
      <c r="BA88" s="3"/>
      <c r="BB88" s="3"/>
    </row>
    <row r="89" spans="1:54" ht="12" x14ac:dyDescent="0.25">
      <c r="A89" s="3"/>
      <c r="B89" s="212"/>
      <c r="C89" s="973" t="str">
        <f t="shared" si="48"/>
        <v>Mining</v>
      </c>
      <c r="D89" s="998" t="str">
        <f>IF('WK2 - Notional General Income'!D84="","",'WK2 - Notional General Income'!D84)</f>
        <v/>
      </c>
      <c r="E89" s="579"/>
      <c r="F89" s="579"/>
      <c r="G89" s="579"/>
      <c r="H89" s="579"/>
      <c r="I89" s="579"/>
      <c r="J89" s="580"/>
      <c r="K89" s="579"/>
      <c r="L89" s="579"/>
      <c r="M89" s="220"/>
      <c r="N89" s="3"/>
      <c r="O89" s="135"/>
      <c r="P89" s="96"/>
      <c r="Q89" s="3"/>
      <c r="R89" s="212"/>
      <c r="S89" s="699" t="str">
        <f t="shared" si="25"/>
        <v>.</v>
      </c>
      <c r="T89" s="700" t="str">
        <f t="shared" si="26"/>
        <v>.</v>
      </c>
      <c r="U89" s="700" t="str">
        <f t="shared" si="27"/>
        <v>.</v>
      </c>
      <c r="V89" s="700" t="str">
        <f t="shared" si="28"/>
        <v>.</v>
      </c>
      <c r="W89" s="700" t="str">
        <f t="shared" si="29"/>
        <v>.</v>
      </c>
      <c r="X89" s="700" t="str">
        <f t="shared" si="30"/>
        <v>.</v>
      </c>
      <c r="Y89" s="701" t="str">
        <f t="shared" si="31"/>
        <v>.</v>
      </c>
      <c r="Z89" s="3"/>
      <c r="AA89" s="985" t="str">
        <f t="shared" si="32"/>
        <v>.</v>
      </c>
      <c r="AB89" s="702" t="str">
        <f t="shared" si="33"/>
        <v>.</v>
      </c>
      <c r="AC89" s="702" t="str">
        <f t="shared" si="34"/>
        <v>.</v>
      </c>
      <c r="AD89" s="702" t="str">
        <f t="shared" si="35"/>
        <v>.</v>
      </c>
      <c r="AE89" s="702" t="str">
        <f t="shared" si="36"/>
        <v>.</v>
      </c>
      <c r="AF89" s="702" t="str">
        <f t="shared" si="37"/>
        <v>.</v>
      </c>
      <c r="AG89" s="986" t="str">
        <f t="shared" si="38"/>
        <v>.</v>
      </c>
      <c r="AH89" s="3"/>
      <c r="AI89" s="699" t="str">
        <f>IF(S89=".",".",SUM($S89:S89))</f>
        <v>.</v>
      </c>
      <c r="AJ89" s="700" t="str">
        <f>IF(T89=".",".",SUM($S89:T89))</f>
        <v>.</v>
      </c>
      <c r="AK89" s="700" t="str">
        <f>IF(U89=".",".",SUM($S89:U89))</f>
        <v>.</v>
      </c>
      <c r="AL89" s="700" t="str">
        <f>IF(V89=".",".",SUM($S89:V89))</f>
        <v>.</v>
      </c>
      <c r="AM89" s="700" t="str">
        <f>IF(W89=".",".",SUM($S89:W89))</f>
        <v>.</v>
      </c>
      <c r="AN89" s="700" t="str">
        <f>IF(X89=".",".",SUM($S89:X89))</f>
        <v>.</v>
      </c>
      <c r="AO89" s="701" t="str">
        <f>IF(Y89=".",".",SUM($S89:Y89))</f>
        <v>.</v>
      </c>
      <c r="AP89" s="3"/>
      <c r="AQ89" s="985" t="str">
        <f t="shared" si="39"/>
        <v>.</v>
      </c>
      <c r="AR89" s="702" t="str">
        <f t="shared" si="40"/>
        <v>.</v>
      </c>
      <c r="AS89" s="702" t="str">
        <f t="shared" si="41"/>
        <v>.</v>
      </c>
      <c r="AT89" s="702" t="str">
        <f t="shared" si="42"/>
        <v>.</v>
      </c>
      <c r="AU89" s="702" t="str">
        <f t="shared" si="43"/>
        <v>.</v>
      </c>
      <c r="AV89" s="702" t="str">
        <f t="shared" si="44"/>
        <v>.</v>
      </c>
      <c r="AW89" s="986" t="str">
        <f t="shared" si="45"/>
        <v>.</v>
      </c>
      <c r="AX89" s="214"/>
      <c r="AY89" s="3"/>
      <c r="AZ89" s="3"/>
      <c r="BA89" s="3"/>
      <c r="BB89" s="3"/>
    </row>
    <row r="90" spans="1:54" ht="12" x14ac:dyDescent="0.25">
      <c r="A90" s="3"/>
      <c r="B90" s="212"/>
      <c r="C90" s="973" t="str">
        <f t="shared" si="48"/>
        <v>Mining</v>
      </c>
      <c r="D90" s="998" t="str">
        <f>IF('WK2 - Notional General Income'!D85="","",'WK2 - Notional General Income'!D85)</f>
        <v/>
      </c>
      <c r="E90" s="579"/>
      <c r="F90" s="579"/>
      <c r="G90" s="579"/>
      <c r="H90" s="579"/>
      <c r="I90" s="579"/>
      <c r="J90" s="580"/>
      <c r="K90" s="579"/>
      <c r="L90" s="579"/>
      <c r="M90" s="220"/>
      <c r="N90" s="3"/>
      <c r="O90" s="135"/>
      <c r="P90" s="96"/>
      <c r="Q90" s="3"/>
      <c r="R90" s="212"/>
      <c r="S90" s="699" t="str">
        <f t="shared" si="25"/>
        <v>.</v>
      </c>
      <c r="T90" s="700" t="str">
        <f t="shared" si="26"/>
        <v>.</v>
      </c>
      <c r="U90" s="700" t="str">
        <f t="shared" si="27"/>
        <v>.</v>
      </c>
      <c r="V90" s="700" t="str">
        <f t="shared" si="28"/>
        <v>.</v>
      </c>
      <c r="W90" s="700" t="str">
        <f t="shared" si="29"/>
        <v>.</v>
      </c>
      <c r="X90" s="700" t="str">
        <f t="shared" si="30"/>
        <v>.</v>
      </c>
      <c r="Y90" s="701" t="str">
        <f t="shared" si="31"/>
        <v>.</v>
      </c>
      <c r="Z90" s="3"/>
      <c r="AA90" s="985" t="str">
        <f t="shared" si="32"/>
        <v>.</v>
      </c>
      <c r="AB90" s="702" t="str">
        <f t="shared" si="33"/>
        <v>.</v>
      </c>
      <c r="AC90" s="702" t="str">
        <f t="shared" si="34"/>
        <v>.</v>
      </c>
      <c r="AD90" s="702" t="str">
        <f t="shared" si="35"/>
        <v>.</v>
      </c>
      <c r="AE90" s="702" t="str">
        <f t="shared" si="36"/>
        <v>.</v>
      </c>
      <c r="AF90" s="702" t="str">
        <f t="shared" si="37"/>
        <v>.</v>
      </c>
      <c r="AG90" s="986" t="str">
        <f t="shared" si="38"/>
        <v>.</v>
      </c>
      <c r="AH90" s="3"/>
      <c r="AI90" s="699" t="str">
        <f>IF(S90=".",".",SUM($S90:S90))</f>
        <v>.</v>
      </c>
      <c r="AJ90" s="700" t="str">
        <f>IF(T90=".",".",SUM($S90:T90))</f>
        <v>.</v>
      </c>
      <c r="AK90" s="700" t="str">
        <f>IF(U90=".",".",SUM($S90:U90))</f>
        <v>.</v>
      </c>
      <c r="AL90" s="700" t="str">
        <f>IF(V90=".",".",SUM($S90:V90))</f>
        <v>.</v>
      </c>
      <c r="AM90" s="700" t="str">
        <f>IF(W90=".",".",SUM($S90:W90))</f>
        <v>.</v>
      </c>
      <c r="AN90" s="700" t="str">
        <f>IF(X90=".",".",SUM($S90:X90))</f>
        <v>.</v>
      </c>
      <c r="AO90" s="701" t="str">
        <f>IF(Y90=".",".",SUM($S90:Y90))</f>
        <v>.</v>
      </c>
      <c r="AP90" s="3"/>
      <c r="AQ90" s="985" t="str">
        <f t="shared" si="39"/>
        <v>.</v>
      </c>
      <c r="AR90" s="702" t="str">
        <f t="shared" si="40"/>
        <v>.</v>
      </c>
      <c r="AS90" s="702" t="str">
        <f t="shared" si="41"/>
        <v>.</v>
      </c>
      <c r="AT90" s="702" t="str">
        <f t="shared" si="42"/>
        <v>.</v>
      </c>
      <c r="AU90" s="702" t="str">
        <f t="shared" si="43"/>
        <v>.</v>
      </c>
      <c r="AV90" s="702" t="str">
        <f t="shared" si="44"/>
        <v>.</v>
      </c>
      <c r="AW90" s="986" t="str">
        <f t="shared" si="45"/>
        <v>.</v>
      </c>
      <c r="AX90" s="214"/>
      <c r="AY90" s="3"/>
      <c r="AZ90" s="3"/>
      <c r="BA90" s="3"/>
      <c r="BB90" s="3"/>
    </row>
    <row r="91" spans="1:54" ht="12" x14ac:dyDescent="0.25">
      <c r="A91" s="3"/>
      <c r="B91" s="212"/>
      <c r="C91" s="974" t="str">
        <f t="shared" si="48"/>
        <v>Mining</v>
      </c>
      <c r="D91" s="999" t="str">
        <f>IF('WK2 - Notional General Income'!D86="","",'WK2 - Notional General Income'!D86)</f>
        <v/>
      </c>
      <c r="E91" s="581"/>
      <c r="F91" s="581"/>
      <c r="G91" s="581"/>
      <c r="H91" s="581"/>
      <c r="I91" s="581"/>
      <c r="J91" s="582"/>
      <c r="K91" s="581"/>
      <c r="L91" s="581"/>
      <c r="M91" s="220"/>
      <c r="N91" s="3"/>
      <c r="O91" s="135"/>
      <c r="P91" s="96"/>
      <c r="Q91" s="3"/>
      <c r="R91" s="212"/>
      <c r="S91" s="703" t="str">
        <f t="shared" si="25"/>
        <v>.</v>
      </c>
      <c r="T91" s="704" t="str">
        <f t="shared" si="26"/>
        <v>.</v>
      </c>
      <c r="U91" s="704" t="str">
        <f t="shared" si="27"/>
        <v>.</v>
      </c>
      <c r="V91" s="704" t="str">
        <f t="shared" si="28"/>
        <v>.</v>
      </c>
      <c r="W91" s="704" t="str">
        <f t="shared" si="29"/>
        <v>.</v>
      </c>
      <c r="X91" s="704" t="str">
        <f t="shared" si="30"/>
        <v>.</v>
      </c>
      <c r="Y91" s="705" t="str">
        <f t="shared" si="31"/>
        <v>.</v>
      </c>
      <c r="Z91" s="93"/>
      <c r="AA91" s="987" t="str">
        <f t="shared" si="32"/>
        <v>.</v>
      </c>
      <c r="AB91" s="988" t="str">
        <f t="shared" si="33"/>
        <v>.</v>
      </c>
      <c r="AC91" s="988" t="str">
        <f t="shared" si="34"/>
        <v>.</v>
      </c>
      <c r="AD91" s="988" t="str">
        <f t="shared" si="35"/>
        <v>.</v>
      </c>
      <c r="AE91" s="988" t="str">
        <f t="shared" si="36"/>
        <v>.</v>
      </c>
      <c r="AF91" s="988" t="str">
        <f t="shared" si="37"/>
        <v>.</v>
      </c>
      <c r="AG91" s="989" t="str">
        <f t="shared" si="38"/>
        <v>.</v>
      </c>
      <c r="AH91" s="93"/>
      <c r="AI91" s="703" t="str">
        <f>IF(S91=".",".",SUM($S91:S91))</f>
        <v>.</v>
      </c>
      <c r="AJ91" s="704" t="str">
        <f>IF(T91=".",".",SUM($S91:T91))</f>
        <v>.</v>
      </c>
      <c r="AK91" s="704" t="str">
        <f>IF(U91=".",".",SUM($S91:U91))</f>
        <v>.</v>
      </c>
      <c r="AL91" s="704" t="str">
        <f>IF(V91=".",".",SUM($S91:V91))</f>
        <v>.</v>
      </c>
      <c r="AM91" s="704" t="str">
        <f>IF(W91=".",".",SUM($S91:W91))</f>
        <v>.</v>
      </c>
      <c r="AN91" s="704" t="str">
        <f>IF(X91=".",".",SUM($S91:X91))</f>
        <v>.</v>
      </c>
      <c r="AO91" s="705" t="str">
        <f>IF(Y91=".",".",SUM($S91:Y91))</f>
        <v>.</v>
      </c>
      <c r="AP91" s="93"/>
      <c r="AQ91" s="987" t="str">
        <f t="shared" si="39"/>
        <v>.</v>
      </c>
      <c r="AR91" s="988" t="str">
        <f t="shared" si="40"/>
        <v>.</v>
      </c>
      <c r="AS91" s="988" t="str">
        <f t="shared" si="41"/>
        <v>.</v>
      </c>
      <c r="AT91" s="988" t="str">
        <f t="shared" si="42"/>
        <v>.</v>
      </c>
      <c r="AU91" s="988" t="str">
        <f t="shared" si="43"/>
        <v>.</v>
      </c>
      <c r="AV91" s="988" t="str">
        <f t="shared" si="44"/>
        <v>.</v>
      </c>
      <c r="AW91" s="989" t="str">
        <f t="shared" si="45"/>
        <v>.</v>
      </c>
      <c r="AX91" s="214"/>
      <c r="AY91" s="3"/>
      <c r="AZ91" s="3"/>
      <c r="BA91" s="3"/>
      <c r="BB91" s="3"/>
    </row>
    <row r="92" spans="1:54" ht="12" customHeight="1" x14ac:dyDescent="0.25">
      <c r="A92" s="3"/>
      <c r="B92" s="212"/>
      <c r="C92" s="3"/>
      <c r="D92" s="76"/>
      <c r="E92" s="77"/>
      <c r="F92" s="77"/>
      <c r="G92" s="3"/>
      <c r="H92" s="3"/>
      <c r="I92" s="3"/>
      <c r="J92" s="3"/>
      <c r="K92" s="3"/>
      <c r="L92" s="3"/>
      <c r="M92" s="220"/>
      <c r="N92" s="3"/>
      <c r="O92" s="135"/>
      <c r="P92" s="96"/>
      <c r="Q92" s="3"/>
      <c r="R92" s="212"/>
      <c r="S92" s="249"/>
      <c r="T92" s="249"/>
      <c r="U92" s="249"/>
      <c r="V92" s="249"/>
      <c r="W92" s="249"/>
      <c r="X92" s="249"/>
      <c r="Y92" s="249"/>
      <c r="Z92" s="3"/>
      <c r="AA92" s="3"/>
      <c r="AB92" s="3"/>
      <c r="AC92" s="3"/>
      <c r="AD92" s="3"/>
      <c r="AE92" s="3"/>
      <c r="AF92" s="3"/>
      <c r="AG92" s="3"/>
      <c r="AH92" s="3"/>
      <c r="AI92" s="3"/>
      <c r="AJ92" s="3"/>
      <c r="AK92" s="3"/>
      <c r="AL92" s="3"/>
      <c r="AM92" s="3"/>
      <c r="AN92" s="3"/>
      <c r="AO92" s="3"/>
      <c r="AP92" s="3"/>
      <c r="AQ92" s="3"/>
      <c r="AR92" s="3"/>
      <c r="AS92" s="3"/>
      <c r="AT92" s="3"/>
      <c r="AU92" s="3"/>
      <c r="AV92" s="3"/>
      <c r="AW92" s="3"/>
      <c r="AX92" s="214"/>
      <c r="AY92" s="3"/>
      <c r="AZ92" s="3"/>
      <c r="BA92" s="3"/>
      <c r="BB92" s="3"/>
    </row>
    <row r="93" spans="1:54" ht="12" x14ac:dyDescent="0.25">
      <c r="A93" s="3"/>
      <c r="B93" s="212"/>
      <c r="C93" s="2"/>
      <c r="D93" s="3"/>
      <c r="E93" s="77"/>
      <c r="F93" s="77"/>
      <c r="G93" s="3"/>
      <c r="H93" s="3"/>
      <c r="I93" s="3"/>
      <c r="J93" s="3"/>
      <c r="K93" s="3"/>
      <c r="L93" s="3"/>
      <c r="M93" s="220"/>
      <c r="N93" s="3"/>
      <c r="O93" s="135"/>
      <c r="P93" s="96"/>
      <c r="Q93" s="3"/>
      <c r="R93" s="212"/>
      <c r="S93" s="2"/>
      <c r="T93" s="972"/>
      <c r="U93" s="3"/>
      <c r="V93" s="3"/>
      <c r="W93" s="3"/>
      <c r="X93" s="3"/>
      <c r="Y93" s="3"/>
      <c r="Z93" s="3"/>
      <c r="AA93" s="2"/>
      <c r="AB93" s="3"/>
      <c r="AC93" s="3"/>
      <c r="AD93" s="3"/>
      <c r="AE93" s="3"/>
      <c r="AF93" s="3"/>
      <c r="AG93" s="3"/>
      <c r="AH93" s="3"/>
      <c r="AI93" s="2"/>
      <c r="AJ93" s="3"/>
      <c r="AK93" s="3"/>
      <c r="AL93" s="133"/>
      <c r="AM93" s="3"/>
      <c r="AN93" s="3"/>
      <c r="AO93" s="3"/>
      <c r="AP93" s="3"/>
      <c r="AQ93" s="2"/>
      <c r="AR93" s="3"/>
      <c r="AS93" s="3"/>
      <c r="AT93" s="3"/>
      <c r="AU93" s="3"/>
      <c r="AV93" s="3"/>
      <c r="AW93" s="3"/>
      <c r="AX93" s="214"/>
      <c r="AY93" s="3"/>
      <c r="AZ93" s="3"/>
      <c r="BA93" s="3"/>
      <c r="BB93" s="3"/>
    </row>
    <row r="94" spans="1:54" ht="4.5" customHeight="1" x14ac:dyDescent="0.25">
      <c r="A94" s="3"/>
      <c r="B94" s="212"/>
      <c r="C94" s="2"/>
      <c r="D94" s="3"/>
      <c r="E94" s="77"/>
      <c r="F94" s="77"/>
      <c r="G94" s="3"/>
      <c r="H94" s="3"/>
      <c r="I94" s="3"/>
      <c r="J94" s="3"/>
      <c r="K94" s="3"/>
      <c r="L94" s="3"/>
      <c r="M94" s="220"/>
      <c r="N94" s="3"/>
      <c r="O94" s="135"/>
      <c r="P94" s="96"/>
      <c r="Q94" s="3"/>
      <c r="R94" s="212"/>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214"/>
      <c r="AY94" s="3"/>
      <c r="AZ94" s="3"/>
      <c r="BA94" s="3"/>
      <c r="BB94" s="3"/>
    </row>
    <row r="95" spans="1:54" ht="13.8" x14ac:dyDescent="0.25">
      <c r="A95" s="3"/>
      <c r="B95" s="212"/>
      <c r="C95" s="179" t="s">
        <v>809</v>
      </c>
      <c r="D95" s="180"/>
      <c r="E95" s="556"/>
      <c r="F95" s="556"/>
      <c r="G95" s="181"/>
      <c r="H95" s="246" t="str">
        <f>$H$21</f>
        <v>$ nominal per year</v>
      </c>
      <c r="I95" s="246"/>
      <c r="J95" s="181"/>
      <c r="K95" s="181"/>
      <c r="L95" s="182"/>
      <c r="M95" s="220"/>
      <c r="N95" s="3"/>
      <c r="O95" s="97"/>
      <c r="P95" s="98"/>
      <c r="Q95" s="3"/>
      <c r="R95" s="212"/>
      <c r="S95" s="620" t="str">
        <f>S$21</f>
        <v>Annual increases (nominal $ per year)</v>
      </c>
      <c r="T95" s="3"/>
      <c r="U95" s="3"/>
      <c r="V95" s="3"/>
      <c r="W95" s="3"/>
      <c r="X95" s="3"/>
      <c r="Y95" s="3"/>
      <c r="Z95" s="3"/>
      <c r="AA95" s="620" t="str">
        <f>AA$21</f>
        <v>Annual increases (%)</v>
      </c>
      <c r="AB95" s="3"/>
      <c r="AC95" s="3"/>
      <c r="AD95" s="3"/>
      <c r="AE95" s="3"/>
      <c r="AF95" s="3"/>
      <c r="AG95" s="3"/>
      <c r="AH95" s="3"/>
      <c r="AI95" s="620" t="str">
        <f>AI$21</f>
        <v>Cumulative increases (nominal $ per year)</v>
      </c>
      <c r="AJ95" s="3"/>
      <c r="AK95" s="3"/>
      <c r="AL95" s="3"/>
      <c r="AM95" s="3"/>
      <c r="AN95" s="3"/>
      <c r="AO95" s="3"/>
      <c r="AP95" s="3"/>
      <c r="AQ95" s="620" t="str">
        <f>AQ$21</f>
        <v>Cumulative increases (%)</v>
      </c>
      <c r="AR95" s="3"/>
      <c r="AS95" s="3"/>
      <c r="AT95" s="3"/>
      <c r="AU95" s="3"/>
      <c r="AV95" s="3"/>
      <c r="AW95" s="3"/>
      <c r="AX95" s="214"/>
      <c r="AY95" s="3"/>
      <c r="AZ95" s="3"/>
      <c r="BA95" s="3"/>
      <c r="BB95" s="3"/>
    </row>
    <row r="96" spans="1:54" ht="39" customHeight="1" x14ac:dyDescent="0.25">
      <c r="A96" s="3"/>
      <c r="B96" s="212"/>
      <c r="C96" s="1232" t="s">
        <v>797</v>
      </c>
      <c r="D96" s="1233" t="s">
        <v>798</v>
      </c>
      <c r="E96" s="178" t="s">
        <v>810</v>
      </c>
      <c r="F96" s="178" t="s">
        <v>811</v>
      </c>
      <c r="G96" s="178" t="s">
        <v>812</v>
      </c>
      <c r="H96" s="178" t="s">
        <v>813</v>
      </c>
      <c r="I96" s="178" t="s">
        <v>814</v>
      </c>
      <c r="J96" s="178" t="s">
        <v>815</v>
      </c>
      <c r="K96" s="178" t="s">
        <v>816</v>
      </c>
      <c r="L96" s="178" t="s">
        <v>817</v>
      </c>
      <c r="M96" s="220"/>
      <c r="N96" s="174"/>
      <c r="O96" s="1234" t="str">
        <f>'WK2 - Notional General Income'!$E18</f>
        <v>Number of Assessments</v>
      </c>
      <c r="P96" s="918"/>
      <c r="Q96" s="3"/>
      <c r="R96" s="260"/>
      <c r="S96" s="1205" t="s">
        <v>818</v>
      </c>
      <c r="T96" s="928"/>
      <c r="U96" s="928"/>
      <c r="V96" s="928"/>
      <c r="W96" s="928"/>
      <c r="X96" s="928"/>
      <c r="Y96" s="929"/>
      <c r="Z96" s="3"/>
      <c r="AA96" s="1234" t="str">
        <f>$S96</f>
        <v>Average Rates - with proposed special variation</v>
      </c>
      <c r="AB96" s="928"/>
      <c r="AC96" s="928"/>
      <c r="AD96" s="928"/>
      <c r="AE96" s="928"/>
      <c r="AF96" s="928"/>
      <c r="AG96" s="929"/>
      <c r="AH96" s="3"/>
      <c r="AI96" s="1234" t="str">
        <f>$S96</f>
        <v>Average Rates - with proposed special variation</v>
      </c>
      <c r="AJ96" s="928"/>
      <c r="AK96" s="928"/>
      <c r="AL96" s="928"/>
      <c r="AM96" s="928"/>
      <c r="AN96" s="928"/>
      <c r="AO96" s="929"/>
      <c r="AP96" s="3"/>
      <c r="AQ96" s="1234" t="str">
        <f>$S96</f>
        <v>Average Rates - with proposed special variation</v>
      </c>
      <c r="AR96" s="928"/>
      <c r="AS96" s="928"/>
      <c r="AT96" s="928"/>
      <c r="AU96" s="928"/>
      <c r="AV96" s="928"/>
      <c r="AW96" s="929"/>
      <c r="AX96" s="220"/>
      <c r="AY96" s="174"/>
      <c r="AZ96" s="3"/>
      <c r="BA96" s="3"/>
      <c r="BB96" s="3"/>
    </row>
    <row r="97" spans="1:54" ht="12" x14ac:dyDescent="0.25">
      <c r="A97" s="3"/>
      <c r="B97" s="212"/>
      <c r="C97" s="139"/>
      <c r="D97" s="139"/>
      <c r="E97" s="1241" t="str">
        <f t="shared" ref="E97:L97" si="49">E23</f>
        <v>2022-23</v>
      </c>
      <c r="F97" s="1241" t="str">
        <f t="shared" si="49"/>
        <v>2023-24</v>
      </c>
      <c r="G97" s="146" t="str">
        <f t="shared" si="49"/>
        <v>2024-25</v>
      </c>
      <c r="H97" s="146" t="str">
        <f t="shared" si="49"/>
        <v>2025-26</v>
      </c>
      <c r="I97" s="146" t="str">
        <f t="shared" si="49"/>
        <v>2026-27</v>
      </c>
      <c r="J97" s="146" t="str">
        <f t="shared" si="49"/>
        <v>2027-28</v>
      </c>
      <c r="K97" s="146" t="str">
        <f t="shared" si="49"/>
        <v>2028-29</v>
      </c>
      <c r="L97" s="146" t="str">
        <f t="shared" si="49"/>
        <v>2029-30</v>
      </c>
      <c r="M97" s="220"/>
      <c r="N97" s="3"/>
      <c r="O97" s="709" t="str">
        <f>E97</f>
        <v>2022-23</v>
      </c>
      <c r="P97" s="710" t="str">
        <f>F97</f>
        <v>2023-24</v>
      </c>
      <c r="Q97" s="3"/>
      <c r="R97" s="212"/>
      <c r="S97" s="696" t="str">
        <f>S$23</f>
        <v>Year 1</v>
      </c>
      <c r="T97" s="697" t="str">
        <f t="shared" ref="T97:Y97" si="50">T$23</f>
        <v>Year 2</v>
      </c>
      <c r="U97" s="697" t="str">
        <f t="shared" si="50"/>
        <v>Year 3</v>
      </c>
      <c r="V97" s="697" t="str">
        <f t="shared" si="50"/>
        <v>Year 4</v>
      </c>
      <c r="W97" s="697" t="str">
        <f t="shared" si="50"/>
        <v>Year 5</v>
      </c>
      <c r="X97" s="697" t="str">
        <f t="shared" si="50"/>
        <v>Year 6</v>
      </c>
      <c r="Y97" s="698" t="str">
        <f t="shared" si="50"/>
        <v>Year 7</v>
      </c>
      <c r="Z97" s="80"/>
      <c r="AA97" s="696" t="str">
        <f t="shared" ref="AA97:AG97" si="51">AA$23</f>
        <v>Year 1</v>
      </c>
      <c r="AB97" s="697" t="str">
        <f t="shared" si="51"/>
        <v>Year 2</v>
      </c>
      <c r="AC97" s="697" t="str">
        <f t="shared" si="51"/>
        <v>Year 3</v>
      </c>
      <c r="AD97" s="697" t="str">
        <f t="shared" si="51"/>
        <v>Year 4</v>
      </c>
      <c r="AE97" s="697" t="str">
        <f t="shared" si="51"/>
        <v>Year 5</v>
      </c>
      <c r="AF97" s="697" t="str">
        <f t="shared" si="51"/>
        <v>Year 6</v>
      </c>
      <c r="AG97" s="698" t="str">
        <f t="shared" si="51"/>
        <v>Year 7</v>
      </c>
      <c r="AH97" s="80"/>
      <c r="AI97" s="696" t="str">
        <f>AI$23</f>
        <v>Year 1</v>
      </c>
      <c r="AJ97" s="697" t="str">
        <f t="shared" ref="AJ97:AO97" si="52">AJ$23</f>
        <v>Year 2</v>
      </c>
      <c r="AK97" s="697" t="str">
        <f t="shared" si="52"/>
        <v>Year 3</v>
      </c>
      <c r="AL97" s="697" t="str">
        <f t="shared" si="52"/>
        <v>Year 4</v>
      </c>
      <c r="AM97" s="697" t="str">
        <f t="shared" si="52"/>
        <v>Year 5</v>
      </c>
      <c r="AN97" s="697" t="str">
        <f t="shared" si="52"/>
        <v>Year 6</v>
      </c>
      <c r="AO97" s="698" t="str">
        <f t="shared" si="52"/>
        <v>Year 7</v>
      </c>
      <c r="AP97" s="80"/>
      <c r="AQ97" s="696" t="str">
        <f>AQ$23</f>
        <v>Year 1</v>
      </c>
      <c r="AR97" s="697" t="str">
        <f t="shared" ref="AR97:AW97" si="53">AR$23</f>
        <v>Year 2</v>
      </c>
      <c r="AS97" s="697" t="str">
        <f t="shared" si="53"/>
        <v>Year 3</v>
      </c>
      <c r="AT97" s="697" t="str">
        <f t="shared" si="53"/>
        <v>Year 4</v>
      </c>
      <c r="AU97" s="697" t="str">
        <f t="shared" si="53"/>
        <v>Year 5</v>
      </c>
      <c r="AV97" s="697" t="str">
        <f t="shared" si="53"/>
        <v>Year 6</v>
      </c>
      <c r="AW97" s="698" t="str">
        <f t="shared" si="53"/>
        <v>Year 7</v>
      </c>
      <c r="AX97" s="214"/>
      <c r="AY97" s="3"/>
      <c r="AZ97" s="3"/>
      <c r="BA97" s="3"/>
      <c r="BB97" s="3"/>
    </row>
    <row r="98" spans="1:54" ht="12" x14ac:dyDescent="0.25">
      <c r="A98" s="3"/>
      <c r="B98" s="212"/>
      <c r="C98" s="1197" t="s">
        <v>716</v>
      </c>
      <c r="D98" s="1242" t="str">
        <f>IF('WK2 - Notional General Income'!D19="","",'WK2 - Notional General Income'!D19)</f>
        <v>Residential</v>
      </c>
      <c r="E98" s="1243">
        <f>IF('WK2 - Notional General Income'!M19=".",".",'WK2 - Notional General Income'!M19/'WK2 - Notional General Income'!E19)</f>
        <v>1211.0904361392554</v>
      </c>
      <c r="F98" s="1243">
        <f>IF('WK3 - Notional GI Yr1 YIELD'!M19=".",".",'WK3 - Notional GI Yr1 YIELD'!M19/'WK3 - Notional GI Yr1 YIELD'!E19)</f>
        <v>1314.0809679851384</v>
      </c>
      <c r="G98" s="1214">
        <f>+F98*1.075</f>
        <v>1412.6370405840237</v>
      </c>
      <c r="H98" s="1214">
        <f>+G98*1.065+0.01</f>
        <v>1504.4684482219852</v>
      </c>
      <c r="I98" s="1214">
        <f>+H98*1.055</f>
        <v>1587.2142128741943</v>
      </c>
      <c r="J98" s="1214">
        <f>+I98*1.025-0.01</f>
        <v>1626.884568196049</v>
      </c>
      <c r="K98" s="1214">
        <f>+J98*1.025</f>
        <v>1667.5566824009502</v>
      </c>
      <c r="L98" s="1237">
        <f>+K98*1.025</f>
        <v>1709.2455994609738</v>
      </c>
      <c r="M98" s="220"/>
      <c r="N98" s="3"/>
      <c r="O98" s="1244">
        <f>'WK2 - Notional General Income'!$E19</f>
        <v>52016</v>
      </c>
      <c r="P98" s="1176">
        <f>'WK3 - Notional GI Yr1 YIELD'!$E19</f>
        <v>52016</v>
      </c>
      <c r="Q98" s="3"/>
      <c r="R98" s="212"/>
      <c r="S98" s="1239">
        <f>IF(OR(E98=".",F98="."),".",F98-E98)</f>
        <v>102.99053184588297</v>
      </c>
      <c r="T98" s="1172">
        <f t="shared" ref="T98:T161" si="54">IF(OR(F98=".",G98="."),".",G98-F98)</f>
        <v>98.556072598885294</v>
      </c>
      <c r="U98" s="1172">
        <f t="shared" ref="U98:U129" si="55">IF(H98="",".",H98-G98)</f>
        <v>91.831407637961547</v>
      </c>
      <c r="V98" s="1172">
        <f t="shared" ref="V98:V129" si="56">IF(I98="",".",I98-H98)</f>
        <v>82.745764652209118</v>
      </c>
      <c r="W98" s="1172">
        <f t="shared" ref="W98:W129" si="57">IF(J98="",".",J98-I98)</f>
        <v>39.670355321854686</v>
      </c>
      <c r="X98" s="1172">
        <f t="shared" ref="X98:X129" si="58">IF(K98="",".",K98-J98)</f>
        <v>40.672114204901163</v>
      </c>
      <c r="Y98" s="1173">
        <f t="shared" ref="Y98:Y129" si="59">IF(L98="",".",L98-K98)</f>
        <v>41.688917060023641</v>
      </c>
      <c r="Z98" s="3"/>
      <c r="AA98" s="1240">
        <f t="shared" ref="AA98:AA101" si="60">IFERROR(F98/E98-1,".")</f>
        <v>8.5039505533706317E-2</v>
      </c>
      <c r="AB98" s="1174">
        <f t="shared" ref="AB98:AB161" si="61">IFERROR(G98/F98-1,".")</f>
        <v>7.4999999999999956E-2</v>
      </c>
      <c r="AC98" s="1174">
        <f t="shared" ref="AC98:AC128" si="62">IFERROR(H98/G98-1,".")</f>
        <v>6.5007078959217868E-2</v>
      </c>
      <c r="AD98" s="1174">
        <f t="shared" ref="AD98:AD161" si="63">IFERROR(I98/H98-1,".")</f>
        <v>5.4999999999999938E-2</v>
      </c>
      <c r="AE98" s="1174">
        <f t="shared" ref="AE98:AE161" si="64">IFERROR(J98/I98-1,".")</f>
        <v>2.4993699653191648E-2</v>
      </c>
      <c r="AF98" s="1174">
        <f t="shared" ref="AF98:AF161" si="65">IFERROR(K98/J98-1,".")</f>
        <v>2.4999999999999911E-2</v>
      </c>
      <c r="AG98" s="1175">
        <f t="shared" ref="AG98:AG161" si="66">IFERROR(L98/K98-1,".")</f>
        <v>2.4999999999999911E-2</v>
      </c>
      <c r="AH98" s="3"/>
      <c r="AI98" s="1239">
        <f>IF(S98=".",".",SUM($S98:S98))</f>
        <v>102.99053184588297</v>
      </c>
      <c r="AJ98" s="1172">
        <f>IF(T98=".",".",SUM($S98:T98))</f>
        <v>201.54660444476826</v>
      </c>
      <c r="AK98" s="1172">
        <f>IF(U98=".",".",SUM($S98:U98))</f>
        <v>293.37801208272981</v>
      </c>
      <c r="AL98" s="1172">
        <f>IF(V98=".",".",SUM($S98:V98))</f>
        <v>376.12377673493893</v>
      </c>
      <c r="AM98" s="1172">
        <f>IF(W98=".",".",SUM($S98:W98))</f>
        <v>415.79413205679361</v>
      </c>
      <c r="AN98" s="1172">
        <f>IF(X98=".",".",SUM($S98:X98))</f>
        <v>456.46624626169478</v>
      </c>
      <c r="AO98" s="1173">
        <f>IF(Y98=".",".",SUM($S98:Y98))</f>
        <v>498.15516332171842</v>
      </c>
      <c r="AP98" s="3"/>
      <c r="AQ98" s="1240">
        <f>IFERROR(F98/$E98-1,".")</f>
        <v>8.5039505533706317E-2</v>
      </c>
      <c r="AR98" s="1174">
        <f t="shared" ref="AR98:AR161" si="67">IFERROR(G98/$E98-1,".")</f>
        <v>0.16641746844873428</v>
      </c>
      <c r="AS98" s="1174">
        <f t="shared" ref="AS98:AS161" si="68">IFERROR(H98/$E98-1,".")</f>
        <v>0.24224286091959213</v>
      </c>
      <c r="AT98" s="1174">
        <f t="shared" ref="AT98:AT161" si="69">IFERROR(I98/$E98-1,".")</f>
        <v>0.31056621827016961</v>
      </c>
      <c r="AU98" s="1174">
        <f t="shared" ref="AU98:AU161" si="70">IFERROR(J98/$E98-1,".")</f>
        <v>0.3433221167052336</v>
      </c>
      <c r="AV98" s="1174">
        <f t="shared" ref="AV98:AV161" si="71">IFERROR(K98/$E98-1,".")</f>
        <v>0.37690516962286424</v>
      </c>
      <c r="AW98" s="1175">
        <f t="shared" ref="AW98:AW161" si="72">IFERROR(L98/$E98-1,".")</f>
        <v>0.41132779886343585</v>
      </c>
      <c r="AX98" s="214"/>
      <c r="AY98" s="3"/>
      <c r="AZ98" s="3"/>
      <c r="BA98" s="3"/>
      <c r="BB98" s="3"/>
    </row>
    <row r="99" spans="1:54" ht="12" x14ac:dyDescent="0.25">
      <c r="A99" s="3"/>
      <c r="B99" s="212"/>
      <c r="C99" s="278" t="s">
        <v>716</v>
      </c>
      <c r="D99" s="279" t="str">
        <f>IF('WK2 - Notional General Income'!D20="","",'WK2 - Notional General Income'!D20)</f>
        <v/>
      </c>
      <c r="E99" s="557" t="str">
        <f>IF('WK2 - Notional General Income'!M20=".",".",'WK2 - Notional General Income'!M20/'WK2 - Notional General Income'!E20)</f>
        <v>.</v>
      </c>
      <c r="F99" s="557" t="str">
        <f>IF('WK3 - Notional GI Yr1 YIELD'!M20=".",".",'WK3 - Notional GI Yr1 YIELD'!M20/'WK3 - Notional GI Yr1 YIELD'!E20)</f>
        <v>.</v>
      </c>
      <c r="G99" s="578"/>
      <c r="H99" s="578"/>
      <c r="I99" s="578"/>
      <c r="J99" s="578"/>
      <c r="K99" s="578"/>
      <c r="L99" s="579"/>
      <c r="M99" s="220"/>
      <c r="N99" s="3"/>
      <c r="O99" s="655">
        <f>'WK2 - Notional General Income'!$E20</f>
        <v>0</v>
      </c>
      <c r="P99" s="657">
        <f>'WK3 - Notional GI Yr1 YIELD'!$E20</f>
        <v>0</v>
      </c>
      <c r="Q99" s="3"/>
      <c r="R99" s="212"/>
      <c r="S99" s="699" t="str">
        <f t="shared" ref="S99:S162" si="73">IF(OR(E99=".",F99="."),".",F99-E99)</f>
        <v>.</v>
      </c>
      <c r="T99" s="700" t="str">
        <f t="shared" si="54"/>
        <v>.</v>
      </c>
      <c r="U99" s="700" t="str">
        <f t="shared" si="55"/>
        <v>.</v>
      </c>
      <c r="V99" s="700" t="str">
        <f t="shared" si="56"/>
        <v>.</v>
      </c>
      <c r="W99" s="700" t="str">
        <f t="shared" si="57"/>
        <v>.</v>
      </c>
      <c r="X99" s="700" t="str">
        <f t="shared" si="58"/>
        <v>.</v>
      </c>
      <c r="Y99" s="701" t="str">
        <f t="shared" si="59"/>
        <v>.</v>
      </c>
      <c r="Z99" s="3"/>
      <c r="AA99" s="985" t="str">
        <f t="shared" si="60"/>
        <v>.</v>
      </c>
      <c r="AB99" s="702" t="str">
        <f t="shared" si="61"/>
        <v>.</v>
      </c>
      <c r="AC99" s="702" t="str">
        <f t="shared" si="62"/>
        <v>.</v>
      </c>
      <c r="AD99" s="702" t="str">
        <f t="shared" si="63"/>
        <v>.</v>
      </c>
      <c r="AE99" s="702" t="str">
        <f t="shared" si="64"/>
        <v>.</v>
      </c>
      <c r="AF99" s="702" t="str">
        <f t="shared" si="65"/>
        <v>.</v>
      </c>
      <c r="AG99" s="986" t="str">
        <f t="shared" si="66"/>
        <v>.</v>
      </c>
      <c r="AH99" s="3"/>
      <c r="AI99" s="699" t="str">
        <f>IF(S99=".",".",SUM($S99:S99))</f>
        <v>.</v>
      </c>
      <c r="AJ99" s="700" t="str">
        <f>IF(T99=".",".",SUM($S99:T99))</f>
        <v>.</v>
      </c>
      <c r="AK99" s="700" t="str">
        <f>IF(U99=".",".",SUM($S99:U99))</f>
        <v>.</v>
      </c>
      <c r="AL99" s="700" t="str">
        <f>IF(V99=".",".",SUM($S99:V99))</f>
        <v>.</v>
      </c>
      <c r="AM99" s="700" t="str">
        <f>IF(W99=".",".",SUM($S99:W99))</f>
        <v>.</v>
      </c>
      <c r="AN99" s="700" t="str">
        <f>IF(X99=".",".",SUM($S99:X99))</f>
        <v>.</v>
      </c>
      <c r="AO99" s="701" t="str">
        <f>IF(Y99=".",".",SUM($S99:Y99))</f>
        <v>.</v>
      </c>
      <c r="AP99" s="3"/>
      <c r="AQ99" s="985" t="str">
        <f t="shared" ref="AQ99:AQ162" si="74">IFERROR(F99/$E99-1,".")</f>
        <v>.</v>
      </c>
      <c r="AR99" s="702" t="str">
        <f t="shared" si="67"/>
        <v>.</v>
      </c>
      <c r="AS99" s="702" t="str">
        <f t="shared" si="68"/>
        <v>.</v>
      </c>
      <c r="AT99" s="702" t="str">
        <f t="shared" si="69"/>
        <v>.</v>
      </c>
      <c r="AU99" s="702" t="str">
        <f t="shared" si="70"/>
        <v>.</v>
      </c>
      <c r="AV99" s="702" t="str">
        <f t="shared" si="71"/>
        <v>.</v>
      </c>
      <c r="AW99" s="986" t="str">
        <f t="shared" si="72"/>
        <v>.</v>
      </c>
      <c r="AX99" s="214"/>
      <c r="AY99" s="3"/>
      <c r="AZ99" s="3"/>
      <c r="BA99" s="3"/>
      <c r="BB99" s="3"/>
    </row>
    <row r="100" spans="1:54" ht="12" x14ac:dyDescent="0.25">
      <c r="A100" s="3"/>
      <c r="B100" s="212"/>
      <c r="C100" s="278" t="s">
        <v>716</v>
      </c>
      <c r="D100" s="279" t="str">
        <f>IF('WK2 - Notional General Income'!D21="","",'WK2 - Notional General Income'!D21)</f>
        <v/>
      </c>
      <c r="E100" s="557" t="str">
        <f>IF('WK2 - Notional General Income'!M21=".",".",'WK2 - Notional General Income'!M21/'WK2 - Notional General Income'!E21)</f>
        <v>.</v>
      </c>
      <c r="F100" s="557" t="str">
        <f>IF('WK3 - Notional GI Yr1 YIELD'!M21=".",".",'WK3 - Notional GI Yr1 YIELD'!M21/'WK3 - Notional GI Yr1 YIELD'!E21)</f>
        <v>.</v>
      </c>
      <c r="G100" s="578"/>
      <c r="H100" s="578"/>
      <c r="I100" s="578"/>
      <c r="J100" s="578"/>
      <c r="K100" s="578"/>
      <c r="L100" s="579"/>
      <c r="M100" s="220"/>
      <c r="N100" s="3"/>
      <c r="O100" s="655">
        <f>'WK2 - Notional General Income'!$E21</f>
        <v>0</v>
      </c>
      <c r="P100" s="657">
        <f>'WK3 - Notional GI Yr1 YIELD'!$E21</f>
        <v>0</v>
      </c>
      <c r="Q100" s="3"/>
      <c r="R100" s="212"/>
      <c r="S100" s="699" t="str">
        <f t="shared" si="73"/>
        <v>.</v>
      </c>
      <c r="T100" s="700" t="str">
        <f t="shared" si="54"/>
        <v>.</v>
      </c>
      <c r="U100" s="700" t="str">
        <f t="shared" si="55"/>
        <v>.</v>
      </c>
      <c r="V100" s="700" t="str">
        <f t="shared" si="56"/>
        <v>.</v>
      </c>
      <c r="W100" s="700" t="str">
        <f t="shared" si="57"/>
        <v>.</v>
      </c>
      <c r="X100" s="700" t="str">
        <f t="shared" si="58"/>
        <v>.</v>
      </c>
      <c r="Y100" s="701" t="str">
        <f t="shared" si="59"/>
        <v>.</v>
      </c>
      <c r="Z100" s="3"/>
      <c r="AA100" s="985" t="str">
        <f t="shared" si="60"/>
        <v>.</v>
      </c>
      <c r="AB100" s="702" t="str">
        <f t="shared" si="61"/>
        <v>.</v>
      </c>
      <c r="AC100" s="702" t="str">
        <f t="shared" si="62"/>
        <v>.</v>
      </c>
      <c r="AD100" s="702" t="str">
        <f t="shared" si="63"/>
        <v>.</v>
      </c>
      <c r="AE100" s="702" t="str">
        <f t="shared" si="64"/>
        <v>.</v>
      </c>
      <c r="AF100" s="702" t="str">
        <f t="shared" si="65"/>
        <v>.</v>
      </c>
      <c r="AG100" s="986" t="str">
        <f t="shared" si="66"/>
        <v>.</v>
      </c>
      <c r="AH100" s="3"/>
      <c r="AI100" s="699" t="str">
        <f>IF(S100=".",".",SUM($S100:S100))</f>
        <v>.</v>
      </c>
      <c r="AJ100" s="700" t="str">
        <f>IF(T100=".",".",SUM($S100:T100))</f>
        <v>.</v>
      </c>
      <c r="AK100" s="700" t="str">
        <f>IF(U100=".",".",SUM($S100:U100))</f>
        <v>.</v>
      </c>
      <c r="AL100" s="700" t="str">
        <f>IF(V100=".",".",SUM($S100:V100))</f>
        <v>.</v>
      </c>
      <c r="AM100" s="700" t="str">
        <f>IF(W100=".",".",SUM($S100:W100))</f>
        <v>.</v>
      </c>
      <c r="AN100" s="700" t="str">
        <f>IF(X100=".",".",SUM($S100:X100))</f>
        <v>.</v>
      </c>
      <c r="AO100" s="701" t="str">
        <f>IF(Y100=".",".",SUM($S100:Y100))</f>
        <v>.</v>
      </c>
      <c r="AP100" s="3"/>
      <c r="AQ100" s="985" t="str">
        <f t="shared" si="74"/>
        <v>.</v>
      </c>
      <c r="AR100" s="702" t="str">
        <f t="shared" si="67"/>
        <v>.</v>
      </c>
      <c r="AS100" s="702" t="str">
        <f t="shared" si="68"/>
        <v>.</v>
      </c>
      <c r="AT100" s="702" t="str">
        <f t="shared" si="69"/>
        <v>.</v>
      </c>
      <c r="AU100" s="702" t="str">
        <f t="shared" si="70"/>
        <v>.</v>
      </c>
      <c r="AV100" s="702" t="str">
        <f t="shared" si="71"/>
        <v>.</v>
      </c>
      <c r="AW100" s="986" t="str">
        <f t="shared" si="72"/>
        <v>.</v>
      </c>
      <c r="AX100" s="214"/>
      <c r="AY100" s="3"/>
      <c r="AZ100" s="3"/>
      <c r="BA100" s="3"/>
      <c r="BB100" s="3"/>
    </row>
    <row r="101" spans="1:54" ht="12" x14ac:dyDescent="0.25">
      <c r="A101" s="3"/>
      <c r="B101" s="212"/>
      <c r="C101" s="278" t="s">
        <v>716</v>
      </c>
      <c r="D101" s="279" t="str">
        <f>IF('WK2 - Notional General Income'!D22="","",'WK2 - Notional General Income'!D22)</f>
        <v/>
      </c>
      <c r="E101" s="557" t="str">
        <f>IF('WK2 - Notional General Income'!M22=".",".",'WK2 - Notional General Income'!M22/'WK2 - Notional General Income'!E22)</f>
        <v>.</v>
      </c>
      <c r="F101" s="557" t="str">
        <f>IF('WK3 - Notional GI Yr1 YIELD'!M22=".",".",'WK3 - Notional GI Yr1 YIELD'!M22/'WK3 - Notional GI Yr1 YIELD'!E22)</f>
        <v>.</v>
      </c>
      <c r="G101" s="578"/>
      <c r="H101" s="578"/>
      <c r="I101" s="578"/>
      <c r="J101" s="578"/>
      <c r="K101" s="578"/>
      <c r="L101" s="579"/>
      <c r="M101" s="220"/>
      <c r="N101" s="3"/>
      <c r="O101" s="655">
        <f>'WK2 - Notional General Income'!$E22</f>
        <v>0</v>
      </c>
      <c r="P101" s="657">
        <f>'WK3 - Notional GI Yr1 YIELD'!$E22</f>
        <v>0</v>
      </c>
      <c r="Q101" s="3"/>
      <c r="R101" s="212"/>
      <c r="S101" s="699" t="str">
        <f t="shared" si="73"/>
        <v>.</v>
      </c>
      <c r="T101" s="700" t="str">
        <f t="shared" si="54"/>
        <v>.</v>
      </c>
      <c r="U101" s="700" t="str">
        <f t="shared" si="55"/>
        <v>.</v>
      </c>
      <c r="V101" s="700" t="str">
        <f t="shared" si="56"/>
        <v>.</v>
      </c>
      <c r="W101" s="700" t="str">
        <f t="shared" si="57"/>
        <v>.</v>
      </c>
      <c r="X101" s="700" t="str">
        <f t="shared" si="58"/>
        <v>.</v>
      </c>
      <c r="Y101" s="701" t="str">
        <f t="shared" si="59"/>
        <v>.</v>
      </c>
      <c r="Z101" s="3"/>
      <c r="AA101" s="985" t="str">
        <f t="shared" si="60"/>
        <v>.</v>
      </c>
      <c r="AB101" s="702" t="str">
        <f t="shared" si="61"/>
        <v>.</v>
      </c>
      <c r="AC101" s="702" t="str">
        <f t="shared" si="62"/>
        <v>.</v>
      </c>
      <c r="AD101" s="702" t="str">
        <f t="shared" si="63"/>
        <v>.</v>
      </c>
      <c r="AE101" s="702" t="str">
        <f t="shared" si="64"/>
        <v>.</v>
      </c>
      <c r="AF101" s="702" t="str">
        <f t="shared" si="65"/>
        <v>.</v>
      </c>
      <c r="AG101" s="986" t="str">
        <f t="shared" si="66"/>
        <v>.</v>
      </c>
      <c r="AH101" s="3"/>
      <c r="AI101" s="699" t="str">
        <f>IF(S101=".",".",SUM($S101:S101))</f>
        <v>.</v>
      </c>
      <c r="AJ101" s="700" t="str">
        <f>IF(T101=".",".",SUM($S101:T101))</f>
        <v>.</v>
      </c>
      <c r="AK101" s="700" t="str">
        <f>IF(U101=".",".",SUM($S101:U101))</f>
        <v>.</v>
      </c>
      <c r="AL101" s="700" t="str">
        <f>IF(V101=".",".",SUM($S101:V101))</f>
        <v>.</v>
      </c>
      <c r="AM101" s="700" t="str">
        <f>IF(W101=".",".",SUM($S101:W101))</f>
        <v>.</v>
      </c>
      <c r="AN101" s="700" t="str">
        <f>IF(X101=".",".",SUM($S101:X101))</f>
        <v>.</v>
      </c>
      <c r="AO101" s="701" t="str">
        <f>IF(Y101=".",".",SUM($S101:Y101))</f>
        <v>.</v>
      </c>
      <c r="AP101" s="3"/>
      <c r="AQ101" s="985" t="str">
        <f t="shared" si="74"/>
        <v>.</v>
      </c>
      <c r="AR101" s="702" t="str">
        <f t="shared" si="67"/>
        <v>.</v>
      </c>
      <c r="AS101" s="702" t="str">
        <f t="shared" si="68"/>
        <v>.</v>
      </c>
      <c r="AT101" s="702" t="str">
        <f t="shared" si="69"/>
        <v>.</v>
      </c>
      <c r="AU101" s="702" t="str">
        <f t="shared" si="70"/>
        <v>.</v>
      </c>
      <c r="AV101" s="702" t="str">
        <f t="shared" si="71"/>
        <v>.</v>
      </c>
      <c r="AW101" s="986" t="str">
        <f t="shared" si="72"/>
        <v>.</v>
      </c>
      <c r="AX101" s="214"/>
      <c r="AY101" s="3"/>
      <c r="AZ101" s="3"/>
      <c r="BA101" s="3"/>
      <c r="BB101" s="3"/>
    </row>
    <row r="102" spans="1:54" ht="12" x14ac:dyDescent="0.25">
      <c r="A102" s="3"/>
      <c r="B102" s="212"/>
      <c r="C102" s="278" t="s">
        <v>716</v>
      </c>
      <c r="D102" s="279" t="str">
        <f>IF('WK2 - Notional General Income'!D23="","",'WK2 - Notional General Income'!D23)</f>
        <v/>
      </c>
      <c r="E102" s="557" t="str">
        <f>IF('WK2 - Notional General Income'!M23=".",".",'WK2 - Notional General Income'!M23/'WK2 - Notional General Income'!E23)</f>
        <v>.</v>
      </c>
      <c r="F102" s="557" t="str">
        <f>IF('WK3 - Notional GI Yr1 YIELD'!M23=".",".",'WK3 - Notional GI Yr1 YIELD'!M23/'WK3 - Notional GI Yr1 YIELD'!E23)</f>
        <v>.</v>
      </c>
      <c r="G102" s="578"/>
      <c r="H102" s="578"/>
      <c r="I102" s="578"/>
      <c r="J102" s="578"/>
      <c r="K102" s="578"/>
      <c r="L102" s="579"/>
      <c r="M102" s="220"/>
      <c r="N102" s="3"/>
      <c r="O102" s="655">
        <f>'WK2 - Notional General Income'!$E23</f>
        <v>0</v>
      </c>
      <c r="P102" s="657">
        <f>'WK3 - Notional GI Yr1 YIELD'!$E23</f>
        <v>0</v>
      </c>
      <c r="Q102" s="3"/>
      <c r="R102" s="212"/>
      <c r="S102" s="699" t="str">
        <f t="shared" si="73"/>
        <v>.</v>
      </c>
      <c r="T102" s="700" t="str">
        <f t="shared" si="54"/>
        <v>.</v>
      </c>
      <c r="U102" s="700" t="str">
        <f t="shared" si="55"/>
        <v>.</v>
      </c>
      <c r="V102" s="700" t="str">
        <f t="shared" si="56"/>
        <v>.</v>
      </c>
      <c r="W102" s="700" t="str">
        <f t="shared" si="57"/>
        <v>.</v>
      </c>
      <c r="X102" s="700" t="str">
        <f t="shared" si="58"/>
        <v>.</v>
      </c>
      <c r="Y102" s="701" t="str">
        <f t="shared" si="59"/>
        <v>.</v>
      </c>
      <c r="Z102" s="3"/>
      <c r="AA102" s="985" t="str">
        <f>IFERROR(F102/E102-1,".")</f>
        <v>.</v>
      </c>
      <c r="AB102" s="702" t="str">
        <f t="shared" si="61"/>
        <v>.</v>
      </c>
      <c r="AC102" s="702" t="str">
        <f t="shared" si="62"/>
        <v>.</v>
      </c>
      <c r="AD102" s="702" t="str">
        <f t="shared" si="63"/>
        <v>.</v>
      </c>
      <c r="AE102" s="702" t="str">
        <f t="shared" si="64"/>
        <v>.</v>
      </c>
      <c r="AF102" s="702" t="str">
        <f t="shared" si="65"/>
        <v>.</v>
      </c>
      <c r="AG102" s="986" t="str">
        <f t="shared" si="66"/>
        <v>.</v>
      </c>
      <c r="AH102" s="3"/>
      <c r="AI102" s="699" t="str">
        <f>IF(S102=".",".",SUM($S102:S102))</f>
        <v>.</v>
      </c>
      <c r="AJ102" s="700" t="str">
        <f>IF(T102=".",".",SUM($S102:T102))</f>
        <v>.</v>
      </c>
      <c r="AK102" s="700" t="str">
        <f>IF(U102=".",".",SUM($S102:U102))</f>
        <v>.</v>
      </c>
      <c r="AL102" s="700" t="str">
        <f>IF(V102=".",".",SUM($S102:V102))</f>
        <v>.</v>
      </c>
      <c r="AM102" s="700" t="str">
        <f>IF(W102=".",".",SUM($S102:W102))</f>
        <v>.</v>
      </c>
      <c r="AN102" s="700" t="str">
        <f>IF(X102=".",".",SUM($S102:X102))</f>
        <v>.</v>
      </c>
      <c r="AO102" s="701" t="str">
        <f>IF(Y102=".",".",SUM($S102:Y102))</f>
        <v>.</v>
      </c>
      <c r="AP102" s="3"/>
      <c r="AQ102" s="985" t="str">
        <f t="shared" si="74"/>
        <v>.</v>
      </c>
      <c r="AR102" s="702" t="str">
        <f t="shared" si="67"/>
        <v>.</v>
      </c>
      <c r="AS102" s="702" t="str">
        <f t="shared" si="68"/>
        <v>.</v>
      </c>
      <c r="AT102" s="702" t="str">
        <f t="shared" si="69"/>
        <v>.</v>
      </c>
      <c r="AU102" s="702" t="str">
        <f t="shared" si="70"/>
        <v>.</v>
      </c>
      <c r="AV102" s="702" t="str">
        <f t="shared" si="71"/>
        <v>.</v>
      </c>
      <c r="AW102" s="986" t="str">
        <f t="shared" si="72"/>
        <v>.</v>
      </c>
      <c r="AX102" s="214"/>
      <c r="AY102" s="3"/>
      <c r="AZ102" s="3"/>
      <c r="BA102" s="3"/>
      <c r="BB102" s="3"/>
    </row>
    <row r="103" spans="1:54" ht="12" x14ac:dyDescent="0.25">
      <c r="A103" s="3"/>
      <c r="B103" s="212"/>
      <c r="C103" s="278" t="s">
        <v>716</v>
      </c>
      <c r="D103" s="279" t="str">
        <f>IF('WK2 - Notional General Income'!D24="","",'WK2 - Notional General Income'!D24)</f>
        <v/>
      </c>
      <c r="E103" s="557" t="str">
        <f>IF('WK2 - Notional General Income'!M24=".",".",'WK2 - Notional General Income'!M24/'WK2 - Notional General Income'!E24)</f>
        <v>.</v>
      </c>
      <c r="F103" s="557" t="str">
        <f>IF('WK3 - Notional GI Yr1 YIELD'!M24=".",".",'WK3 - Notional GI Yr1 YIELD'!M24/'WK3 - Notional GI Yr1 YIELD'!E24)</f>
        <v>.</v>
      </c>
      <c r="G103" s="578"/>
      <c r="H103" s="578"/>
      <c r="I103" s="578"/>
      <c r="J103" s="578"/>
      <c r="K103" s="578"/>
      <c r="L103" s="579"/>
      <c r="M103" s="220"/>
      <c r="N103" s="3"/>
      <c r="O103" s="655">
        <f>'WK2 - Notional General Income'!$E24</f>
        <v>0</v>
      </c>
      <c r="P103" s="657">
        <f>'WK3 - Notional GI Yr1 YIELD'!$E24</f>
        <v>0</v>
      </c>
      <c r="Q103" s="3"/>
      <c r="R103" s="212"/>
      <c r="S103" s="699" t="str">
        <f t="shared" si="73"/>
        <v>.</v>
      </c>
      <c r="T103" s="700" t="str">
        <f t="shared" si="54"/>
        <v>.</v>
      </c>
      <c r="U103" s="700" t="str">
        <f t="shared" si="55"/>
        <v>.</v>
      </c>
      <c r="V103" s="700" t="str">
        <f t="shared" si="56"/>
        <v>.</v>
      </c>
      <c r="W103" s="700" t="str">
        <f t="shared" si="57"/>
        <v>.</v>
      </c>
      <c r="X103" s="700" t="str">
        <f t="shared" si="58"/>
        <v>.</v>
      </c>
      <c r="Y103" s="701" t="str">
        <f t="shared" si="59"/>
        <v>.</v>
      </c>
      <c r="Z103" s="3"/>
      <c r="AA103" s="985" t="str">
        <f t="shared" ref="AA103:AA110" si="75">IFERROR(F103/E103-1,".")</f>
        <v>.</v>
      </c>
      <c r="AB103" s="702" t="str">
        <f t="shared" si="61"/>
        <v>.</v>
      </c>
      <c r="AC103" s="702" t="str">
        <f t="shared" si="62"/>
        <v>.</v>
      </c>
      <c r="AD103" s="702" t="str">
        <f t="shared" si="63"/>
        <v>.</v>
      </c>
      <c r="AE103" s="702" t="str">
        <f t="shared" si="64"/>
        <v>.</v>
      </c>
      <c r="AF103" s="702" t="str">
        <f t="shared" si="65"/>
        <v>.</v>
      </c>
      <c r="AG103" s="986" t="str">
        <f t="shared" si="66"/>
        <v>.</v>
      </c>
      <c r="AH103" s="3"/>
      <c r="AI103" s="699" t="str">
        <f>IF(S103=".",".",SUM($S103:S103))</f>
        <v>.</v>
      </c>
      <c r="AJ103" s="700" t="str">
        <f>IF(T103=".",".",SUM($S103:T103))</f>
        <v>.</v>
      </c>
      <c r="AK103" s="700" t="str">
        <f>IF(U103=".",".",SUM($S103:U103))</f>
        <v>.</v>
      </c>
      <c r="AL103" s="700" t="str">
        <f>IF(V103=".",".",SUM($S103:V103))</f>
        <v>.</v>
      </c>
      <c r="AM103" s="700" t="str">
        <f>IF(W103=".",".",SUM($S103:W103))</f>
        <v>.</v>
      </c>
      <c r="AN103" s="700" t="str">
        <f>IF(X103=".",".",SUM($S103:X103))</f>
        <v>.</v>
      </c>
      <c r="AO103" s="701" t="str">
        <f>IF(Y103=".",".",SUM($S103:Y103))</f>
        <v>.</v>
      </c>
      <c r="AP103" s="3"/>
      <c r="AQ103" s="985" t="str">
        <f t="shared" si="74"/>
        <v>.</v>
      </c>
      <c r="AR103" s="702" t="str">
        <f t="shared" si="67"/>
        <v>.</v>
      </c>
      <c r="AS103" s="702" t="str">
        <f t="shared" si="68"/>
        <v>.</v>
      </c>
      <c r="AT103" s="702" t="str">
        <f t="shared" si="69"/>
        <v>.</v>
      </c>
      <c r="AU103" s="702" t="str">
        <f t="shared" si="70"/>
        <v>.</v>
      </c>
      <c r="AV103" s="702" t="str">
        <f t="shared" si="71"/>
        <v>.</v>
      </c>
      <c r="AW103" s="986" t="str">
        <f t="shared" si="72"/>
        <v>.</v>
      </c>
      <c r="AX103" s="214"/>
      <c r="AY103" s="3"/>
      <c r="AZ103" s="3"/>
      <c r="BA103" s="3"/>
      <c r="BB103" s="3"/>
    </row>
    <row r="104" spans="1:54" ht="12" x14ac:dyDescent="0.25">
      <c r="A104" s="3"/>
      <c r="B104" s="212"/>
      <c r="C104" s="278" t="s">
        <v>716</v>
      </c>
      <c r="D104" s="279" t="str">
        <f>IF('WK2 - Notional General Income'!D25="","",'WK2 - Notional General Income'!D25)</f>
        <v/>
      </c>
      <c r="E104" s="557" t="str">
        <f>IF('WK2 - Notional General Income'!M25=".",".",'WK2 - Notional General Income'!M25/'WK2 - Notional General Income'!E25)</f>
        <v>.</v>
      </c>
      <c r="F104" s="557" t="str">
        <f>IF('WK3 - Notional GI Yr1 YIELD'!M25=".",".",'WK3 - Notional GI Yr1 YIELD'!M25/'WK3 - Notional GI Yr1 YIELD'!E25)</f>
        <v>.</v>
      </c>
      <c r="G104" s="578"/>
      <c r="H104" s="578"/>
      <c r="I104" s="578"/>
      <c r="J104" s="578"/>
      <c r="K104" s="578"/>
      <c r="L104" s="579"/>
      <c r="M104" s="220"/>
      <c r="N104" s="3"/>
      <c r="O104" s="655">
        <f>'WK2 - Notional General Income'!$E25</f>
        <v>0</v>
      </c>
      <c r="P104" s="657">
        <f>'WK3 - Notional GI Yr1 YIELD'!$E25</f>
        <v>0</v>
      </c>
      <c r="Q104" s="3"/>
      <c r="R104" s="212"/>
      <c r="S104" s="699" t="str">
        <f t="shared" si="73"/>
        <v>.</v>
      </c>
      <c r="T104" s="700" t="str">
        <f t="shared" si="54"/>
        <v>.</v>
      </c>
      <c r="U104" s="700" t="str">
        <f t="shared" si="55"/>
        <v>.</v>
      </c>
      <c r="V104" s="700" t="str">
        <f t="shared" si="56"/>
        <v>.</v>
      </c>
      <c r="W104" s="700" t="str">
        <f t="shared" si="57"/>
        <v>.</v>
      </c>
      <c r="X104" s="700" t="str">
        <f t="shared" si="58"/>
        <v>.</v>
      </c>
      <c r="Y104" s="701" t="str">
        <f t="shared" si="59"/>
        <v>.</v>
      </c>
      <c r="Z104" s="3"/>
      <c r="AA104" s="985" t="str">
        <f t="shared" si="75"/>
        <v>.</v>
      </c>
      <c r="AB104" s="702" t="str">
        <f t="shared" si="61"/>
        <v>.</v>
      </c>
      <c r="AC104" s="702" t="str">
        <f t="shared" si="62"/>
        <v>.</v>
      </c>
      <c r="AD104" s="702" t="str">
        <f t="shared" si="63"/>
        <v>.</v>
      </c>
      <c r="AE104" s="702" t="str">
        <f t="shared" si="64"/>
        <v>.</v>
      </c>
      <c r="AF104" s="702" t="str">
        <f t="shared" si="65"/>
        <v>.</v>
      </c>
      <c r="AG104" s="986" t="str">
        <f t="shared" si="66"/>
        <v>.</v>
      </c>
      <c r="AH104" s="3"/>
      <c r="AI104" s="699" t="str">
        <f>IF(S104=".",".",SUM($S104:S104))</f>
        <v>.</v>
      </c>
      <c r="AJ104" s="700" t="str">
        <f>IF(T104=".",".",SUM($S104:T104))</f>
        <v>.</v>
      </c>
      <c r="AK104" s="700" t="str">
        <f>IF(U104=".",".",SUM($S104:U104))</f>
        <v>.</v>
      </c>
      <c r="AL104" s="700" t="str">
        <f>IF(V104=".",".",SUM($S104:V104))</f>
        <v>.</v>
      </c>
      <c r="AM104" s="700" t="str">
        <f>IF(W104=".",".",SUM($S104:W104))</f>
        <v>.</v>
      </c>
      <c r="AN104" s="700" t="str">
        <f>IF(X104=".",".",SUM($S104:X104))</f>
        <v>.</v>
      </c>
      <c r="AO104" s="701" t="str">
        <f>IF(Y104=".",".",SUM($S104:Y104))</f>
        <v>.</v>
      </c>
      <c r="AP104" s="3"/>
      <c r="AQ104" s="985" t="str">
        <f t="shared" si="74"/>
        <v>.</v>
      </c>
      <c r="AR104" s="702" t="str">
        <f t="shared" si="67"/>
        <v>.</v>
      </c>
      <c r="AS104" s="702" t="str">
        <f t="shared" si="68"/>
        <v>.</v>
      </c>
      <c r="AT104" s="702" t="str">
        <f t="shared" si="69"/>
        <v>.</v>
      </c>
      <c r="AU104" s="702" t="str">
        <f t="shared" si="70"/>
        <v>.</v>
      </c>
      <c r="AV104" s="702" t="str">
        <f t="shared" si="71"/>
        <v>.</v>
      </c>
      <c r="AW104" s="986" t="str">
        <f t="shared" si="72"/>
        <v>.</v>
      </c>
      <c r="AX104" s="214"/>
      <c r="AY104" s="3"/>
      <c r="AZ104" s="3"/>
      <c r="BA104" s="3"/>
      <c r="BB104" s="3"/>
    </row>
    <row r="105" spans="1:54" ht="12" x14ac:dyDescent="0.25">
      <c r="A105" s="3"/>
      <c r="B105" s="212"/>
      <c r="C105" s="278" t="s">
        <v>716</v>
      </c>
      <c r="D105" s="279" t="str">
        <f>IF('WK2 - Notional General Income'!D26="","",'WK2 - Notional General Income'!D26)</f>
        <v/>
      </c>
      <c r="E105" s="557" t="str">
        <f>IF('WK2 - Notional General Income'!M26=".",".",'WK2 - Notional General Income'!M26/'WK2 - Notional General Income'!E26)</f>
        <v>.</v>
      </c>
      <c r="F105" s="557" t="str">
        <f>IF('WK3 - Notional GI Yr1 YIELD'!M26=".",".",'WK3 - Notional GI Yr1 YIELD'!M26/'WK3 - Notional GI Yr1 YIELD'!E26)</f>
        <v>.</v>
      </c>
      <c r="G105" s="578"/>
      <c r="H105" s="578"/>
      <c r="I105" s="578"/>
      <c r="J105" s="578"/>
      <c r="K105" s="578"/>
      <c r="L105" s="579"/>
      <c r="M105" s="220"/>
      <c r="N105" s="3"/>
      <c r="O105" s="655">
        <f>'WK2 - Notional General Income'!$E26</f>
        <v>0</v>
      </c>
      <c r="P105" s="657">
        <f>'WK3 - Notional GI Yr1 YIELD'!$E26</f>
        <v>0</v>
      </c>
      <c r="Q105" s="3"/>
      <c r="R105" s="212"/>
      <c r="S105" s="699" t="str">
        <f t="shared" si="73"/>
        <v>.</v>
      </c>
      <c r="T105" s="700" t="str">
        <f t="shared" si="54"/>
        <v>.</v>
      </c>
      <c r="U105" s="700" t="str">
        <f t="shared" si="55"/>
        <v>.</v>
      </c>
      <c r="V105" s="700" t="str">
        <f t="shared" si="56"/>
        <v>.</v>
      </c>
      <c r="W105" s="700" t="str">
        <f t="shared" si="57"/>
        <v>.</v>
      </c>
      <c r="X105" s="700" t="str">
        <f t="shared" si="58"/>
        <v>.</v>
      </c>
      <c r="Y105" s="701" t="str">
        <f t="shared" si="59"/>
        <v>.</v>
      </c>
      <c r="Z105" s="3"/>
      <c r="AA105" s="985" t="str">
        <f t="shared" si="75"/>
        <v>.</v>
      </c>
      <c r="AB105" s="702" t="str">
        <f t="shared" si="61"/>
        <v>.</v>
      </c>
      <c r="AC105" s="702" t="str">
        <f t="shared" si="62"/>
        <v>.</v>
      </c>
      <c r="AD105" s="702" t="str">
        <f t="shared" si="63"/>
        <v>.</v>
      </c>
      <c r="AE105" s="702" t="str">
        <f t="shared" si="64"/>
        <v>.</v>
      </c>
      <c r="AF105" s="702" t="str">
        <f t="shared" si="65"/>
        <v>.</v>
      </c>
      <c r="AG105" s="986" t="str">
        <f t="shared" si="66"/>
        <v>.</v>
      </c>
      <c r="AH105" s="3"/>
      <c r="AI105" s="699" t="str">
        <f>IF(S105=".",".",SUM($S105:S105))</f>
        <v>.</v>
      </c>
      <c r="AJ105" s="700" t="str">
        <f>IF(T105=".",".",SUM($S105:T105))</f>
        <v>.</v>
      </c>
      <c r="AK105" s="700" t="str">
        <f>IF(U105=".",".",SUM($S105:U105))</f>
        <v>.</v>
      </c>
      <c r="AL105" s="700" t="str">
        <f>IF(V105=".",".",SUM($S105:V105))</f>
        <v>.</v>
      </c>
      <c r="AM105" s="700" t="str">
        <f>IF(W105=".",".",SUM($S105:W105))</f>
        <v>.</v>
      </c>
      <c r="AN105" s="700" t="str">
        <f>IF(X105=".",".",SUM($S105:X105))</f>
        <v>.</v>
      </c>
      <c r="AO105" s="701" t="str">
        <f>IF(Y105=".",".",SUM($S105:Y105))</f>
        <v>.</v>
      </c>
      <c r="AP105" s="3"/>
      <c r="AQ105" s="985" t="str">
        <f t="shared" si="74"/>
        <v>.</v>
      </c>
      <c r="AR105" s="702" t="str">
        <f t="shared" si="67"/>
        <v>.</v>
      </c>
      <c r="AS105" s="702" t="str">
        <f t="shared" si="68"/>
        <v>.</v>
      </c>
      <c r="AT105" s="702" t="str">
        <f t="shared" si="69"/>
        <v>.</v>
      </c>
      <c r="AU105" s="702" t="str">
        <f t="shared" si="70"/>
        <v>.</v>
      </c>
      <c r="AV105" s="702" t="str">
        <f t="shared" si="71"/>
        <v>.</v>
      </c>
      <c r="AW105" s="986" t="str">
        <f t="shared" si="72"/>
        <v>.</v>
      </c>
      <c r="AX105" s="214"/>
      <c r="AY105" s="3"/>
      <c r="AZ105" s="3"/>
      <c r="BA105" s="3"/>
      <c r="BB105" s="3"/>
    </row>
    <row r="106" spans="1:54" ht="12" x14ac:dyDescent="0.25">
      <c r="A106" s="3"/>
      <c r="B106" s="212"/>
      <c r="C106" s="278" t="s">
        <v>716</v>
      </c>
      <c r="D106" s="279" t="str">
        <f>IF('WK2 - Notional General Income'!D27="","",'WK2 - Notional General Income'!D27)</f>
        <v/>
      </c>
      <c r="E106" s="557" t="str">
        <f>IF('WK2 - Notional General Income'!M27=".",".",'WK2 - Notional General Income'!M27/'WK2 - Notional General Income'!E27)</f>
        <v>.</v>
      </c>
      <c r="F106" s="557" t="str">
        <f>IF('WK3 - Notional GI Yr1 YIELD'!M27=".",".",'WK3 - Notional GI Yr1 YIELD'!M27/'WK3 - Notional GI Yr1 YIELD'!E27)</f>
        <v>.</v>
      </c>
      <c r="G106" s="578"/>
      <c r="H106" s="578"/>
      <c r="I106" s="578"/>
      <c r="J106" s="578"/>
      <c r="K106" s="578"/>
      <c r="L106" s="579"/>
      <c r="M106" s="220"/>
      <c r="N106" s="3"/>
      <c r="O106" s="655">
        <f>'WK2 - Notional General Income'!$E27</f>
        <v>0</v>
      </c>
      <c r="P106" s="657">
        <f>'WK3 - Notional GI Yr1 YIELD'!$E27</f>
        <v>0</v>
      </c>
      <c r="Q106" s="3"/>
      <c r="R106" s="212"/>
      <c r="S106" s="699" t="str">
        <f t="shared" si="73"/>
        <v>.</v>
      </c>
      <c r="T106" s="700" t="str">
        <f t="shared" si="54"/>
        <v>.</v>
      </c>
      <c r="U106" s="700" t="str">
        <f t="shared" si="55"/>
        <v>.</v>
      </c>
      <c r="V106" s="700" t="str">
        <f t="shared" si="56"/>
        <v>.</v>
      </c>
      <c r="W106" s="700" t="str">
        <f t="shared" si="57"/>
        <v>.</v>
      </c>
      <c r="X106" s="700" t="str">
        <f t="shared" si="58"/>
        <v>.</v>
      </c>
      <c r="Y106" s="701" t="str">
        <f t="shared" si="59"/>
        <v>.</v>
      </c>
      <c r="Z106" s="3"/>
      <c r="AA106" s="985" t="str">
        <f t="shared" si="75"/>
        <v>.</v>
      </c>
      <c r="AB106" s="702" t="str">
        <f t="shared" si="61"/>
        <v>.</v>
      </c>
      <c r="AC106" s="702" t="str">
        <f t="shared" si="62"/>
        <v>.</v>
      </c>
      <c r="AD106" s="702" t="str">
        <f t="shared" si="63"/>
        <v>.</v>
      </c>
      <c r="AE106" s="702" t="str">
        <f t="shared" si="64"/>
        <v>.</v>
      </c>
      <c r="AF106" s="702" t="str">
        <f t="shared" si="65"/>
        <v>.</v>
      </c>
      <c r="AG106" s="986" t="str">
        <f t="shared" si="66"/>
        <v>.</v>
      </c>
      <c r="AH106" s="3"/>
      <c r="AI106" s="699" t="str">
        <f>IF(S106=".",".",SUM($S106:S106))</f>
        <v>.</v>
      </c>
      <c r="AJ106" s="700" t="str">
        <f>IF(T106=".",".",SUM($S106:T106))</f>
        <v>.</v>
      </c>
      <c r="AK106" s="700" t="str">
        <f>IF(U106=".",".",SUM($S106:U106))</f>
        <v>.</v>
      </c>
      <c r="AL106" s="700" t="str">
        <f>IF(V106=".",".",SUM($S106:V106))</f>
        <v>.</v>
      </c>
      <c r="AM106" s="700" t="str">
        <f>IF(W106=".",".",SUM($S106:W106))</f>
        <v>.</v>
      </c>
      <c r="AN106" s="700" t="str">
        <f>IF(X106=".",".",SUM($S106:X106))</f>
        <v>.</v>
      </c>
      <c r="AO106" s="701" t="str">
        <f>IF(Y106=".",".",SUM($S106:Y106))</f>
        <v>.</v>
      </c>
      <c r="AP106" s="3"/>
      <c r="AQ106" s="985" t="str">
        <f t="shared" si="74"/>
        <v>.</v>
      </c>
      <c r="AR106" s="702" t="str">
        <f t="shared" si="67"/>
        <v>.</v>
      </c>
      <c r="AS106" s="702" t="str">
        <f t="shared" si="68"/>
        <v>.</v>
      </c>
      <c r="AT106" s="702" t="str">
        <f t="shared" si="69"/>
        <v>.</v>
      </c>
      <c r="AU106" s="702" t="str">
        <f t="shared" si="70"/>
        <v>.</v>
      </c>
      <c r="AV106" s="702" t="str">
        <f t="shared" si="71"/>
        <v>.</v>
      </c>
      <c r="AW106" s="986" t="str">
        <f t="shared" si="72"/>
        <v>.</v>
      </c>
      <c r="AX106" s="214"/>
      <c r="AY106" s="3"/>
      <c r="AZ106" s="3"/>
      <c r="BA106" s="3"/>
      <c r="BB106" s="3"/>
    </row>
    <row r="107" spans="1:54" ht="12" x14ac:dyDescent="0.25">
      <c r="A107" s="3"/>
      <c r="B107" s="212"/>
      <c r="C107" s="278" t="s">
        <v>716</v>
      </c>
      <c r="D107" s="279" t="str">
        <f>IF('WK2 - Notional General Income'!D28="","",'WK2 - Notional General Income'!D28)</f>
        <v/>
      </c>
      <c r="E107" s="557" t="str">
        <f>IF('WK2 - Notional General Income'!M28=".",".",'WK2 - Notional General Income'!M28/'WK2 - Notional General Income'!E28)</f>
        <v>.</v>
      </c>
      <c r="F107" s="557" t="str">
        <f>IF('WK3 - Notional GI Yr1 YIELD'!M28=".",".",'WK3 - Notional GI Yr1 YIELD'!M28/'WK3 - Notional GI Yr1 YIELD'!E28)</f>
        <v>.</v>
      </c>
      <c r="G107" s="578"/>
      <c r="H107" s="578"/>
      <c r="I107" s="578"/>
      <c r="J107" s="578"/>
      <c r="K107" s="578"/>
      <c r="L107" s="579"/>
      <c r="M107" s="220"/>
      <c r="N107" s="3"/>
      <c r="O107" s="655">
        <f>'WK2 - Notional General Income'!$E28</f>
        <v>0</v>
      </c>
      <c r="P107" s="657">
        <f>'WK3 - Notional GI Yr1 YIELD'!$E28</f>
        <v>0</v>
      </c>
      <c r="Q107" s="3"/>
      <c r="R107" s="212"/>
      <c r="S107" s="699" t="str">
        <f t="shared" si="73"/>
        <v>.</v>
      </c>
      <c r="T107" s="700" t="str">
        <f t="shared" si="54"/>
        <v>.</v>
      </c>
      <c r="U107" s="700" t="str">
        <f t="shared" si="55"/>
        <v>.</v>
      </c>
      <c r="V107" s="700" t="str">
        <f t="shared" si="56"/>
        <v>.</v>
      </c>
      <c r="W107" s="700" t="str">
        <f t="shared" si="57"/>
        <v>.</v>
      </c>
      <c r="X107" s="700" t="str">
        <f t="shared" si="58"/>
        <v>.</v>
      </c>
      <c r="Y107" s="701" t="str">
        <f t="shared" si="59"/>
        <v>.</v>
      </c>
      <c r="Z107" s="3"/>
      <c r="AA107" s="985" t="str">
        <f t="shared" si="75"/>
        <v>.</v>
      </c>
      <c r="AB107" s="702" t="str">
        <f t="shared" si="61"/>
        <v>.</v>
      </c>
      <c r="AC107" s="702" t="str">
        <f t="shared" si="62"/>
        <v>.</v>
      </c>
      <c r="AD107" s="702" t="str">
        <f t="shared" si="63"/>
        <v>.</v>
      </c>
      <c r="AE107" s="702" t="str">
        <f t="shared" si="64"/>
        <v>.</v>
      </c>
      <c r="AF107" s="702" t="str">
        <f t="shared" si="65"/>
        <v>.</v>
      </c>
      <c r="AG107" s="986" t="str">
        <f t="shared" si="66"/>
        <v>.</v>
      </c>
      <c r="AH107" s="3"/>
      <c r="AI107" s="699" t="str">
        <f>IF(S107=".",".",SUM($S107:S107))</f>
        <v>.</v>
      </c>
      <c r="AJ107" s="700" t="str">
        <f>IF(T107=".",".",SUM($S107:T107))</f>
        <v>.</v>
      </c>
      <c r="AK107" s="700" t="str">
        <f>IF(U107=".",".",SUM($S107:U107))</f>
        <v>.</v>
      </c>
      <c r="AL107" s="700" t="str">
        <f>IF(V107=".",".",SUM($S107:V107))</f>
        <v>.</v>
      </c>
      <c r="AM107" s="700" t="str">
        <f>IF(W107=".",".",SUM($S107:W107))</f>
        <v>.</v>
      </c>
      <c r="AN107" s="700" t="str">
        <f>IF(X107=".",".",SUM($S107:X107))</f>
        <v>.</v>
      </c>
      <c r="AO107" s="701" t="str">
        <f>IF(Y107=".",".",SUM($S107:Y107))</f>
        <v>.</v>
      </c>
      <c r="AP107" s="3"/>
      <c r="AQ107" s="985" t="str">
        <f t="shared" si="74"/>
        <v>.</v>
      </c>
      <c r="AR107" s="702" t="str">
        <f t="shared" si="67"/>
        <v>.</v>
      </c>
      <c r="AS107" s="702" t="str">
        <f t="shared" si="68"/>
        <v>.</v>
      </c>
      <c r="AT107" s="702" t="str">
        <f t="shared" si="69"/>
        <v>.</v>
      </c>
      <c r="AU107" s="702" t="str">
        <f t="shared" si="70"/>
        <v>.</v>
      </c>
      <c r="AV107" s="702" t="str">
        <f t="shared" si="71"/>
        <v>.</v>
      </c>
      <c r="AW107" s="986" t="str">
        <f t="shared" si="72"/>
        <v>.</v>
      </c>
      <c r="AX107" s="214"/>
      <c r="AY107" s="3"/>
      <c r="AZ107" s="3"/>
      <c r="BA107" s="3"/>
      <c r="BB107" s="3"/>
    </row>
    <row r="108" spans="1:54" ht="12" x14ac:dyDescent="0.25">
      <c r="A108" s="3"/>
      <c r="B108" s="212"/>
      <c r="C108" s="278" t="s">
        <v>716</v>
      </c>
      <c r="D108" s="279" t="str">
        <f>IF('WK2 - Notional General Income'!D29="","",'WK2 - Notional General Income'!D29)</f>
        <v/>
      </c>
      <c r="E108" s="557" t="str">
        <f>IF('WK2 - Notional General Income'!M29=".",".",'WK2 - Notional General Income'!M29/'WK2 - Notional General Income'!E29)</f>
        <v>.</v>
      </c>
      <c r="F108" s="557" t="str">
        <f>IF('WK3 - Notional GI Yr1 YIELD'!M29=".",".",'WK3 - Notional GI Yr1 YIELD'!M29/'WK3 - Notional GI Yr1 YIELD'!E29)</f>
        <v>.</v>
      </c>
      <c r="G108" s="578"/>
      <c r="H108" s="578"/>
      <c r="I108" s="578"/>
      <c r="J108" s="578"/>
      <c r="K108" s="578"/>
      <c r="L108" s="579"/>
      <c r="M108" s="220"/>
      <c r="N108" s="3"/>
      <c r="O108" s="655">
        <f>'WK2 - Notional General Income'!$E29</f>
        <v>0</v>
      </c>
      <c r="P108" s="657">
        <f>'WK3 - Notional GI Yr1 YIELD'!$E29</f>
        <v>0</v>
      </c>
      <c r="Q108" s="3"/>
      <c r="R108" s="212"/>
      <c r="S108" s="699" t="str">
        <f t="shared" si="73"/>
        <v>.</v>
      </c>
      <c r="T108" s="700" t="str">
        <f t="shared" si="54"/>
        <v>.</v>
      </c>
      <c r="U108" s="700" t="str">
        <f t="shared" si="55"/>
        <v>.</v>
      </c>
      <c r="V108" s="700" t="str">
        <f t="shared" si="56"/>
        <v>.</v>
      </c>
      <c r="W108" s="700" t="str">
        <f t="shared" si="57"/>
        <v>.</v>
      </c>
      <c r="X108" s="700" t="str">
        <f t="shared" si="58"/>
        <v>.</v>
      </c>
      <c r="Y108" s="701" t="str">
        <f t="shared" si="59"/>
        <v>.</v>
      </c>
      <c r="Z108" s="3"/>
      <c r="AA108" s="985" t="str">
        <f t="shared" si="75"/>
        <v>.</v>
      </c>
      <c r="AB108" s="702" t="str">
        <f t="shared" si="61"/>
        <v>.</v>
      </c>
      <c r="AC108" s="702" t="str">
        <f t="shared" si="62"/>
        <v>.</v>
      </c>
      <c r="AD108" s="702" t="str">
        <f t="shared" si="63"/>
        <v>.</v>
      </c>
      <c r="AE108" s="702" t="str">
        <f t="shared" si="64"/>
        <v>.</v>
      </c>
      <c r="AF108" s="702" t="str">
        <f t="shared" si="65"/>
        <v>.</v>
      </c>
      <c r="AG108" s="986" t="str">
        <f t="shared" si="66"/>
        <v>.</v>
      </c>
      <c r="AH108" s="3"/>
      <c r="AI108" s="699" t="str">
        <f>IF(S108=".",".",SUM($S108:S108))</f>
        <v>.</v>
      </c>
      <c r="AJ108" s="700" t="str">
        <f>IF(T108=".",".",SUM($S108:T108))</f>
        <v>.</v>
      </c>
      <c r="AK108" s="700" t="str">
        <f>IF(U108=".",".",SUM($S108:U108))</f>
        <v>.</v>
      </c>
      <c r="AL108" s="700" t="str">
        <f>IF(V108=".",".",SUM($S108:V108))</f>
        <v>.</v>
      </c>
      <c r="AM108" s="700" t="str">
        <f>IF(W108=".",".",SUM($S108:W108))</f>
        <v>.</v>
      </c>
      <c r="AN108" s="700" t="str">
        <f>IF(X108=".",".",SUM($S108:X108))</f>
        <v>.</v>
      </c>
      <c r="AO108" s="701" t="str">
        <f>IF(Y108=".",".",SUM($S108:Y108))</f>
        <v>.</v>
      </c>
      <c r="AP108" s="3"/>
      <c r="AQ108" s="985" t="str">
        <f t="shared" si="74"/>
        <v>.</v>
      </c>
      <c r="AR108" s="702" t="str">
        <f t="shared" si="67"/>
        <v>.</v>
      </c>
      <c r="AS108" s="702" t="str">
        <f t="shared" si="68"/>
        <v>.</v>
      </c>
      <c r="AT108" s="702" t="str">
        <f t="shared" si="69"/>
        <v>.</v>
      </c>
      <c r="AU108" s="702" t="str">
        <f t="shared" si="70"/>
        <v>.</v>
      </c>
      <c r="AV108" s="702" t="str">
        <f t="shared" si="71"/>
        <v>.</v>
      </c>
      <c r="AW108" s="986" t="str">
        <f t="shared" si="72"/>
        <v>.</v>
      </c>
      <c r="AX108" s="214"/>
      <c r="AY108" s="3"/>
      <c r="AZ108" s="3"/>
      <c r="BA108" s="3"/>
      <c r="BB108" s="3"/>
    </row>
    <row r="109" spans="1:54" ht="12" x14ac:dyDescent="0.25">
      <c r="A109" s="3"/>
      <c r="B109" s="212"/>
      <c r="C109" s="278" t="s">
        <v>716</v>
      </c>
      <c r="D109" s="279" t="str">
        <f>IF('WK2 - Notional General Income'!D30="","",'WK2 - Notional General Income'!D30)</f>
        <v/>
      </c>
      <c r="E109" s="557" t="str">
        <f>IF('WK2 - Notional General Income'!M30=".",".",'WK2 - Notional General Income'!M30/'WK2 - Notional General Income'!E30)</f>
        <v>.</v>
      </c>
      <c r="F109" s="557" t="str">
        <f>IF('WK3 - Notional GI Yr1 YIELD'!M30=".",".",'WK3 - Notional GI Yr1 YIELD'!M30/'WK3 - Notional GI Yr1 YIELD'!E30)</f>
        <v>.</v>
      </c>
      <c r="G109" s="578"/>
      <c r="H109" s="578"/>
      <c r="I109" s="578"/>
      <c r="J109" s="578"/>
      <c r="K109" s="578"/>
      <c r="L109" s="579"/>
      <c r="M109" s="220"/>
      <c r="N109" s="3"/>
      <c r="O109" s="655">
        <f>'WK2 - Notional General Income'!$E30</f>
        <v>0</v>
      </c>
      <c r="P109" s="657">
        <f>'WK3 - Notional GI Yr1 YIELD'!$E30</f>
        <v>0</v>
      </c>
      <c r="Q109" s="3"/>
      <c r="R109" s="212"/>
      <c r="S109" s="699" t="str">
        <f t="shared" si="73"/>
        <v>.</v>
      </c>
      <c r="T109" s="700" t="str">
        <f t="shared" si="54"/>
        <v>.</v>
      </c>
      <c r="U109" s="700" t="str">
        <f t="shared" si="55"/>
        <v>.</v>
      </c>
      <c r="V109" s="700" t="str">
        <f t="shared" si="56"/>
        <v>.</v>
      </c>
      <c r="W109" s="700" t="str">
        <f t="shared" si="57"/>
        <v>.</v>
      </c>
      <c r="X109" s="700" t="str">
        <f t="shared" si="58"/>
        <v>.</v>
      </c>
      <c r="Y109" s="701" t="str">
        <f t="shared" si="59"/>
        <v>.</v>
      </c>
      <c r="Z109" s="3"/>
      <c r="AA109" s="985" t="str">
        <f t="shared" si="75"/>
        <v>.</v>
      </c>
      <c r="AB109" s="702" t="str">
        <f t="shared" si="61"/>
        <v>.</v>
      </c>
      <c r="AC109" s="702" t="str">
        <f t="shared" si="62"/>
        <v>.</v>
      </c>
      <c r="AD109" s="702" t="str">
        <f t="shared" si="63"/>
        <v>.</v>
      </c>
      <c r="AE109" s="702" t="str">
        <f t="shared" si="64"/>
        <v>.</v>
      </c>
      <c r="AF109" s="702" t="str">
        <f t="shared" si="65"/>
        <v>.</v>
      </c>
      <c r="AG109" s="986" t="str">
        <f t="shared" si="66"/>
        <v>.</v>
      </c>
      <c r="AH109" s="3"/>
      <c r="AI109" s="699" t="str">
        <f>IF(S109=".",".",SUM($S109:S109))</f>
        <v>.</v>
      </c>
      <c r="AJ109" s="700" t="str">
        <f>IF(T109=".",".",SUM($S109:T109))</f>
        <v>.</v>
      </c>
      <c r="AK109" s="700" t="str">
        <f>IF(U109=".",".",SUM($S109:U109))</f>
        <v>.</v>
      </c>
      <c r="AL109" s="700" t="str">
        <f>IF(V109=".",".",SUM($S109:V109))</f>
        <v>.</v>
      </c>
      <c r="AM109" s="700" t="str">
        <f>IF(W109=".",".",SUM($S109:W109))</f>
        <v>.</v>
      </c>
      <c r="AN109" s="700" t="str">
        <f>IF(X109=".",".",SUM($S109:X109))</f>
        <v>.</v>
      </c>
      <c r="AO109" s="701" t="str">
        <f>IF(Y109=".",".",SUM($S109:Y109))</f>
        <v>.</v>
      </c>
      <c r="AP109" s="3"/>
      <c r="AQ109" s="985" t="str">
        <f t="shared" si="74"/>
        <v>.</v>
      </c>
      <c r="AR109" s="702" t="str">
        <f t="shared" si="67"/>
        <v>.</v>
      </c>
      <c r="AS109" s="702" t="str">
        <f t="shared" si="68"/>
        <v>.</v>
      </c>
      <c r="AT109" s="702" t="str">
        <f t="shared" si="69"/>
        <v>.</v>
      </c>
      <c r="AU109" s="702" t="str">
        <f t="shared" si="70"/>
        <v>.</v>
      </c>
      <c r="AV109" s="702" t="str">
        <f t="shared" si="71"/>
        <v>.</v>
      </c>
      <c r="AW109" s="986" t="str">
        <f t="shared" si="72"/>
        <v>.</v>
      </c>
      <c r="AX109" s="214"/>
      <c r="AY109" s="3"/>
      <c r="AZ109" s="3"/>
      <c r="BA109" s="3"/>
      <c r="BB109" s="3"/>
    </row>
    <row r="110" spans="1:54" ht="12" x14ac:dyDescent="0.25">
      <c r="A110" s="3"/>
      <c r="B110" s="212"/>
      <c r="C110" s="278" t="s">
        <v>716</v>
      </c>
      <c r="D110" s="279" t="str">
        <f>IF('WK2 - Notional General Income'!D31="","",'WK2 - Notional General Income'!D31)</f>
        <v/>
      </c>
      <c r="E110" s="557" t="str">
        <f>IF('WK2 - Notional General Income'!M31=".",".",'WK2 - Notional General Income'!M31/'WK2 - Notional General Income'!E31)</f>
        <v>.</v>
      </c>
      <c r="F110" s="557" t="str">
        <f>IF('WK3 - Notional GI Yr1 YIELD'!M31=".",".",'WK3 - Notional GI Yr1 YIELD'!M31/'WK3 - Notional GI Yr1 YIELD'!E31)</f>
        <v>.</v>
      </c>
      <c r="G110" s="578"/>
      <c r="H110" s="578"/>
      <c r="I110" s="578"/>
      <c r="J110" s="578"/>
      <c r="K110" s="578"/>
      <c r="L110" s="579"/>
      <c r="M110" s="220"/>
      <c r="N110" s="3"/>
      <c r="O110" s="655">
        <f>'WK2 - Notional General Income'!$E31</f>
        <v>0</v>
      </c>
      <c r="P110" s="657">
        <f>'WK3 - Notional GI Yr1 YIELD'!$E31</f>
        <v>0</v>
      </c>
      <c r="Q110" s="3"/>
      <c r="R110" s="212"/>
      <c r="S110" s="699" t="str">
        <f t="shared" si="73"/>
        <v>.</v>
      </c>
      <c r="T110" s="700" t="str">
        <f t="shared" si="54"/>
        <v>.</v>
      </c>
      <c r="U110" s="700" t="str">
        <f t="shared" si="55"/>
        <v>.</v>
      </c>
      <c r="V110" s="700" t="str">
        <f t="shared" si="56"/>
        <v>.</v>
      </c>
      <c r="W110" s="700" t="str">
        <f t="shared" si="57"/>
        <v>.</v>
      </c>
      <c r="X110" s="700" t="str">
        <f t="shared" si="58"/>
        <v>.</v>
      </c>
      <c r="Y110" s="701" t="str">
        <f t="shared" si="59"/>
        <v>.</v>
      </c>
      <c r="Z110" s="3"/>
      <c r="AA110" s="985" t="str">
        <f t="shared" si="75"/>
        <v>.</v>
      </c>
      <c r="AB110" s="702" t="str">
        <f t="shared" si="61"/>
        <v>.</v>
      </c>
      <c r="AC110" s="702" t="str">
        <f t="shared" si="62"/>
        <v>.</v>
      </c>
      <c r="AD110" s="702" t="str">
        <f t="shared" si="63"/>
        <v>.</v>
      </c>
      <c r="AE110" s="702" t="str">
        <f t="shared" si="64"/>
        <v>.</v>
      </c>
      <c r="AF110" s="702" t="str">
        <f t="shared" si="65"/>
        <v>.</v>
      </c>
      <c r="AG110" s="986" t="str">
        <f t="shared" si="66"/>
        <v>.</v>
      </c>
      <c r="AH110" s="3"/>
      <c r="AI110" s="699" t="str">
        <f>IF(S110=".",".",SUM($S110:S110))</f>
        <v>.</v>
      </c>
      <c r="AJ110" s="700" t="str">
        <f>IF(T110=".",".",SUM($S110:T110))</f>
        <v>.</v>
      </c>
      <c r="AK110" s="700" t="str">
        <f>IF(U110=".",".",SUM($S110:U110))</f>
        <v>.</v>
      </c>
      <c r="AL110" s="700" t="str">
        <f>IF(V110=".",".",SUM($S110:V110))</f>
        <v>.</v>
      </c>
      <c r="AM110" s="700" t="str">
        <f>IF(W110=".",".",SUM($S110:W110))</f>
        <v>.</v>
      </c>
      <c r="AN110" s="700" t="str">
        <f>IF(X110=".",".",SUM($S110:X110))</f>
        <v>.</v>
      </c>
      <c r="AO110" s="701" t="str">
        <f>IF(Y110=".",".",SUM($S110:Y110))</f>
        <v>.</v>
      </c>
      <c r="AP110" s="3"/>
      <c r="AQ110" s="985" t="str">
        <f t="shared" si="74"/>
        <v>.</v>
      </c>
      <c r="AR110" s="702" t="str">
        <f t="shared" si="67"/>
        <v>.</v>
      </c>
      <c r="AS110" s="702" t="str">
        <f t="shared" si="68"/>
        <v>.</v>
      </c>
      <c r="AT110" s="702" t="str">
        <f t="shared" si="69"/>
        <v>.</v>
      </c>
      <c r="AU110" s="702" t="str">
        <f t="shared" si="70"/>
        <v>.</v>
      </c>
      <c r="AV110" s="702" t="str">
        <f t="shared" si="71"/>
        <v>.</v>
      </c>
      <c r="AW110" s="986" t="str">
        <f t="shared" si="72"/>
        <v>.</v>
      </c>
      <c r="AX110" s="214"/>
      <c r="AY110" s="3"/>
      <c r="AZ110" s="3"/>
      <c r="BA110" s="3"/>
      <c r="BB110" s="3"/>
    </row>
    <row r="111" spans="1:54" ht="12" x14ac:dyDescent="0.25">
      <c r="A111" s="3"/>
      <c r="B111" s="212"/>
      <c r="C111" s="278" t="s">
        <v>716</v>
      </c>
      <c r="D111" s="279" t="str">
        <f>IF('WK2 - Notional General Income'!D32="","",'WK2 - Notional General Income'!D32)</f>
        <v/>
      </c>
      <c r="E111" s="557" t="str">
        <f>IF('WK2 - Notional General Income'!M32=".",".",'WK2 - Notional General Income'!M32/'WK2 - Notional General Income'!E32)</f>
        <v>.</v>
      </c>
      <c r="F111" s="557" t="str">
        <f>IF('WK3 - Notional GI Yr1 YIELD'!M32=".",".",'WK3 - Notional GI Yr1 YIELD'!M32/'WK3 - Notional GI Yr1 YIELD'!E32)</f>
        <v>.</v>
      </c>
      <c r="G111" s="578"/>
      <c r="H111" s="578"/>
      <c r="I111" s="578"/>
      <c r="J111" s="578"/>
      <c r="K111" s="578"/>
      <c r="L111" s="579"/>
      <c r="M111" s="220"/>
      <c r="N111" s="3"/>
      <c r="O111" s="655">
        <f>'WK2 - Notional General Income'!$E32</f>
        <v>0</v>
      </c>
      <c r="P111" s="657">
        <f>'WK3 - Notional GI Yr1 YIELD'!$E32</f>
        <v>0</v>
      </c>
      <c r="Q111" s="3"/>
      <c r="R111" s="212"/>
      <c r="S111" s="699" t="str">
        <f t="shared" si="73"/>
        <v>.</v>
      </c>
      <c r="T111" s="700" t="str">
        <f t="shared" si="54"/>
        <v>.</v>
      </c>
      <c r="U111" s="700" t="str">
        <f t="shared" si="55"/>
        <v>.</v>
      </c>
      <c r="V111" s="700" t="str">
        <f t="shared" si="56"/>
        <v>.</v>
      </c>
      <c r="W111" s="700" t="str">
        <f t="shared" si="57"/>
        <v>.</v>
      </c>
      <c r="X111" s="700" t="str">
        <f t="shared" si="58"/>
        <v>.</v>
      </c>
      <c r="Y111" s="701" t="str">
        <f t="shared" si="59"/>
        <v>.</v>
      </c>
      <c r="Z111" s="3"/>
      <c r="AA111" s="985" t="str">
        <f t="shared" ref="AA111:AA128" si="76">IFERROR(F111/E111-1,".")</f>
        <v>.</v>
      </c>
      <c r="AB111" s="702" t="str">
        <f t="shared" si="61"/>
        <v>.</v>
      </c>
      <c r="AC111" s="702" t="str">
        <f t="shared" si="62"/>
        <v>.</v>
      </c>
      <c r="AD111" s="702" t="str">
        <f t="shared" si="63"/>
        <v>.</v>
      </c>
      <c r="AE111" s="702" t="str">
        <f t="shared" si="64"/>
        <v>.</v>
      </c>
      <c r="AF111" s="702" t="str">
        <f t="shared" si="65"/>
        <v>.</v>
      </c>
      <c r="AG111" s="986" t="str">
        <f t="shared" si="66"/>
        <v>.</v>
      </c>
      <c r="AH111" s="3"/>
      <c r="AI111" s="699" t="str">
        <f>IF(S111=".",".",SUM($S111:S111))</f>
        <v>.</v>
      </c>
      <c r="AJ111" s="700" t="str">
        <f>IF(T111=".",".",SUM($S111:T111))</f>
        <v>.</v>
      </c>
      <c r="AK111" s="700" t="str">
        <f>IF(U111=".",".",SUM($S111:U111))</f>
        <v>.</v>
      </c>
      <c r="AL111" s="700" t="str">
        <f>IF(V111=".",".",SUM($S111:V111))</f>
        <v>.</v>
      </c>
      <c r="AM111" s="700" t="str">
        <f>IF(W111=".",".",SUM($S111:W111))</f>
        <v>.</v>
      </c>
      <c r="AN111" s="700" t="str">
        <f>IF(X111=".",".",SUM($S111:X111))</f>
        <v>.</v>
      </c>
      <c r="AO111" s="701" t="str">
        <f>IF(Y111=".",".",SUM($S111:Y111))</f>
        <v>.</v>
      </c>
      <c r="AP111" s="3"/>
      <c r="AQ111" s="985" t="str">
        <f t="shared" si="74"/>
        <v>.</v>
      </c>
      <c r="AR111" s="702" t="str">
        <f t="shared" si="67"/>
        <v>.</v>
      </c>
      <c r="AS111" s="702" t="str">
        <f t="shared" si="68"/>
        <v>.</v>
      </c>
      <c r="AT111" s="702" t="str">
        <f t="shared" si="69"/>
        <v>.</v>
      </c>
      <c r="AU111" s="702" t="str">
        <f t="shared" si="70"/>
        <v>.</v>
      </c>
      <c r="AV111" s="702" t="str">
        <f t="shared" si="71"/>
        <v>.</v>
      </c>
      <c r="AW111" s="986" t="str">
        <f t="shared" si="72"/>
        <v>.</v>
      </c>
      <c r="AX111" s="214"/>
      <c r="AY111" s="3"/>
      <c r="AZ111" s="3"/>
      <c r="BA111" s="3"/>
      <c r="BB111" s="3"/>
    </row>
    <row r="112" spans="1:54" ht="12" x14ac:dyDescent="0.25">
      <c r="A112" s="3"/>
      <c r="B112" s="212"/>
      <c r="C112" s="278" t="s">
        <v>716</v>
      </c>
      <c r="D112" s="279" t="str">
        <f>IF('WK2 - Notional General Income'!D33="","",'WK2 - Notional General Income'!D33)</f>
        <v/>
      </c>
      <c r="E112" s="557" t="str">
        <f>IF('WK2 - Notional General Income'!M33=".",".",'WK2 - Notional General Income'!M33/'WK2 - Notional General Income'!E33)</f>
        <v>.</v>
      </c>
      <c r="F112" s="557" t="str">
        <f>IF('WK3 - Notional GI Yr1 YIELD'!M33=".",".",'WK3 - Notional GI Yr1 YIELD'!M33/'WK3 - Notional GI Yr1 YIELD'!E33)</f>
        <v>.</v>
      </c>
      <c r="G112" s="578"/>
      <c r="H112" s="578"/>
      <c r="I112" s="578"/>
      <c r="J112" s="578"/>
      <c r="K112" s="578"/>
      <c r="L112" s="579"/>
      <c r="M112" s="220"/>
      <c r="N112" s="3"/>
      <c r="O112" s="655">
        <f>'WK2 - Notional General Income'!$E33</f>
        <v>0</v>
      </c>
      <c r="P112" s="657">
        <f>'WK3 - Notional GI Yr1 YIELD'!$E33</f>
        <v>0</v>
      </c>
      <c r="Q112" s="3"/>
      <c r="R112" s="212"/>
      <c r="S112" s="699" t="str">
        <f t="shared" si="73"/>
        <v>.</v>
      </c>
      <c r="T112" s="700" t="str">
        <f t="shared" si="54"/>
        <v>.</v>
      </c>
      <c r="U112" s="700" t="str">
        <f t="shared" si="55"/>
        <v>.</v>
      </c>
      <c r="V112" s="700" t="str">
        <f t="shared" si="56"/>
        <v>.</v>
      </c>
      <c r="W112" s="700" t="str">
        <f t="shared" si="57"/>
        <v>.</v>
      </c>
      <c r="X112" s="700" t="str">
        <f t="shared" si="58"/>
        <v>.</v>
      </c>
      <c r="Y112" s="701" t="str">
        <f t="shared" si="59"/>
        <v>.</v>
      </c>
      <c r="Z112" s="3"/>
      <c r="AA112" s="985" t="str">
        <f t="shared" si="76"/>
        <v>.</v>
      </c>
      <c r="AB112" s="702" t="str">
        <f t="shared" si="61"/>
        <v>.</v>
      </c>
      <c r="AC112" s="702" t="str">
        <f t="shared" si="62"/>
        <v>.</v>
      </c>
      <c r="AD112" s="702" t="str">
        <f t="shared" si="63"/>
        <v>.</v>
      </c>
      <c r="AE112" s="702" t="str">
        <f t="shared" si="64"/>
        <v>.</v>
      </c>
      <c r="AF112" s="702" t="str">
        <f t="shared" si="65"/>
        <v>.</v>
      </c>
      <c r="AG112" s="986" t="str">
        <f t="shared" si="66"/>
        <v>.</v>
      </c>
      <c r="AH112" s="3"/>
      <c r="AI112" s="699" t="str">
        <f>IF(S112=".",".",SUM($S112:S112))</f>
        <v>.</v>
      </c>
      <c r="AJ112" s="700" t="str">
        <f>IF(T112=".",".",SUM($S112:T112))</f>
        <v>.</v>
      </c>
      <c r="AK112" s="700" t="str">
        <f>IF(U112=".",".",SUM($S112:U112))</f>
        <v>.</v>
      </c>
      <c r="AL112" s="700" t="str">
        <f>IF(V112=".",".",SUM($S112:V112))</f>
        <v>.</v>
      </c>
      <c r="AM112" s="700" t="str">
        <f>IF(W112=".",".",SUM($S112:W112))</f>
        <v>.</v>
      </c>
      <c r="AN112" s="700" t="str">
        <f>IF(X112=".",".",SUM($S112:X112))</f>
        <v>.</v>
      </c>
      <c r="AO112" s="701" t="str">
        <f>IF(Y112=".",".",SUM($S112:Y112))</f>
        <v>.</v>
      </c>
      <c r="AP112" s="3"/>
      <c r="AQ112" s="985" t="str">
        <f t="shared" si="74"/>
        <v>.</v>
      </c>
      <c r="AR112" s="702" t="str">
        <f t="shared" si="67"/>
        <v>.</v>
      </c>
      <c r="AS112" s="702" t="str">
        <f t="shared" si="68"/>
        <v>.</v>
      </c>
      <c r="AT112" s="702" t="str">
        <f t="shared" si="69"/>
        <v>.</v>
      </c>
      <c r="AU112" s="702" t="str">
        <f t="shared" si="70"/>
        <v>.</v>
      </c>
      <c r="AV112" s="702" t="str">
        <f t="shared" si="71"/>
        <v>.</v>
      </c>
      <c r="AW112" s="986" t="str">
        <f t="shared" si="72"/>
        <v>.</v>
      </c>
      <c r="AX112" s="214"/>
      <c r="AY112" s="3"/>
      <c r="AZ112" s="3"/>
      <c r="BA112" s="3"/>
      <c r="BB112" s="3"/>
    </row>
    <row r="113" spans="1:54" ht="12" x14ac:dyDescent="0.25">
      <c r="A113" s="3"/>
      <c r="B113" s="212"/>
      <c r="C113" s="278" t="s">
        <v>716</v>
      </c>
      <c r="D113" s="279" t="str">
        <f>IF('WK2 - Notional General Income'!D34="","",'WK2 - Notional General Income'!D34)</f>
        <v/>
      </c>
      <c r="E113" s="557" t="str">
        <f>IF('WK2 - Notional General Income'!M34=".",".",'WK2 - Notional General Income'!M34/'WK2 - Notional General Income'!E34)</f>
        <v>.</v>
      </c>
      <c r="F113" s="557" t="str">
        <f>IF('WK3 - Notional GI Yr1 YIELD'!M34=".",".",'WK3 - Notional GI Yr1 YIELD'!M34/'WK3 - Notional GI Yr1 YIELD'!E34)</f>
        <v>.</v>
      </c>
      <c r="G113" s="578"/>
      <c r="H113" s="578"/>
      <c r="I113" s="578"/>
      <c r="J113" s="578"/>
      <c r="K113" s="578"/>
      <c r="L113" s="579"/>
      <c r="M113" s="220"/>
      <c r="N113" s="3"/>
      <c r="O113" s="655">
        <f>'WK2 - Notional General Income'!$E34</f>
        <v>0</v>
      </c>
      <c r="P113" s="657">
        <f>'WK3 - Notional GI Yr1 YIELD'!$E34</f>
        <v>0</v>
      </c>
      <c r="Q113" s="3"/>
      <c r="R113" s="212"/>
      <c r="S113" s="699" t="str">
        <f t="shared" si="73"/>
        <v>.</v>
      </c>
      <c r="T113" s="700" t="str">
        <f t="shared" si="54"/>
        <v>.</v>
      </c>
      <c r="U113" s="700" t="str">
        <f t="shared" si="55"/>
        <v>.</v>
      </c>
      <c r="V113" s="700" t="str">
        <f t="shared" si="56"/>
        <v>.</v>
      </c>
      <c r="W113" s="700" t="str">
        <f t="shared" si="57"/>
        <v>.</v>
      </c>
      <c r="X113" s="700" t="str">
        <f t="shared" si="58"/>
        <v>.</v>
      </c>
      <c r="Y113" s="701" t="str">
        <f t="shared" si="59"/>
        <v>.</v>
      </c>
      <c r="Z113" s="3"/>
      <c r="AA113" s="985" t="str">
        <f t="shared" si="76"/>
        <v>.</v>
      </c>
      <c r="AB113" s="702" t="str">
        <f t="shared" si="61"/>
        <v>.</v>
      </c>
      <c r="AC113" s="702" t="str">
        <f t="shared" si="62"/>
        <v>.</v>
      </c>
      <c r="AD113" s="702" t="str">
        <f t="shared" si="63"/>
        <v>.</v>
      </c>
      <c r="AE113" s="702" t="str">
        <f t="shared" si="64"/>
        <v>.</v>
      </c>
      <c r="AF113" s="702" t="str">
        <f t="shared" si="65"/>
        <v>.</v>
      </c>
      <c r="AG113" s="986" t="str">
        <f t="shared" si="66"/>
        <v>.</v>
      </c>
      <c r="AH113" s="3"/>
      <c r="AI113" s="699" t="str">
        <f>IF(S113=".",".",SUM($S113:S113))</f>
        <v>.</v>
      </c>
      <c r="AJ113" s="700" t="str">
        <f>IF(T113=".",".",SUM($S113:T113))</f>
        <v>.</v>
      </c>
      <c r="AK113" s="700" t="str">
        <f>IF(U113=".",".",SUM($S113:U113))</f>
        <v>.</v>
      </c>
      <c r="AL113" s="700" t="str">
        <f>IF(V113=".",".",SUM($S113:V113))</f>
        <v>.</v>
      </c>
      <c r="AM113" s="700" t="str">
        <f>IF(W113=".",".",SUM($S113:W113))</f>
        <v>.</v>
      </c>
      <c r="AN113" s="700" t="str">
        <f>IF(X113=".",".",SUM($S113:X113))</f>
        <v>.</v>
      </c>
      <c r="AO113" s="701" t="str">
        <f>IF(Y113=".",".",SUM($S113:Y113))</f>
        <v>.</v>
      </c>
      <c r="AP113" s="3"/>
      <c r="AQ113" s="985" t="str">
        <f t="shared" si="74"/>
        <v>.</v>
      </c>
      <c r="AR113" s="702" t="str">
        <f t="shared" si="67"/>
        <v>.</v>
      </c>
      <c r="AS113" s="702" t="str">
        <f t="shared" si="68"/>
        <v>.</v>
      </c>
      <c r="AT113" s="702" t="str">
        <f t="shared" si="69"/>
        <v>.</v>
      </c>
      <c r="AU113" s="702" t="str">
        <f t="shared" si="70"/>
        <v>.</v>
      </c>
      <c r="AV113" s="702" t="str">
        <f t="shared" si="71"/>
        <v>.</v>
      </c>
      <c r="AW113" s="986" t="str">
        <f t="shared" si="72"/>
        <v>.</v>
      </c>
      <c r="AX113" s="214"/>
      <c r="AY113" s="3"/>
      <c r="AZ113" s="3"/>
      <c r="BA113" s="3"/>
      <c r="BB113" s="3"/>
    </row>
    <row r="114" spans="1:54" ht="12" x14ac:dyDescent="0.25">
      <c r="A114" s="3"/>
      <c r="B114" s="212"/>
      <c r="C114" s="278" t="s">
        <v>716</v>
      </c>
      <c r="D114" s="279" t="str">
        <f>IF('WK2 - Notional General Income'!D35="","",'WK2 - Notional General Income'!D35)</f>
        <v/>
      </c>
      <c r="E114" s="557" t="str">
        <f>IF('WK2 - Notional General Income'!M35=".",".",'WK2 - Notional General Income'!M35/'WK2 - Notional General Income'!E35)</f>
        <v>.</v>
      </c>
      <c r="F114" s="557" t="str">
        <f>IF('WK3 - Notional GI Yr1 YIELD'!M35=".",".",'WK3 - Notional GI Yr1 YIELD'!M35/'WK3 - Notional GI Yr1 YIELD'!E35)</f>
        <v>.</v>
      </c>
      <c r="G114" s="578"/>
      <c r="H114" s="578"/>
      <c r="I114" s="578"/>
      <c r="J114" s="578"/>
      <c r="K114" s="578"/>
      <c r="L114" s="579"/>
      <c r="M114" s="220"/>
      <c r="N114" s="3"/>
      <c r="O114" s="655">
        <f>'WK2 - Notional General Income'!$E35</f>
        <v>0</v>
      </c>
      <c r="P114" s="657">
        <f>'WK3 - Notional GI Yr1 YIELD'!$E35</f>
        <v>0</v>
      </c>
      <c r="Q114" s="3"/>
      <c r="R114" s="212"/>
      <c r="S114" s="699" t="str">
        <f t="shared" si="73"/>
        <v>.</v>
      </c>
      <c r="T114" s="700" t="str">
        <f t="shared" si="54"/>
        <v>.</v>
      </c>
      <c r="U114" s="700" t="str">
        <f t="shared" si="55"/>
        <v>.</v>
      </c>
      <c r="V114" s="700" t="str">
        <f t="shared" si="56"/>
        <v>.</v>
      </c>
      <c r="W114" s="700" t="str">
        <f t="shared" si="57"/>
        <v>.</v>
      </c>
      <c r="X114" s="700" t="str">
        <f t="shared" si="58"/>
        <v>.</v>
      </c>
      <c r="Y114" s="701" t="str">
        <f t="shared" si="59"/>
        <v>.</v>
      </c>
      <c r="Z114" s="3"/>
      <c r="AA114" s="985" t="str">
        <f t="shared" si="76"/>
        <v>.</v>
      </c>
      <c r="AB114" s="702" t="str">
        <f t="shared" si="61"/>
        <v>.</v>
      </c>
      <c r="AC114" s="702" t="str">
        <f t="shared" si="62"/>
        <v>.</v>
      </c>
      <c r="AD114" s="702" t="str">
        <f t="shared" si="63"/>
        <v>.</v>
      </c>
      <c r="AE114" s="702" t="str">
        <f t="shared" si="64"/>
        <v>.</v>
      </c>
      <c r="AF114" s="702" t="str">
        <f t="shared" si="65"/>
        <v>.</v>
      </c>
      <c r="AG114" s="986" t="str">
        <f t="shared" si="66"/>
        <v>.</v>
      </c>
      <c r="AH114" s="3"/>
      <c r="AI114" s="699" t="str">
        <f>IF(S114=".",".",SUM($S114:S114))</f>
        <v>.</v>
      </c>
      <c r="AJ114" s="700" t="str">
        <f>IF(T114=".",".",SUM($S114:T114))</f>
        <v>.</v>
      </c>
      <c r="AK114" s="700" t="str">
        <f>IF(U114=".",".",SUM($S114:U114))</f>
        <v>.</v>
      </c>
      <c r="AL114" s="700" t="str">
        <f>IF(V114=".",".",SUM($S114:V114))</f>
        <v>.</v>
      </c>
      <c r="AM114" s="700" t="str">
        <f>IF(W114=".",".",SUM($S114:W114))</f>
        <v>.</v>
      </c>
      <c r="AN114" s="700" t="str">
        <f>IF(X114=".",".",SUM($S114:X114))</f>
        <v>.</v>
      </c>
      <c r="AO114" s="701" t="str">
        <f>IF(Y114=".",".",SUM($S114:Y114))</f>
        <v>.</v>
      </c>
      <c r="AP114" s="3"/>
      <c r="AQ114" s="985" t="str">
        <f t="shared" si="74"/>
        <v>.</v>
      </c>
      <c r="AR114" s="702" t="str">
        <f t="shared" si="67"/>
        <v>.</v>
      </c>
      <c r="AS114" s="702" t="str">
        <f t="shared" si="68"/>
        <v>.</v>
      </c>
      <c r="AT114" s="702" t="str">
        <f t="shared" si="69"/>
        <v>.</v>
      </c>
      <c r="AU114" s="702" t="str">
        <f t="shared" si="70"/>
        <v>.</v>
      </c>
      <c r="AV114" s="702" t="str">
        <f t="shared" si="71"/>
        <v>.</v>
      </c>
      <c r="AW114" s="986" t="str">
        <f t="shared" si="72"/>
        <v>.</v>
      </c>
      <c r="AX114" s="214"/>
      <c r="AY114" s="3"/>
      <c r="AZ114" s="3"/>
      <c r="BA114" s="3"/>
      <c r="BB114" s="3"/>
    </row>
    <row r="115" spans="1:54" ht="12" x14ac:dyDescent="0.25">
      <c r="A115" s="3"/>
      <c r="B115" s="212"/>
      <c r="C115" s="278" t="s">
        <v>716</v>
      </c>
      <c r="D115" s="279" t="str">
        <f>IF('WK2 - Notional General Income'!D36="","",'WK2 - Notional General Income'!D36)</f>
        <v/>
      </c>
      <c r="E115" s="557" t="str">
        <f>IF('WK2 - Notional General Income'!M36=".",".",'WK2 - Notional General Income'!M36/'WK2 - Notional General Income'!E36)</f>
        <v>.</v>
      </c>
      <c r="F115" s="557" t="str">
        <f>IF('WK3 - Notional GI Yr1 YIELD'!M36=".",".",'WK3 - Notional GI Yr1 YIELD'!M36/'WK3 - Notional GI Yr1 YIELD'!E36)</f>
        <v>.</v>
      </c>
      <c r="G115" s="578"/>
      <c r="H115" s="578"/>
      <c r="I115" s="578"/>
      <c r="J115" s="578"/>
      <c r="K115" s="578"/>
      <c r="L115" s="579"/>
      <c r="M115" s="220"/>
      <c r="N115" s="3"/>
      <c r="O115" s="655">
        <f>'WK2 - Notional General Income'!$E36</f>
        <v>0</v>
      </c>
      <c r="P115" s="657">
        <f>'WK3 - Notional GI Yr1 YIELD'!$E36</f>
        <v>0</v>
      </c>
      <c r="Q115" s="3"/>
      <c r="R115" s="212"/>
      <c r="S115" s="699" t="str">
        <f t="shared" si="73"/>
        <v>.</v>
      </c>
      <c r="T115" s="700" t="str">
        <f t="shared" si="54"/>
        <v>.</v>
      </c>
      <c r="U115" s="700" t="str">
        <f t="shared" si="55"/>
        <v>.</v>
      </c>
      <c r="V115" s="700" t="str">
        <f t="shared" si="56"/>
        <v>.</v>
      </c>
      <c r="W115" s="700" t="str">
        <f t="shared" si="57"/>
        <v>.</v>
      </c>
      <c r="X115" s="700" t="str">
        <f t="shared" si="58"/>
        <v>.</v>
      </c>
      <c r="Y115" s="701" t="str">
        <f t="shared" si="59"/>
        <v>.</v>
      </c>
      <c r="Z115" s="3"/>
      <c r="AA115" s="985" t="str">
        <f t="shared" si="76"/>
        <v>.</v>
      </c>
      <c r="AB115" s="702" t="str">
        <f t="shared" si="61"/>
        <v>.</v>
      </c>
      <c r="AC115" s="702" t="str">
        <f t="shared" si="62"/>
        <v>.</v>
      </c>
      <c r="AD115" s="702" t="str">
        <f t="shared" si="63"/>
        <v>.</v>
      </c>
      <c r="AE115" s="702" t="str">
        <f t="shared" si="64"/>
        <v>.</v>
      </c>
      <c r="AF115" s="702" t="str">
        <f t="shared" si="65"/>
        <v>.</v>
      </c>
      <c r="AG115" s="986" t="str">
        <f t="shared" si="66"/>
        <v>.</v>
      </c>
      <c r="AH115" s="3"/>
      <c r="AI115" s="699" t="str">
        <f>IF(S115=".",".",SUM($S115:S115))</f>
        <v>.</v>
      </c>
      <c r="AJ115" s="700" t="str">
        <f>IF(T115=".",".",SUM($S115:T115))</f>
        <v>.</v>
      </c>
      <c r="AK115" s="700" t="str">
        <f>IF(U115=".",".",SUM($S115:U115))</f>
        <v>.</v>
      </c>
      <c r="AL115" s="700" t="str">
        <f>IF(V115=".",".",SUM($S115:V115))</f>
        <v>.</v>
      </c>
      <c r="AM115" s="700" t="str">
        <f>IF(W115=".",".",SUM($S115:W115))</f>
        <v>.</v>
      </c>
      <c r="AN115" s="700" t="str">
        <f>IF(X115=".",".",SUM($S115:X115))</f>
        <v>.</v>
      </c>
      <c r="AO115" s="701" t="str">
        <f>IF(Y115=".",".",SUM($S115:Y115))</f>
        <v>.</v>
      </c>
      <c r="AP115" s="3"/>
      <c r="AQ115" s="985" t="str">
        <f t="shared" si="74"/>
        <v>.</v>
      </c>
      <c r="AR115" s="702" t="str">
        <f t="shared" si="67"/>
        <v>.</v>
      </c>
      <c r="AS115" s="702" t="str">
        <f t="shared" si="68"/>
        <v>.</v>
      </c>
      <c r="AT115" s="702" t="str">
        <f t="shared" si="69"/>
        <v>.</v>
      </c>
      <c r="AU115" s="702" t="str">
        <f t="shared" si="70"/>
        <v>.</v>
      </c>
      <c r="AV115" s="702" t="str">
        <f t="shared" si="71"/>
        <v>.</v>
      </c>
      <c r="AW115" s="986" t="str">
        <f t="shared" si="72"/>
        <v>.</v>
      </c>
      <c r="AX115" s="214"/>
      <c r="AY115" s="3"/>
      <c r="AZ115" s="3"/>
      <c r="BA115" s="3"/>
      <c r="BB115" s="3"/>
    </row>
    <row r="116" spans="1:54" ht="12" x14ac:dyDescent="0.25">
      <c r="A116" s="3"/>
      <c r="B116" s="212"/>
      <c r="C116" s="278" t="s">
        <v>716</v>
      </c>
      <c r="D116" s="279" t="str">
        <f>IF('WK2 - Notional General Income'!D37="","",'WK2 - Notional General Income'!D37)</f>
        <v/>
      </c>
      <c r="E116" s="557" t="str">
        <f>IF('WK2 - Notional General Income'!M37=".",".",'WK2 - Notional General Income'!M37/'WK2 - Notional General Income'!E37)</f>
        <v>.</v>
      </c>
      <c r="F116" s="557" t="str">
        <f>IF('WK3 - Notional GI Yr1 YIELD'!M37=".",".",'WK3 - Notional GI Yr1 YIELD'!M37/'WK3 - Notional GI Yr1 YIELD'!E37)</f>
        <v>.</v>
      </c>
      <c r="G116" s="578"/>
      <c r="H116" s="578"/>
      <c r="I116" s="578"/>
      <c r="J116" s="578"/>
      <c r="K116" s="578"/>
      <c r="L116" s="579"/>
      <c r="M116" s="220"/>
      <c r="N116" s="3"/>
      <c r="O116" s="655">
        <f>'WK2 - Notional General Income'!$E37</f>
        <v>0</v>
      </c>
      <c r="P116" s="657">
        <f>'WK3 - Notional GI Yr1 YIELD'!$E37</f>
        <v>0</v>
      </c>
      <c r="Q116" s="3"/>
      <c r="R116" s="212"/>
      <c r="S116" s="699" t="str">
        <f t="shared" si="73"/>
        <v>.</v>
      </c>
      <c r="T116" s="700" t="str">
        <f t="shared" si="54"/>
        <v>.</v>
      </c>
      <c r="U116" s="700" t="str">
        <f t="shared" si="55"/>
        <v>.</v>
      </c>
      <c r="V116" s="700" t="str">
        <f t="shared" si="56"/>
        <v>.</v>
      </c>
      <c r="W116" s="700" t="str">
        <f t="shared" si="57"/>
        <v>.</v>
      </c>
      <c r="X116" s="700" t="str">
        <f t="shared" si="58"/>
        <v>.</v>
      </c>
      <c r="Y116" s="701" t="str">
        <f t="shared" si="59"/>
        <v>.</v>
      </c>
      <c r="Z116" s="3"/>
      <c r="AA116" s="985" t="str">
        <f t="shared" si="76"/>
        <v>.</v>
      </c>
      <c r="AB116" s="702" t="str">
        <f t="shared" si="61"/>
        <v>.</v>
      </c>
      <c r="AC116" s="702" t="str">
        <f t="shared" si="62"/>
        <v>.</v>
      </c>
      <c r="AD116" s="702" t="str">
        <f t="shared" si="63"/>
        <v>.</v>
      </c>
      <c r="AE116" s="702" t="str">
        <f t="shared" si="64"/>
        <v>.</v>
      </c>
      <c r="AF116" s="702" t="str">
        <f t="shared" si="65"/>
        <v>.</v>
      </c>
      <c r="AG116" s="986" t="str">
        <f t="shared" si="66"/>
        <v>.</v>
      </c>
      <c r="AH116" s="3"/>
      <c r="AI116" s="699" t="str">
        <f>IF(S116=".",".",SUM($S116:S116))</f>
        <v>.</v>
      </c>
      <c r="AJ116" s="700" t="str">
        <f>IF(T116=".",".",SUM($S116:T116))</f>
        <v>.</v>
      </c>
      <c r="AK116" s="700" t="str">
        <f>IF(U116=".",".",SUM($S116:U116))</f>
        <v>.</v>
      </c>
      <c r="AL116" s="700" t="str">
        <f>IF(V116=".",".",SUM($S116:V116))</f>
        <v>.</v>
      </c>
      <c r="AM116" s="700" t="str">
        <f>IF(W116=".",".",SUM($S116:W116))</f>
        <v>.</v>
      </c>
      <c r="AN116" s="700" t="str">
        <f>IF(X116=".",".",SUM($S116:X116))</f>
        <v>.</v>
      </c>
      <c r="AO116" s="701" t="str">
        <f>IF(Y116=".",".",SUM($S116:Y116))</f>
        <v>.</v>
      </c>
      <c r="AP116" s="3"/>
      <c r="AQ116" s="985" t="str">
        <f t="shared" si="74"/>
        <v>.</v>
      </c>
      <c r="AR116" s="702" t="str">
        <f t="shared" si="67"/>
        <v>.</v>
      </c>
      <c r="AS116" s="702" t="str">
        <f t="shared" si="68"/>
        <v>.</v>
      </c>
      <c r="AT116" s="702" t="str">
        <f t="shared" si="69"/>
        <v>.</v>
      </c>
      <c r="AU116" s="702" t="str">
        <f t="shared" si="70"/>
        <v>.</v>
      </c>
      <c r="AV116" s="702" t="str">
        <f t="shared" si="71"/>
        <v>.</v>
      </c>
      <c r="AW116" s="986" t="str">
        <f t="shared" si="72"/>
        <v>.</v>
      </c>
      <c r="AX116" s="214"/>
      <c r="AY116" s="3"/>
      <c r="AZ116" s="3"/>
      <c r="BA116" s="3"/>
      <c r="BB116" s="3"/>
    </row>
    <row r="117" spans="1:54" ht="12.6" thickBot="1" x14ac:dyDescent="0.3">
      <c r="A117" s="3"/>
      <c r="B117" s="212"/>
      <c r="C117" s="278" t="s">
        <v>716</v>
      </c>
      <c r="D117" s="279" t="str">
        <f>IF('WK2 - Notional General Income'!D38="","",'WK2 - Notional General Income'!D38)</f>
        <v/>
      </c>
      <c r="E117" s="557" t="str">
        <f>IF('WK2 - Notional General Income'!M38=".",".",'WK2 - Notional General Income'!M38/'WK2 - Notional General Income'!E38)</f>
        <v>.</v>
      </c>
      <c r="F117" s="557" t="str">
        <f>IF('WK3 - Notional GI Yr1 YIELD'!M38=".",".",'WK3 - Notional GI Yr1 YIELD'!M38/'WK3 - Notional GI Yr1 YIELD'!E38)</f>
        <v>.</v>
      </c>
      <c r="G117" s="578"/>
      <c r="H117" s="578"/>
      <c r="I117" s="578"/>
      <c r="J117" s="578"/>
      <c r="K117" s="578"/>
      <c r="L117" s="579"/>
      <c r="M117" s="220"/>
      <c r="N117" s="3"/>
      <c r="O117" s="711">
        <f>'WK2 - Notional General Income'!$E38</f>
        <v>0</v>
      </c>
      <c r="P117" s="712">
        <f>'WK3 - Notional GI Yr1 YIELD'!$E38</f>
        <v>0</v>
      </c>
      <c r="Q117" s="3"/>
      <c r="R117" s="212"/>
      <c r="S117" s="699" t="str">
        <f t="shared" si="73"/>
        <v>.</v>
      </c>
      <c r="T117" s="700" t="str">
        <f t="shared" si="54"/>
        <v>.</v>
      </c>
      <c r="U117" s="700" t="str">
        <f t="shared" si="55"/>
        <v>.</v>
      </c>
      <c r="V117" s="700" t="str">
        <f t="shared" si="56"/>
        <v>.</v>
      </c>
      <c r="W117" s="700" t="str">
        <f t="shared" si="57"/>
        <v>.</v>
      </c>
      <c r="X117" s="700" t="str">
        <f t="shared" si="58"/>
        <v>.</v>
      </c>
      <c r="Y117" s="701" t="str">
        <f t="shared" si="59"/>
        <v>.</v>
      </c>
      <c r="Z117" s="3"/>
      <c r="AA117" s="985" t="str">
        <f t="shared" si="76"/>
        <v>.</v>
      </c>
      <c r="AB117" s="702" t="str">
        <f t="shared" si="61"/>
        <v>.</v>
      </c>
      <c r="AC117" s="702" t="str">
        <f t="shared" si="62"/>
        <v>.</v>
      </c>
      <c r="AD117" s="702" t="str">
        <f t="shared" si="63"/>
        <v>.</v>
      </c>
      <c r="AE117" s="702" t="str">
        <f t="shared" si="64"/>
        <v>.</v>
      </c>
      <c r="AF117" s="702" t="str">
        <f t="shared" si="65"/>
        <v>.</v>
      </c>
      <c r="AG117" s="986" t="str">
        <f t="shared" si="66"/>
        <v>.</v>
      </c>
      <c r="AH117" s="3"/>
      <c r="AI117" s="699" t="str">
        <f>IF(S117=".",".",SUM($S117:S117))</f>
        <v>.</v>
      </c>
      <c r="AJ117" s="700" t="str">
        <f>IF(T117=".",".",SUM($S117:T117))</f>
        <v>.</v>
      </c>
      <c r="AK117" s="700" t="str">
        <f>IF(U117=".",".",SUM($S117:U117))</f>
        <v>.</v>
      </c>
      <c r="AL117" s="700" t="str">
        <f>IF(V117=".",".",SUM($S117:V117))</f>
        <v>.</v>
      </c>
      <c r="AM117" s="700" t="str">
        <f>IF(W117=".",".",SUM($S117:W117))</f>
        <v>.</v>
      </c>
      <c r="AN117" s="700" t="str">
        <f>IF(X117=".",".",SUM($S117:X117))</f>
        <v>.</v>
      </c>
      <c r="AO117" s="701" t="str">
        <f>IF(Y117=".",".",SUM($S117:Y117))</f>
        <v>.</v>
      </c>
      <c r="AP117" s="3"/>
      <c r="AQ117" s="985" t="str">
        <f t="shared" si="74"/>
        <v>.</v>
      </c>
      <c r="AR117" s="702" t="str">
        <f t="shared" si="67"/>
        <v>.</v>
      </c>
      <c r="AS117" s="702" t="str">
        <f t="shared" si="68"/>
        <v>.</v>
      </c>
      <c r="AT117" s="702" t="str">
        <f t="shared" si="69"/>
        <v>.</v>
      </c>
      <c r="AU117" s="702" t="str">
        <f t="shared" si="70"/>
        <v>.</v>
      </c>
      <c r="AV117" s="702" t="str">
        <f t="shared" si="71"/>
        <v>.</v>
      </c>
      <c r="AW117" s="986" t="str">
        <f t="shared" si="72"/>
        <v>.</v>
      </c>
      <c r="AX117" s="214"/>
      <c r="AY117" s="3"/>
      <c r="AZ117" s="3"/>
      <c r="BA117" s="3"/>
      <c r="BB117" s="3"/>
    </row>
    <row r="118" spans="1:54" ht="12.6" thickTop="1" x14ac:dyDescent="0.25">
      <c r="A118" s="3"/>
      <c r="B118" s="212"/>
      <c r="C118" s="278" t="s">
        <v>819</v>
      </c>
      <c r="D118" s="279" t="str">
        <f>IF('WK2 - Notional General Income'!D94="","",'WK2 - Notional General Income'!D94)</f>
        <v>Cachments - Residential</v>
      </c>
      <c r="E118" s="557">
        <f>IF('WK2 - Notional General Income'!M94=".",".",'WK2 - Notional General Income'!M94/'WK2 - Notional General Income'!E94)</f>
        <v>60.553196271248837</v>
      </c>
      <c r="F118" s="557">
        <f>IF('WK3 - Notional GI Yr1 YIELD'!M94=".",".",'WK3 - Notional GI Yr1 YIELD'!M94/'WK3 - Notional GI Yr1 YIELD'!E94)</f>
        <v>65.650995802686865</v>
      </c>
      <c r="G118" s="578">
        <f>+F118*1.075</f>
        <v>70.574820487888374</v>
      </c>
      <c r="H118" s="578">
        <f>+G118*1.065</f>
        <v>75.162183819601111</v>
      </c>
      <c r="I118" s="578">
        <f>+H118*1.055</f>
        <v>79.296103929679163</v>
      </c>
      <c r="J118" s="578">
        <f>+I118*1.025</f>
        <v>81.278506527921138</v>
      </c>
      <c r="K118" s="578">
        <f>+J118*1.025</f>
        <v>83.310469191119154</v>
      </c>
      <c r="L118" s="578">
        <f>+K118*1.025</f>
        <v>85.393230920897125</v>
      </c>
      <c r="M118" s="220"/>
      <c r="N118" s="3"/>
      <c r="O118" s="655">
        <f>'WK2 - Notional General Income'!$E94</f>
        <v>52016</v>
      </c>
      <c r="P118" s="657">
        <f>'WK3 - Notional GI Yr1 YIELD'!$E94</f>
        <v>52016</v>
      </c>
      <c r="Q118" s="3"/>
      <c r="R118" s="212"/>
      <c r="S118" s="699">
        <f t="shared" si="73"/>
        <v>5.097799531438028</v>
      </c>
      <c r="T118" s="700">
        <f t="shared" si="54"/>
        <v>4.9238246852015095</v>
      </c>
      <c r="U118" s="700">
        <f t="shared" si="55"/>
        <v>4.5873633317127371</v>
      </c>
      <c r="V118" s="700">
        <f t="shared" si="56"/>
        <v>4.1339201100780514</v>
      </c>
      <c r="W118" s="700">
        <f t="shared" si="57"/>
        <v>1.9824025982419755</v>
      </c>
      <c r="X118" s="700">
        <f t="shared" si="58"/>
        <v>2.0319626631980157</v>
      </c>
      <c r="Y118" s="701">
        <f t="shared" si="59"/>
        <v>2.082761729777971</v>
      </c>
      <c r="Z118" s="3"/>
      <c r="AA118" s="985">
        <f t="shared" si="76"/>
        <v>8.4187125459114887E-2</v>
      </c>
      <c r="AB118" s="702">
        <f t="shared" si="61"/>
        <v>7.4999999999999956E-2</v>
      </c>
      <c r="AC118" s="702">
        <f t="shared" si="62"/>
        <v>6.4999999999999947E-2</v>
      </c>
      <c r="AD118" s="702">
        <f t="shared" si="63"/>
        <v>5.4999999999999938E-2</v>
      </c>
      <c r="AE118" s="702">
        <f t="shared" si="64"/>
        <v>2.4999999999999911E-2</v>
      </c>
      <c r="AF118" s="702">
        <f t="shared" si="65"/>
        <v>2.4999999999999911E-2</v>
      </c>
      <c r="AG118" s="986">
        <f t="shared" si="66"/>
        <v>2.4999999999999911E-2</v>
      </c>
      <c r="AH118" s="3"/>
      <c r="AI118" s="699">
        <f>IF(S118=".",".",SUM($S118:S118))</f>
        <v>5.097799531438028</v>
      </c>
      <c r="AJ118" s="700">
        <f>IF(T118=".",".",SUM($S118:T118))</f>
        <v>10.021624216639538</v>
      </c>
      <c r="AK118" s="700">
        <f>IF(U118=".",".",SUM($S118:U118))</f>
        <v>14.608987548352275</v>
      </c>
      <c r="AL118" s="700">
        <f>IF(V118=".",".",SUM($S118:V118))</f>
        <v>18.742907658430326</v>
      </c>
      <c r="AM118" s="700">
        <f>IF(W118=".",".",SUM($S118:W118))</f>
        <v>20.725310256672302</v>
      </c>
      <c r="AN118" s="700">
        <f>IF(X118=".",".",SUM($S118:X118))</f>
        <v>22.757272919870317</v>
      </c>
      <c r="AO118" s="701">
        <f>IF(Y118=".",".",SUM($S118:Y118))</f>
        <v>24.840034649648288</v>
      </c>
      <c r="AP118" s="3"/>
      <c r="AQ118" s="985">
        <f t="shared" si="74"/>
        <v>8.4187125459114887E-2</v>
      </c>
      <c r="AR118" s="702">
        <f t="shared" si="67"/>
        <v>0.1655011598685483</v>
      </c>
      <c r="AS118" s="702">
        <f t="shared" si="68"/>
        <v>0.24125873526000374</v>
      </c>
      <c r="AT118" s="702">
        <f t="shared" si="69"/>
        <v>0.30952796569930396</v>
      </c>
      <c r="AU118" s="702">
        <f t="shared" si="70"/>
        <v>0.3422661648417864</v>
      </c>
      <c r="AV118" s="702">
        <f t="shared" si="71"/>
        <v>0.37582281896283098</v>
      </c>
      <c r="AW118" s="986">
        <f t="shared" si="72"/>
        <v>0.41021838943690159</v>
      </c>
      <c r="AX118" s="214"/>
      <c r="AY118" s="3"/>
      <c r="AZ118" s="3"/>
      <c r="BA118" s="3"/>
      <c r="BB118" s="3"/>
    </row>
    <row r="119" spans="1:54" ht="12" x14ac:dyDescent="0.25">
      <c r="A119" s="3"/>
      <c r="B119" s="212"/>
      <c r="C119" s="278" t="s">
        <v>819</v>
      </c>
      <c r="D119" s="279" t="str">
        <f>IF('WK2 - Notional General Income'!D95="","",'WK2 - Notional General Income'!D95)</f>
        <v/>
      </c>
      <c r="E119" s="557" t="str">
        <f>IF('WK2 - Notional General Income'!M95=".",".",'WK2 - Notional General Income'!M95/'WK2 - Notional General Income'!E95)</f>
        <v>.</v>
      </c>
      <c r="F119" s="557" t="str">
        <f>IF('WK3 - Notional GI Yr1 YIELD'!M95=".",".",'WK3 - Notional GI Yr1 YIELD'!M95/'WK3 - Notional GI Yr1 YIELD'!E95)</f>
        <v>.</v>
      </c>
      <c r="G119" s="578"/>
      <c r="H119" s="578"/>
      <c r="I119" s="578"/>
      <c r="J119" s="578"/>
      <c r="K119" s="578"/>
      <c r="L119" s="578"/>
      <c r="M119" s="220"/>
      <c r="N119" s="3"/>
      <c r="O119" s="655">
        <f>'WK2 - Notional General Income'!$E95</f>
        <v>0</v>
      </c>
      <c r="P119" s="657">
        <f>'WK3 - Notional GI Yr1 YIELD'!$E95</f>
        <v>0</v>
      </c>
      <c r="Q119" s="3"/>
      <c r="R119" s="212"/>
      <c r="S119" s="699" t="str">
        <f t="shared" si="73"/>
        <v>.</v>
      </c>
      <c r="T119" s="700" t="str">
        <f t="shared" si="54"/>
        <v>.</v>
      </c>
      <c r="U119" s="700" t="str">
        <f t="shared" si="55"/>
        <v>.</v>
      </c>
      <c r="V119" s="700" t="str">
        <f t="shared" si="56"/>
        <v>.</v>
      </c>
      <c r="W119" s="700" t="str">
        <f t="shared" si="57"/>
        <v>.</v>
      </c>
      <c r="X119" s="700" t="str">
        <f t="shared" si="58"/>
        <v>.</v>
      </c>
      <c r="Y119" s="701" t="str">
        <f t="shared" si="59"/>
        <v>.</v>
      </c>
      <c r="Z119" s="3"/>
      <c r="AA119" s="985" t="str">
        <f t="shared" si="76"/>
        <v>.</v>
      </c>
      <c r="AB119" s="702" t="str">
        <f t="shared" si="61"/>
        <v>.</v>
      </c>
      <c r="AC119" s="702" t="str">
        <f t="shared" si="62"/>
        <v>.</v>
      </c>
      <c r="AD119" s="702" t="str">
        <f t="shared" si="63"/>
        <v>.</v>
      </c>
      <c r="AE119" s="702" t="str">
        <f t="shared" si="64"/>
        <v>.</v>
      </c>
      <c r="AF119" s="702" t="str">
        <f t="shared" si="65"/>
        <v>.</v>
      </c>
      <c r="AG119" s="986" t="str">
        <f t="shared" si="66"/>
        <v>.</v>
      </c>
      <c r="AH119" s="3"/>
      <c r="AI119" s="699" t="str">
        <f>IF(S119=".",".",SUM($S119:S119))</f>
        <v>.</v>
      </c>
      <c r="AJ119" s="700" t="str">
        <f>IF(T119=".",".",SUM($S119:T119))</f>
        <v>.</v>
      </c>
      <c r="AK119" s="700" t="str">
        <f>IF(U119=".",".",SUM($S119:U119))</f>
        <v>.</v>
      </c>
      <c r="AL119" s="700" t="str">
        <f>IF(V119=".",".",SUM($S119:V119))</f>
        <v>.</v>
      </c>
      <c r="AM119" s="700" t="str">
        <f>IF(W119=".",".",SUM($S119:W119))</f>
        <v>.</v>
      </c>
      <c r="AN119" s="700" t="str">
        <f>IF(X119=".",".",SUM($S119:X119))</f>
        <v>.</v>
      </c>
      <c r="AO119" s="701" t="str">
        <f>IF(Y119=".",".",SUM($S119:Y119))</f>
        <v>.</v>
      </c>
      <c r="AP119" s="3"/>
      <c r="AQ119" s="985" t="str">
        <f t="shared" si="74"/>
        <v>.</v>
      </c>
      <c r="AR119" s="702" t="str">
        <f t="shared" si="67"/>
        <v>.</v>
      </c>
      <c r="AS119" s="702" t="str">
        <f t="shared" si="68"/>
        <v>.</v>
      </c>
      <c r="AT119" s="702" t="str">
        <f t="shared" si="69"/>
        <v>.</v>
      </c>
      <c r="AU119" s="702" t="str">
        <f t="shared" si="70"/>
        <v>.</v>
      </c>
      <c r="AV119" s="702" t="str">
        <f t="shared" si="71"/>
        <v>.</v>
      </c>
      <c r="AW119" s="986" t="str">
        <f t="shared" si="72"/>
        <v>.</v>
      </c>
      <c r="AX119" s="214"/>
      <c r="AY119" s="3"/>
      <c r="AZ119" s="3"/>
      <c r="BA119" s="3"/>
      <c r="BB119" s="3"/>
    </row>
    <row r="120" spans="1:54" ht="12" x14ac:dyDescent="0.25">
      <c r="A120" s="3"/>
      <c r="B120" s="212"/>
      <c r="C120" s="278" t="s">
        <v>819</v>
      </c>
      <c r="D120" s="279" t="str">
        <f>IF('WK2 - Notional General Income'!D96="","",'WK2 - Notional General Income'!D96)</f>
        <v/>
      </c>
      <c r="E120" s="557" t="str">
        <f>IF('WK2 - Notional General Income'!M96=".",".",'WK2 - Notional General Income'!M96/'WK2 - Notional General Income'!E96)</f>
        <v>.</v>
      </c>
      <c r="F120" s="557" t="str">
        <f>IF('WK3 - Notional GI Yr1 YIELD'!M96=".",".",'WK3 - Notional GI Yr1 YIELD'!M96/'WK3 - Notional GI Yr1 YIELD'!E96)</f>
        <v>.</v>
      </c>
      <c r="G120" s="578"/>
      <c r="H120" s="578"/>
      <c r="I120" s="578"/>
      <c r="J120" s="578"/>
      <c r="K120" s="578"/>
      <c r="L120" s="579"/>
      <c r="M120" s="220"/>
      <c r="N120" s="3"/>
      <c r="O120" s="655">
        <f>'WK2 - Notional General Income'!$E96</f>
        <v>0</v>
      </c>
      <c r="P120" s="657">
        <f>'WK3 - Notional GI Yr1 YIELD'!$E96</f>
        <v>0</v>
      </c>
      <c r="Q120" s="3"/>
      <c r="R120" s="212"/>
      <c r="S120" s="699" t="str">
        <f t="shared" si="73"/>
        <v>.</v>
      </c>
      <c r="T120" s="700" t="str">
        <f t="shared" si="54"/>
        <v>.</v>
      </c>
      <c r="U120" s="700" t="str">
        <f t="shared" si="55"/>
        <v>.</v>
      </c>
      <c r="V120" s="700" t="str">
        <f t="shared" si="56"/>
        <v>.</v>
      </c>
      <c r="W120" s="700" t="str">
        <f t="shared" si="57"/>
        <v>.</v>
      </c>
      <c r="X120" s="700" t="str">
        <f t="shared" si="58"/>
        <v>.</v>
      </c>
      <c r="Y120" s="701" t="str">
        <f t="shared" si="59"/>
        <v>.</v>
      </c>
      <c r="Z120" s="3"/>
      <c r="AA120" s="985" t="str">
        <f t="shared" si="76"/>
        <v>.</v>
      </c>
      <c r="AB120" s="702" t="str">
        <f t="shared" si="61"/>
        <v>.</v>
      </c>
      <c r="AC120" s="702" t="str">
        <f t="shared" si="62"/>
        <v>.</v>
      </c>
      <c r="AD120" s="702" t="str">
        <f t="shared" si="63"/>
        <v>.</v>
      </c>
      <c r="AE120" s="702" t="str">
        <f t="shared" si="64"/>
        <v>.</v>
      </c>
      <c r="AF120" s="702" t="str">
        <f t="shared" si="65"/>
        <v>.</v>
      </c>
      <c r="AG120" s="986" t="str">
        <f t="shared" si="66"/>
        <v>.</v>
      </c>
      <c r="AH120" s="3"/>
      <c r="AI120" s="699" t="str">
        <f>IF(S120=".",".",SUM($S120:S120))</f>
        <v>.</v>
      </c>
      <c r="AJ120" s="700" t="str">
        <f>IF(T120=".",".",SUM($S120:T120))</f>
        <v>.</v>
      </c>
      <c r="AK120" s="700" t="str">
        <f>IF(U120=".",".",SUM($S120:U120))</f>
        <v>.</v>
      </c>
      <c r="AL120" s="700" t="str">
        <f>IF(V120=".",".",SUM($S120:V120))</f>
        <v>.</v>
      </c>
      <c r="AM120" s="700" t="str">
        <f>IF(W120=".",".",SUM($S120:W120))</f>
        <v>.</v>
      </c>
      <c r="AN120" s="700" t="str">
        <f>IF(X120=".",".",SUM($S120:X120))</f>
        <v>.</v>
      </c>
      <c r="AO120" s="701" t="str">
        <f>IF(Y120=".",".",SUM($S120:Y120))</f>
        <v>.</v>
      </c>
      <c r="AP120" s="3"/>
      <c r="AQ120" s="985" t="str">
        <f t="shared" si="74"/>
        <v>.</v>
      </c>
      <c r="AR120" s="702" t="str">
        <f t="shared" si="67"/>
        <v>.</v>
      </c>
      <c r="AS120" s="702" t="str">
        <f t="shared" si="68"/>
        <v>.</v>
      </c>
      <c r="AT120" s="702" t="str">
        <f t="shared" si="69"/>
        <v>.</v>
      </c>
      <c r="AU120" s="702" t="str">
        <f t="shared" si="70"/>
        <v>.</v>
      </c>
      <c r="AV120" s="702" t="str">
        <f t="shared" si="71"/>
        <v>.</v>
      </c>
      <c r="AW120" s="986" t="str">
        <f t="shared" si="72"/>
        <v>.</v>
      </c>
      <c r="AX120" s="214"/>
      <c r="AY120" s="3"/>
      <c r="AZ120" s="3"/>
      <c r="BA120" s="3"/>
      <c r="BB120" s="3"/>
    </row>
    <row r="121" spans="1:54" ht="12" x14ac:dyDescent="0.25">
      <c r="A121" s="3"/>
      <c r="B121" s="212"/>
      <c r="C121" s="278" t="s">
        <v>819</v>
      </c>
      <c r="D121" s="279" t="str">
        <f>IF('WK2 - Notional General Income'!D97="","",'WK2 - Notional General Income'!D97)</f>
        <v/>
      </c>
      <c r="E121" s="557" t="str">
        <f>IF('WK2 - Notional General Income'!M97=".",".",'WK2 - Notional General Income'!M97/'WK2 - Notional General Income'!E97)</f>
        <v>.</v>
      </c>
      <c r="F121" s="557" t="str">
        <f>IF('WK3 - Notional GI Yr1 YIELD'!M97=".",".",'WK3 - Notional GI Yr1 YIELD'!M97/'WK3 - Notional GI Yr1 YIELD'!E97)</f>
        <v>.</v>
      </c>
      <c r="G121" s="578"/>
      <c r="H121" s="578"/>
      <c r="I121" s="578"/>
      <c r="J121" s="578"/>
      <c r="K121" s="578"/>
      <c r="L121" s="579"/>
      <c r="M121" s="220"/>
      <c r="N121" s="3"/>
      <c r="O121" s="655">
        <f>'WK2 - Notional General Income'!$E97</f>
        <v>0</v>
      </c>
      <c r="P121" s="657">
        <f>'WK3 - Notional GI Yr1 YIELD'!$E97</f>
        <v>0</v>
      </c>
      <c r="Q121" s="3"/>
      <c r="R121" s="212"/>
      <c r="S121" s="699" t="str">
        <f t="shared" si="73"/>
        <v>.</v>
      </c>
      <c r="T121" s="700" t="str">
        <f t="shared" si="54"/>
        <v>.</v>
      </c>
      <c r="U121" s="700" t="str">
        <f t="shared" si="55"/>
        <v>.</v>
      </c>
      <c r="V121" s="700" t="str">
        <f t="shared" si="56"/>
        <v>.</v>
      </c>
      <c r="W121" s="700" t="str">
        <f t="shared" si="57"/>
        <v>.</v>
      </c>
      <c r="X121" s="700" t="str">
        <f t="shared" si="58"/>
        <v>.</v>
      </c>
      <c r="Y121" s="701" t="str">
        <f t="shared" si="59"/>
        <v>.</v>
      </c>
      <c r="Z121" s="3"/>
      <c r="AA121" s="985" t="str">
        <f t="shared" si="76"/>
        <v>.</v>
      </c>
      <c r="AB121" s="702" t="str">
        <f t="shared" si="61"/>
        <v>.</v>
      </c>
      <c r="AC121" s="702" t="str">
        <f t="shared" si="62"/>
        <v>.</v>
      </c>
      <c r="AD121" s="702" t="str">
        <f t="shared" si="63"/>
        <v>.</v>
      </c>
      <c r="AE121" s="702" t="str">
        <f t="shared" si="64"/>
        <v>.</v>
      </c>
      <c r="AF121" s="702" t="str">
        <f t="shared" si="65"/>
        <v>.</v>
      </c>
      <c r="AG121" s="986" t="str">
        <f t="shared" si="66"/>
        <v>.</v>
      </c>
      <c r="AH121" s="3"/>
      <c r="AI121" s="699" t="str">
        <f>IF(S121=".",".",SUM($S121:S121))</f>
        <v>.</v>
      </c>
      <c r="AJ121" s="700" t="str">
        <f>IF(T121=".",".",SUM($S121:T121))</f>
        <v>.</v>
      </c>
      <c r="AK121" s="700" t="str">
        <f>IF(U121=".",".",SUM($S121:U121))</f>
        <v>.</v>
      </c>
      <c r="AL121" s="700" t="str">
        <f>IF(V121=".",".",SUM($S121:V121))</f>
        <v>.</v>
      </c>
      <c r="AM121" s="700" t="str">
        <f>IF(W121=".",".",SUM($S121:W121))</f>
        <v>.</v>
      </c>
      <c r="AN121" s="700" t="str">
        <f>IF(X121=".",".",SUM($S121:X121))</f>
        <v>.</v>
      </c>
      <c r="AO121" s="701" t="str">
        <f>IF(Y121=".",".",SUM($S121:Y121))</f>
        <v>.</v>
      </c>
      <c r="AP121" s="3"/>
      <c r="AQ121" s="985" t="str">
        <f t="shared" si="74"/>
        <v>.</v>
      </c>
      <c r="AR121" s="702" t="str">
        <f t="shared" si="67"/>
        <v>.</v>
      </c>
      <c r="AS121" s="702" t="str">
        <f t="shared" si="68"/>
        <v>.</v>
      </c>
      <c r="AT121" s="702" t="str">
        <f t="shared" si="69"/>
        <v>.</v>
      </c>
      <c r="AU121" s="702" t="str">
        <f t="shared" si="70"/>
        <v>.</v>
      </c>
      <c r="AV121" s="702" t="str">
        <f t="shared" si="71"/>
        <v>.</v>
      </c>
      <c r="AW121" s="986" t="str">
        <f t="shared" si="72"/>
        <v>.</v>
      </c>
      <c r="AX121" s="214"/>
      <c r="AY121" s="3"/>
      <c r="AZ121" s="3"/>
      <c r="BA121" s="3"/>
      <c r="BB121" s="3"/>
    </row>
    <row r="122" spans="1:54" ht="12" x14ac:dyDescent="0.25">
      <c r="A122" s="3"/>
      <c r="B122" s="212"/>
      <c r="C122" s="278" t="s">
        <v>819</v>
      </c>
      <c r="D122" s="279" t="str">
        <f>IF('WK2 - Notional General Income'!D98="","",'WK2 - Notional General Income'!D98)</f>
        <v/>
      </c>
      <c r="E122" s="557" t="str">
        <f>IF('WK2 - Notional General Income'!M98=".",".",'WK2 - Notional General Income'!M98/'WK2 - Notional General Income'!E98)</f>
        <v>.</v>
      </c>
      <c r="F122" s="557" t="str">
        <f>IF('WK3 - Notional GI Yr1 YIELD'!M98=".",".",'WK3 - Notional GI Yr1 YIELD'!M98/'WK3 - Notional GI Yr1 YIELD'!E98)</f>
        <v>.</v>
      </c>
      <c r="G122" s="578"/>
      <c r="H122" s="578"/>
      <c r="I122" s="578"/>
      <c r="J122" s="578"/>
      <c r="K122" s="578"/>
      <c r="L122" s="579"/>
      <c r="M122" s="220"/>
      <c r="N122" s="3"/>
      <c r="O122" s="655">
        <f>'WK2 - Notional General Income'!$E98</f>
        <v>0</v>
      </c>
      <c r="P122" s="657">
        <f>'WK3 - Notional GI Yr1 YIELD'!$E98</f>
        <v>0</v>
      </c>
      <c r="Q122" s="3"/>
      <c r="R122" s="212"/>
      <c r="S122" s="699" t="str">
        <f t="shared" si="73"/>
        <v>.</v>
      </c>
      <c r="T122" s="700" t="str">
        <f t="shared" si="54"/>
        <v>.</v>
      </c>
      <c r="U122" s="700" t="str">
        <f t="shared" si="55"/>
        <v>.</v>
      </c>
      <c r="V122" s="700" t="str">
        <f t="shared" si="56"/>
        <v>.</v>
      </c>
      <c r="W122" s="700" t="str">
        <f t="shared" si="57"/>
        <v>.</v>
      </c>
      <c r="X122" s="700" t="str">
        <f t="shared" si="58"/>
        <v>.</v>
      </c>
      <c r="Y122" s="701" t="str">
        <f t="shared" si="59"/>
        <v>.</v>
      </c>
      <c r="Z122" s="3"/>
      <c r="AA122" s="985" t="str">
        <f t="shared" si="76"/>
        <v>.</v>
      </c>
      <c r="AB122" s="702" t="str">
        <f t="shared" si="61"/>
        <v>.</v>
      </c>
      <c r="AC122" s="702" t="str">
        <f t="shared" si="62"/>
        <v>.</v>
      </c>
      <c r="AD122" s="702" t="str">
        <f t="shared" si="63"/>
        <v>.</v>
      </c>
      <c r="AE122" s="702" t="str">
        <f t="shared" si="64"/>
        <v>.</v>
      </c>
      <c r="AF122" s="702" t="str">
        <f t="shared" si="65"/>
        <v>.</v>
      </c>
      <c r="AG122" s="986" t="str">
        <f t="shared" si="66"/>
        <v>.</v>
      </c>
      <c r="AH122" s="3"/>
      <c r="AI122" s="699" t="str">
        <f>IF(S122=".",".",SUM($S122:S122))</f>
        <v>.</v>
      </c>
      <c r="AJ122" s="700" t="str">
        <f>IF(T122=".",".",SUM($S122:T122))</f>
        <v>.</v>
      </c>
      <c r="AK122" s="700" t="str">
        <f>IF(U122=".",".",SUM($S122:U122))</f>
        <v>.</v>
      </c>
      <c r="AL122" s="700" t="str">
        <f>IF(V122=".",".",SUM($S122:V122))</f>
        <v>.</v>
      </c>
      <c r="AM122" s="700" t="str">
        <f>IF(W122=".",".",SUM($S122:W122))</f>
        <v>.</v>
      </c>
      <c r="AN122" s="700" t="str">
        <f>IF(X122=".",".",SUM($S122:X122))</f>
        <v>.</v>
      </c>
      <c r="AO122" s="701" t="str">
        <f>IF(Y122=".",".",SUM($S122:Y122))</f>
        <v>.</v>
      </c>
      <c r="AP122" s="3"/>
      <c r="AQ122" s="985" t="str">
        <f t="shared" si="74"/>
        <v>.</v>
      </c>
      <c r="AR122" s="702" t="str">
        <f t="shared" si="67"/>
        <v>.</v>
      </c>
      <c r="AS122" s="702" t="str">
        <f t="shared" si="68"/>
        <v>.</v>
      </c>
      <c r="AT122" s="702" t="str">
        <f t="shared" si="69"/>
        <v>.</v>
      </c>
      <c r="AU122" s="702" t="str">
        <f t="shared" si="70"/>
        <v>.</v>
      </c>
      <c r="AV122" s="702" t="str">
        <f t="shared" si="71"/>
        <v>.</v>
      </c>
      <c r="AW122" s="986" t="str">
        <f t="shared" si="72"/>
        <v>.</v>
      </c>
      <c r="AX122" s="214"/>
      <c r="AY122" s="3"/>
      <c r="AZ122" s="3"/>
      <c r="BA122" s="3"/>
      <c r="BB122" s="3"/>
    </row>
    <row r="123" spans="1:54" ht="12" x14ac:dyDescent="0.25">
      <c r="A123" s="3"/>
      <c r="B123" s="212"/>
      <c r="C123" s="278" t="s">
        <v>819</v>
      </c>
      <c r="D123" s="279" t="str">
        <f>IF('WK2 - Notional General Income'!D99="","",'WK2 - Notional General Income'!D99)</f>
        <v/>
      </c>
      <c r="E123" s="557" t="str">
        <f>IF('WK2 - Notional General Income'!M99=".",".",'WK2 - Notional General Income'!M99/'WK2 - Notional General Income'!E99)</f>
        <v>.</v>
      </c>
      <c r="F123" s="557" t="str">
        <f>IF('WK3 - Notional GI Yr1 YIELD'!M99=".",".",'WK3 - Notional GI Yr1 YIELD'!M99/'WK3 - Notional GI Yr1 YIELD'!E99)</f>
        <v>.</v>
      </c>
      <c r="G123" s="578"/>
      <c r="H123" s="578"/>
      <c r="I123" s="578"/>
      <c r="J123" s="578"/>
      <c r="K123" s="578"/>
      <c r="L123" s="579"/>
      <c r="M123" s="220"/>
      <c r="N123" s="3"/>
      <c r="O123" s="655">
        <f>'WK2 - Notional General Income'!$E99</f>
        <v>0</v>
      </c>
      <c r="P123" s="657">
        <f>'WK3 - Notional GI Yr1 YIELD'!$E99</f>
        <v>0</v>
      </c>
      <c r="Q123" s="3"/>
      <c r="R123" s="212"/>
      <c r="S123" s="699" t="str">
        <f t="shared" si="73"/>
        <v>.</v>
      </c>
      <c r="T123" s="700" t="str">
        <f t="shared" si="54"/>
        <v>.</v>
      </c>
      <c r="U123" s="700" t="str">
        <f t="shared" si="55"/>
        <v>.</v>
      </c>
      <c r="V123" s="700" t="str">
        <f t="shared" si="56"/>
        <v>.</v>
      </c>
      <c r="W123" s="700" t="str">
        <f t="shared" si="57"/>
        <v>.</v>
      </c>
      <c r="X123" s="700" t="str">
        <f t="shared" si="58"/>
        <v>.</v>
      </c>
      <c r="Y123" s="701" t="str">
        <f t="shared" si="59"/>
        <v>.</v>
      </c>
      <c r="Z123" s="3"/>
      <c r="AA123" s="985" t="str">
        <f t="shared" si="76"/>
        <v>.</v>
      </c>
      <c r="AB123" s="702" t="str">
        <f t="shared" si="61"/>
        <v>.</v>
      </c>
      <c r="AC123" s="702" t="str">
        <f t="shared" si="62"/>
        <v>.</v>
      </c>
      <c r="AD123" s="702" t="str">
        <f t="shared" si="63"/>
        <v>.</v>
      </c>
      <c r="AE123" s="702" t="str">
        <f t="shared" si="64"/>
        <v>.</v>
      </c>
      <c r="AF123" s="702" t="str">
        <f t="shared" si="65"/>
        <v>.</v>
      </c>
      <c r="AG123" s="986" t="str">
        <f t="shared" si="66"/>
        <v>.</v>
      </c>
      <c r="AH123" s="3"/>
      <c r="AI123" s="699" t="str">
        <f>IF(S123=".",".",SUM($S123:S123))</f>
        <v>.</v>
      </c>
      <c r="AJ123" s="700" t="str">
        <f>IF(T123=".",".",SUM($S123:T123))</f>
        <v>.</v>
      </c>
      <c r="AK123" s="700" t="str">
        <f>IF(U123=".",".",SUM($S123:U123))</f>
        <v>.</v>
      </c>
      <c r="AL123" s="700" t="str">
        <f>IF(V123=".",".",SUM($S123:V123))</f>
        <v>.</v>
      </c>
      <c r="AM123" s="700" t="str">
        <f>IF(W123=".",".",SUM($S123:W123))</f>
        <v>.</v>
      </c>
      <c r="AN123" s="700" t="str">
        <f>IF(X123=".",".",SUM($S123:X123))</f>
        <v>.</v>
      </c>
      <c r="AO123" s="701" t="str">
        <f>IF(Y123=".",".",SUM($S123:Y123))</f>
        <v>.</v>
      </c>
      <c r="AP123" s="3"/>
      <c r="AQ123" s="985" t="str">
        <f t="shared" si="74"/>
        <v>.</v>
      </c>
      <c r="AR123" s="702" t="str">
        <f t="shared" si="67"/>
        <v>.</v>
      </c>
      <c r="AS123" s="702" t="str">
        <f t="shared" si="68"/>
        <v>.</v>
      </c>
      <c r="AT123" s="702" t="str">
        <f t="shared" si="69"/>
        <v>.</v>
      </c>
      <c r="AU123" s="702" t="str">
        <f t="shared" si="70"/>
        <v>.</v>
      </c>
      <c r="AV123" s="702" t="str">
        <f t="shared" si="71"/>
        <v>.</v>
      </c>
      <c r="AW123" s="986" t="str">
        <f t="shared" si="72"/>
        <v>.</v>
      </c>
      <c r="AX123" s="214"/>
      <c r="AY123" s="3"/>
      <c r="AZ123" s="3"/>
      <c r="BA123" s="3"/>
      <c r="BB123" s="3"/>
    </row>
    <row r="124" spans="1:54" ht="12" x14ac:dyDescent="0.25">
      <c r="A124" s="3"/>
      <c r="B124" s="212"/>
      <c r="C124" s="278" t="s">
        <v>819</v>
      </c>
      <c r="D124" s="279" t="str">
        <f>IF('WK2 - Notional General Income'!D100="","",'WK2 - Notional General Income'!D100)</f>
        <v/>
      </c>
      <c r="E124" s="557" t="str">
        <f>IF('WK2 - Notional General Income'!M100=".",".",'WK2 - Notional General Income'!M100/'WK2 - Notional General Income'!E100)</f>
        <v>.</v>
      </c>
      <c r="F124" s="557" t="str">
        <f>IF('WK3 - Notional GI Yr1 YIELD'!M100=".",".",'WK3 - Notional GI Yr1 YIELD'!M100/'WK3 - Notional GI Yr1 YIELD'!E100)</f>
        <v>.</v>
      </c>
      <c r="G124" s="578"/>
      <c r="H124" s="578"/>
      <c r="I124" s="578"/>
      <c r="J124" s="578"/>
      <c r="K124" s="578"/>
      <c r="L124" s="579"/>
      <c r="M124" s="220"/>
      <c r="N124" s="3"/>
      <c r="O124" s="655">
        <f>'WK2 - Notional General Income'!$E100</f>
        <v>0</v>
      </c>
      <c r="P124" s="657">
        <f>'WK3 - Notional GI Yr1 YIELD'!$E100</f>
        <v>0</v>
      </c>
      <c r="Q124" s="3"/>
      <c r="R124" s="212"/>
      <c r="S124" s="699" t="str">
        <f t="shared" si="73"/>
        <v>.</v>
      </c>
      <c r="T124" s="700" t="str">
        <f t="shared" si="54"/>
        <v>.</v>
      </c>
      <c r="U124" s="700" t="str">
        <f t="shared" si="55"/>
        <v>.</v>
      </c>
      <c r="V124" s="700" t="str">
        <f t="shared" si="56"/>
        <v>.</v>
      </c>
      <c r="W124" s="700" t="str">
        <f t="shared" si="57"/>
        <v>.</v>
      </c>
      <c r="X124" s="700" t="str">
        <f t="shared" si="58"/>
        <v>.</v>
      </c>
      <c r="Y124" s="701" t="str">
        <f t="shared" si="59"/>
        <v>.</v>
      </c>
      <c r="Z124" s="3"/>
      <c r="AA124" s="985" t="str">
        <f t="shared" si="76"/>
        <v>.</v>
      </c>
      <c r="AB124" s="702" t="str">
        <f t="shared" si="61"/>
        <v>.</v>
      </c>
      <c r="AC124" s="702" t="str">
        <f t="shared" si="62"/>
        <v>.</v>
      </c>
      <c r="AD124" s="702" t="str">
        <f t="shared" si="63"/>
        <v>.</v>
      </c>
      <c r="AE124" s="702" t="str">
        <f t="shared" si="64"/>
        <v>.</v>
      </c>
      <c r="AF124" s="702" t="str">
        <f t="shared" si="65"/>
        <v>.</v>
      </c>
      <c r="AG124" s="986" t="str">
        <f t="shared" si="66"/>
        <v>.</v>
      </c>
      <c r="AH124" s="3"/>
      <c r="AI124" s="699" t="str">
        <f>IF(S124=".",".",SUM($S124:S124))</f>
        <v>.</v>
      </c>
      <c r="AJ124" s="700" t="str">
        <f>IF(T124=".",".",SUM($S124:T124))</f>
        <v>.</v>
      </c>
      <c r="AK124" s="700" t="str">
        <f>IF(U124=".",".",SUM($S124:U124))</f>
        <v>.</v>
      </c>
      <c r="AL124" s="700" t="str">
        <f>IF(V124=".",".",SUM($S124:V124))</f>
        <v>.</v>
      </c>
      <c r="AM124" s="700" t="str">
        <f>IF(W124=".",".",SUM($S124:W124))</f>
        <v>.</v>
      </c>
      <c r="AN124" s="700" t="str">
        <f>IF(X124=".",".",SUM($S124:X124))</f>
        <v>.</v>
      </c>
      <c r="AO124" s="701" t="str">
        <f>IF(Y124=".",".",SUM($S124:Y124))</f>
        <v>.</v>
      </c>
      <c r="AP124" s="3"/>
      <c r="AQ124" s="985" t="str">
        <f t="shared" si="74"/>
        <v>.</v>
      </c>
      <c r="AR124" s="702" t="str">
        <f t="shared" si="67"/>
        <v>.</v>
      </c>
      <c r="AS124" s="702" t="str">
        <f t="shared" si="68"/>
        <v>.</v>
      </c>
      <c r="AT124" s="702" t="str">
        <f t="shared" si="69"/>
        <v>.</v>
      </c>
      <c r="AU124" s="702" t="str">
        <f t="shared" si="70"/>
        <v>.</v>
      </c>
      <c r="AV124" s="702" t="str">
        <f t="shared" si="71"/>
        <v>.</v>
      </c>
      <c r="AW124" s="986" t="str">
        <f t="shared" si="72"/>
        <v>.</v>
      </c>
      <c r="AX124" s="214"/>
      <c r="AY124" s="3"/>
      <c r="AZ124" s="3"/>
      <c r="BA124" s="3"/>
      <c r="BB124" s="3"/>
    </row>
    <row r="125" spans="1:54" ht="12" x14ac:dyDescent="0.25">
      <c r="A125" s="3"/>
      <c r="B125" s="212"/>
      <c r="C125" s="278" t="s">
        <v>819</v>
      </c>
      <c r="D125" s="279" t="str">
        <f>IF('WK2 - Notional General Income'!D101="","",'WK2 - Notional General Income'!D101)</f>
        <v/>
      </c>
      <c r="E125" s="557" t="str">
        <f>IF('WK2 - Notional General Income'!M101=".",".",'WK2 - Notional General Income'!M101/'WK2 - Notional General Income'!E101)</f>
        <v>.</v>
      </c>
      <c r="F125" s="557" t="str">
        <f>IF('WK3 - Notional GI Yr1 YIELD'!M101=".",".",'WK3 - Notional GI Yr1 YIELD'!M101/'WK3 - Notional GI Yr1 YIELD'!E101)</f>
        <v>.</v>
      </c>
      <c r="G125" s="578"/>
      <c r="H125" s="578"/>
      <c r="I125" s="578"/>
      <c r="J125" s="578"/>
      <c r="K125" s="578"/>
      <c r="L125" s="579"/>
      <c r="M125" s="220"/>
      <c r="N125" s="3"/>
      <c r="O125" s="655">
        <f>'WK2 - Notional General Income'!$E101</f>
        <v>0</v>
      </c>
      <c r="P125" s="657">
        <f>'WK3 - Notional GI Yr1 YIELD'!$E101</f>
        <v>0</v>
      </c>
      <c r="Q125" s="3"/>
      <c r="R125" s="212"/>
      <c r="S125" s="699" t="str">
        <f t="shared" si="73"/>
        <v>.</v>
      </c>
      <c r="T125" s="700" t="str">
        <f t="shared" si="54"/>
        <v>.</v>
      </c>
      <c r="U125" s="700" t="str">
        <f t="shared" si="55"/>
        <v>.</v>
      </c>
      <c r="V125" s="700" t="str">
        <f t="shared" si="56"/>
        <v>.</v>
      </c>
      <c r="W125" s="700" t="str">
        <f t="shared" si="57"/>
        <v>.</v>
      </c>
      <c r="X125" s="700" t="str">
        <f t="shared" si="58"/>
        <v>.</v>
      </c>
      <c r="Y125" s="701" t="str">
        <f t="shared" si="59"/>
        <v>.</v>
      </c>
      <c r="Z125" s="3"/>
      <c r="AA125" s="985" t="str">
        <f t="shared" si="76"/>
        <v>.</v>
      </c>
      <c r="AB125" s="702" t="str">
        <f t="shared" si="61"/>
        <v>.</v>
      </c>
      <c r="AC125" s="702" t="str">
        <f t="shared" si="62"/>
        <v>.</v>
      </c>
      <c r="AD125" s="702" t="str">
        <f t="shared" si="63"/>
        <v>.</v>
      </c>
      <c r="AE125" s="702" t="str">
        <f t="shared" si="64"/>
        <v>.</v>
      </c>
      <c r="AF125" s="702" t="str">
        <f t="shared" si="65"/>
        <v>.</v>
      </c>
      <c r="AG125" s="986" t="str">
        <f t="shared" si="66"/>
        <v>.</v>
      </c>
      <c r="AH125" s="3"/>
      <c r="AI125" s="699" t="str">
        <f>IF(S125=".",".",SUM($S125:S125))</f>
        <v>.</v>
      </c>
      <c r="AJ125" s="700" t="str">
        <f>IF(T125=".",".",SUM($S125:T125))</f>
        <v>.</v>
      </c>
      <c r="AK125" s="700" t="str">
        <f>IF(U125=".",".",SUM($S125:U125))</f>
        <v>.</v>
      </c>
      <c r="AL125" s="700" t="str">
        <f>IF(V125=".",".",SUM($S125:V125))</f>
        <v>.</v>
      </c>
      <c r="AM125" s="700" t="str">
        <f>IF(W125=".",".",SUM($S125:W125))</f>
        <v>.</v>
      </c>
      <c r="AN125" s="700" t="str">
        <f>IF(X125=".",".",SUM($S125:X125))</f>
        <v>.</v>
      </c>
      <c r="AO125" s="701" t="str">
        <f>IF(Y125=".",".",SUM($S125:Y125))</f>
        <v>.</v>
      </c>
      <c r="AP125" s="3"/>
      <c r="AQ125" s="985" t="str">
        <f t="shared" si="74"/>
        <v>.</v>
      </c>
      <c r="AR125" s="702" t="str">
        <f t="shared" si="67"/>
        <v>.</v>
      </c>
      <c r="AS125" s="702" t="str">
        <f t="shared" si="68"/>
        <v>.</v>
      </c>
      <c r="AT125" s="702" t="str">
        <f t="shared" si="69"/>
        <v>.</v>
      </c>
      <c r="AU125" s="702" t="str">
        <f t="shared" si="70"/>
        <v>.</v>
      </c>
      <c r="AV125" s="702" t="str">
        <f t="shared" si="71"/>
        <v>.</v>
      </c>
      <c r="AW125" s="986" t="str">
        <f t="shared" si="72"/>
        <v>.</v>
      </c>
      <c r="AX125" s="214"/>
      <c r="AY125" s="3"/>
      <c r="AZ125" s="3"/>
      <c r="BA125" s="3"/>
      <c r="BB125" s="3"/>
    </row>
    <row r="126" spans="1:54" ht="12" x14ac:dyDescent="0.25">
      <c r="A126" s="3"/>
      <c r="B126" s="212"/>
      <c r="C126" s="278" t="s">
        <v>819</v>
      </c>
      <c r="D126" s="279" t="str">
        <f>IF('WK2 - Notional General Income'!D102="","",'WK2 - Notional General Income'!D102)</f>
        <v/>
      </c>
      <c r="E126" s="557" t="str">
        <f>IF('WK2 - Notional General Income'!M102=".",".",'WK2 - Notional General Income'!M102/'WK2 - Notional General Income'!E102)</f>
        <v>.</v>
      </c>
      <c r="F126" s="557" t="str">
        <f>IF('WK3 - Notional GI Yr1 YIELD'!M102=".",".",'WK3 - Notional GI Yr1 YIELD'!M102/'WK3 - Notional GI Yr1 YIELD'!E102)</f>
        <v>.</v>
      </c>
      <c r="G126" s="578"/>
      <c r="H126" s="578"/>
      <c r="I126" s="578"/>
      <c r="J126" s="578"/>
      <c r="K126" s="578"/>
      <c r="L126" s="579"/>
      <c r="M126" s="220"/>
      <c r="N126" s="3"/>
      <c r="O126" s="655">
        <f>'WK2 - Notional General Income'!$E102</f>
        <v>0</v>
      </c>
      <c r="P126" s="657">
        <f>'WK3 - Notional GI Yr1 YIELD'!$E102</f>
        <v>0</v>
      </c>
      <c r="Q126" s="3"/>
      <c r="R126" s="212"/>
      <c r="S126" s="699" t="str">
        <f t="shared" si="73"/>
        <v>.</v>
      </c>
      <c r="T126" s="700" t="str">
        <f t="shared" si="54"/>
        <v>.</v>
      </c>
      <c r="U126" s="700" t="str">
        <f t="shared" si="55"/>
        <v>.</v>
      </c>
      <c r="V126" s="700" t="str">
        <f t="shared" si="56"/>
        <v>.</v>
      </c>
      <c r="W126" s="700" t="str">
        <f t="shared" si="57"/>
        <v>.</v>
      </c>
      <c r="X126" s="700" t="str">
        <f t="shared" si="58"/>
        <v>.</v>
      </c>
      <c r="Y126" s="701" t="str">
        <f t="shared" si="59"/>
        <v>.</v>
      </c>
      <c r="Z126" s="3"/>
      <c r="AA126" s="985" t="str">
        <f t="shared" si="76"/>
        <v>.</v>
      </c>
      <c r="AB126" s="702" t="str">
        <f t="shared" si="61"/>
        <v>.</v>
      </c>
      <c r="AC126" s="702" t="str">
        <f t="shared" si="62"/>
        <v>.</v>
      </c>
      <c r="AD126" s="702" t="str">
        <f t="shared" si="63"/>
        <v>.</v>
      </c>
      <c r="AE126" s="702" t="str">
        <f t="shared" si="64"/>
        <v>.</v>
      </c>
      <c r="AF126" s="702" t="str">
        <f t="shared" si="65"/>
        <v>.</v>
      </c>
      <c r="AG126" s="986" t="str">
        <f t="shared" si="66"/>
        <v>.</v>
      </c>
      <c r="AH126" s="3"/>
      <c r="AI126" s="699" t="str">
        <f>IF(S126=".",".",SUM($S126:S126))</f>
        <v>.</v>
      </c>
      <c r="AJ126" s="700" t="str">
        <f>IF(T126=".",".",SUM($S126:T126))</f>
        <v>.</v>
      </c>
      <c r="AK126" s="700" t="str">
        <f>IF(U126=".",".",SUM($S126:U126))</f>
        <v>.</v>
      </c>
      <c r="AL126" s="700" t="str">
        <f>IF(V126=".",".",SUM($S126:V126))</f>
        <v>.</v>
      </c>
      <c r="AM126" s="700" t="str">
        <f>IF(W126=".",".",SUM($S126:W126))</f>
        <v>.</v>
      </c>
      <c r="AN126" s="700" t="str">
        <f>IF(X126=".",".",SUM($S126:X126))</f>
        <v>.</v>
      </c>
      <c r="AO126" s="701" t="str">
        <f>IF(Y126=".",".",SUM($S126:Y126))</f>
        <v>.</v>
      </c>
      <c r="AP126" s="3"/>
      <c r="AQ126" s="985" t="str">
        <f t="shared" si="74"/>
        <v>.</v>
      </c>
      <c r="AR126" s="702" t="str">
        <f t="shared" si="67"/>
        <v>.</v>
      </c>
      <c r="AS126" s="702" t="str">
        <f t="shared" si="68"/>
        <v>.</v>
      </c>
      <c r="AT126" s="702" t="str">
        <f t="shared" si="69"/>
        <v>.</v>
      </c>
      <c r="AU126" s="702" t="str">
        <f t="shared" si="70"/>
        <v>.</v>
      </c>
      <c r="AV126" s="702" t="str">
        <f t="shared" si="71"/>
        <v>.</v>
      </c>
      <c r="AW126" s="986" t="str">
        <f t="shared" si="72"/>
        <v>.</v>
      </c>
      <c r="AX126" s="214"/>
      <c r="AY126" s="3"/>
      <c r="AZ126" s="3"/>
      <c r="BA126" s="3"/>
      <c r="BB126" s="3"/>
    </row>
    <row r="127" spans="1:54" ht="12" x14ac:dyDescent="0.25">
      <c r="A127" s="3"/>
      <c r="B127" s="212"/>
      <c r="C127" s="139" t="s">
        <v>819</v>
      </c>
      <c r="D127" s="141" t="str">
        <f>IF('WK2 - Notional General Income'!D103="","",'WK2 - Notional General Income'!D103)</f>
        <v/>
      </c>
      <c r="E127" s="558" t="str">
        <f>IF('WK2 - Notional General Income'!M103=".",".",'WK2 - Notional General Income'!M103/'WK2 - Notional General Income'!E103)</f>
        <v>.</v>
      </c>
      <c r="F127" s="558" t="str">
        <f>IF('WK3 - Notional GI Yr1 YIELD'!M103=".",".",'WK3 - Notional GI Yr1 YIELD'!M103/'WK3 - Notional GI Yr1 YIELD'!E103)</f>
        <v>.</v>
      </c>
      <c r="G127" s="163"/>
      <c r="H127" s="163"/>
      <c r="I127" s="163"/>
      <c r="J127" s="163"/>
      <c r="K127" s="163"/>
      <c r="L127" s="581"/>
      <c r="M127" s="220"/>
      <c r="N127" s="3"/>
      <c r="O127" s="655">
        <f>'WK2 - Notional General Income'!$E103</f>
        <v>0</v>
      </c>
      <c r="P127" s="657">
        <f>'WK3 - Notional GI Yr1 YIELD'!$E103</f>
        <v>0</v>
      </c>
      <c r="Q127" s="3"/>
      <c r="R127" s="212"/>
      <c r="S127" s="699" t="str">
        <f t="shared" si="73"/>
        <v>.</v>
      </c>
      <c r="T127" s="700" t="str">
        <f t="shared" si="54"/>
        <v>.</v>
      </c>
      <c r="U127" s="700" t="str">
        <f t="shared" si="55"/>
        <v>.</v>
      </c>
      <c r="V127" s="700" t="str">
        <f t="shared" si="56"/>
        <v>.</v>
      </c>
      <c r="W127" s="700" t="str">
        <f t="shared" si="57"/>
        <v>.</v>
      </c>
      <c r="X127" s="700" t="str">
        <f t="shared" si="58"/>
        <v>.</v>
      </c>
      <c r="Y127" s="701" t="str">
        <f t="shared" si="59"/>
        <v>.</v>
      </c>
      <c r="Z127" s="3"/>
      <c r="AA127" s="985" t="str">
        <f t="shared" si="76"/>
        <v>.</v>
      </c>
      <c r="AB127" s="702" t="str">
        <f t="shared" si="61"/>
        <v>.</v>
      </c>
      <c r="AC127" s="702" t="str">
        <f t="shared" si="62"/>
        <v>.</v>
      </c>
      <c r="AD127" s="702" t="str">
        <f t="shared" si="63"/>
        <v>.</v>
      </c>
      <c r="AE127" s="702" t="str">
        <f t="shared" si="64"/>
        <v>.</v>
      </c>
      <c r="AF127" s="702" t="str">
        <f t="shared" si="65"/>
        <v>.</v>
      </c>
      <c r="AG127" s="986" t="str">
        <f t="shared" si="66"/>
        <v>.</v>
      </c>
      <c r="AH127" s="3"/>
      <c r="AI127" s="699" t="str">
        <f>IF(S127=".",".",SUM($S127:S127))</f>
        <v>.</v>
      </c>
      <c r="AJ127" s="700" t="str">
        <f>IF(T127=".",".",SUM($S127:T127))</f>
        <v>.</v>
      </c>
      <c r="AK127" s="700" t="str">
        <f>IF(U127=".",".",SUM($S127:U127))</f>
        <v>.</v>
      </c>
      <c r="AL127" s="700" t="str">
        <f>IF(V127=".",".",SUM($S127:V127))</f>
        <v>.</v>
      </c>
      <c r="AM127" s="700" t="str">
        <f>IF(W127=".",".",SUM($S127:W127))</f>
        <v>.</v>
      </c>
      <c r="AN127" s="700" t="str">
        <f>IF(X127=".",".",SUM($S127:X127))</f>
        <v>.</v>
      </c>
      <c r="AO127" s="701" t="str">
        <f>IF(Y127=".",".",SUM($S127:Y127))</f>
        <v>.</v>
      </c>
      <c r="AP127" s="3"/>
      <c r="AQ127" s="985" t="str">
        <f t="shared" si="74"/>
        <v>.</v>
      </c>
      <c r="AR127" s="702" t="str">
        <f t="shared" si="67"/>
        <v>.</v>
      </c>
      <c r="AS127" s="702" t="str">
        <f t="shared" si="68"/>
        <v>.</v>
      </c>
      <c r="AT127" s="702" t="str">
        <f t="shared" si="69"/>
        <v>.</v>
      </c>
      <c r="AU127" s="702" t="str">
        <f t="shared" si="70"/>
        <v>.</v>
      </c>
      <c r="AV127" s="702" t="str">
        <f t="shared" si="71"/>
        <v>.</v>
      </c>
      <c r="AW127" s="986" t="str">
        <f t="shared" si="72"/>
        <v>.</v>
      </c>
      <c r="AX127" s="214"/>
      <c r="AY127" s="3"/>
      <c r="AZ127" s="3"/>
      <c r="BA127" s="3"/>
      <c r="BB127" s="3"/>
    </row>
    <row r="128" spans="1:54" s="26" customFormat="1" ht="12" x14ac:dyDescent="0.25">
      <c r="A128" s="3"/>
      <c r="B128" s="212"/>
      <c r="C128" s="148"/>
      <c r="D128" s="148" t="s">
        <v>820</v>
      </c>
      <c r="E128" s="983">
        <f>IF($O128=0,".",SUMPRODUCT(E98:E127,$O98:$O127)/$O128)</f>
        <v>1271.6436324105043</v>
      </c>
      <c r="F128" s="984">
        <f t="shared" ref="F128:L128" si="77">IF($P128=0,".",SUMPRODUCT(F98:F127,$P98:$P127)/$P128)</f>
        <v>1379.7319637878252</v>
      </c>
      <c r="G128" s="140">
        <f t="shared" si="77"/>
        <v>1483.2118610719119</v>
      </c>
      <c r="H128" s="140">
        <f t="shared" si="77"/>
        <v>1579.6306320415863</v>
      </c>
      <c r="I128" s="140">
        <f t="shared" si="77"/>
        <v>1666.5103168038736</v>
      </c>
      <c r="J128" s="140">
        <f t="shared" si="77"/>
        <v>1708.1630747239703</v>
      </c>
      <c r="K128" s="140">
        <f t="shared" si="77"/>
        <v>1750.8671515920694</v>
      </c>
      <c r="L128" s="140">
        <f t="shared" si="77"/>
        <v>1794.6388303818708</v>
      </c>
      <c r="M128" s="220"/>
      <c r="N128" s="247"/>
      <c r="O128" s="713">
        <f>SUM(O98:O117)</f>
        <v>52016</v>
      </c>
      <c r="P128" s="714">
        <f>SUM(P98:P117)</f>
        <v>52016</v>
      </c>
      <c r="Q128" s="2"/>
      <c r="R128" s="221"/>
      <c r="S128" s="706">
        <f t="shared" si="73"/>
        <v>108.08833137732086</v>
      </c>
      <c r="T128" s="707">
        <f t="shared" si="54"/>
        <v>103.47989728408675</v>
      </c>
      <c r="U128" s="707">
        <f t="shared" ref="U128:Y128" si="78">IF(H128=".",".",H128-G128)</f>
        <v>96.41877096967437</v>
      </c>
      <c r="V128" s="707">
        <f t="shared" si="78"/>
        <v>86.879684762287297</v>
      </c>
      <c r="W128" s="707">
        <f t="shared" si="78"/>
        <v>41.652757920096747</v>
      </c>
      <c r="X128" s="707">
        <f t="shared" si="78"/>
        <v>42.704076868099037</v>
      </c>
      <c r="Y128" s="708">
        <f t="shared" si="78"/>
        <v>43.771678789801399</v>
      </c>
      <c r="Z128" s="2"/>
      <c r="AA128" s="990">
        <f t="shared" si="76"/>
        <v>8.4998916852538686E-2</v>
      </c>
      <c r="AB128" s="991">
        <f t="shared" si="61"/>
        <v>7.4999999999999956E-2</v>
      </c>
      <c r="AC128" s="991">
        <f t="shared" si="62"/>
        <v>6.5006742125155892E-2</v>
      </c>
      <c r="AD128" s="991">
        <f t="shared" si="63"/>
        <v>5.4999999999999938E-2</v>
      </c>
      <c r="AE128" s="991">
        <f t="shared" si="64"/>
        <v>2.4993999437087577E-2</v>
      </c>
      <c r="AF128" s="991">
        <f t="shared" si="65"/>
        <v>2.4999999999999911E-2</v>
      </c>
      <c r="AG128" s="992">
        <f t="shared" si="66"/>
        <v>2.4999999999999911E-2</v>
      </c>
      <c r="AH128" s="2"/>
      <c r="AI128" s="706">
        <f>IF(S128=".",".",SUM($S128:S128))</f>
        <v>108.08833137732086</v>
      </c>
      <c r="AJ128" s="707">
        <f>IF(T128=".",".",SUM($S128:T128))</f>
        <v>211.5682286614076</v>
      </c>
      <c r="AK128" s="707">
        <f>IF(U128=".",".",SUM($S128:U128))</f>
        <v>307.98699963108197</v>
      </c>
      <c r="AL128" s="707">
        <f>IF(V128=".",".",SUM($S128:V128))</f>
        <v>394.86668439336927</v>
      </c>
      <c r="AM128" s="707">
        <f>IF(W128=".",".",SUM($S128:W128))</f>
        <v>436.51944231346602</v>
      </c>
      <c r="AN128" s="707">
        <f>IF(X128=".",".",SUM($S128:X128))</f>
        <v>479.22351918156505</v>
      </c>
      <c r="AO128" s="708">
        <f>IF(Y128=".",".",SUM($S128:Y128))</f>
        <v>522.99519797136645</v>
      </c>
      <c r="AP128" s="2"/>
      <c r="AQ128" s="990">
        <f t="shared" si="74"/>
        <v>8.4998916852538686E-2</v>
      </c>
      <c r="AR128" s="991">
        <f t="shared" si="67"/>
        <v>0.166373835616479</v>
      </c>
      <c r="AS128" s="991">
        <f t="shared" si="68"/>
        <v>0.24219599876992848</v>
      </c>
      <c r="AT128" s="991">
        <f t="shared" si="69"/>
        <v>0.31051677870227468</v>
      </c>
      <c r="AU128" s="991">
        <f t="shared" si="70"/>
        <v>0.34327183433145314</v>
      </c>
      <c r="AV128" s="991">
        <f t="shared" si="71"/>
        <v>0.37685363018973939</v>
      </c>
      <c r="AW128" s="992">
        <f t="shared" si="72"/>
        <v>0.41127497094448251</v>
      </c>
      <c r="AX128" s="229"/>
      <c r="AY128" s="2"/>
      <c r="AZ128" s="2"/>
      <c r="BA128" s="2"/>
      <c r="BB128" s="2"/>
    </row>
    <row r="129" spans="1:54" ht="12" x14ac:dyDescent="0.25">
      <c r="A129" s="3"/>
      <c r="B129" s="212"/>
      <c r="C129" s="1197" t="s">
        <v>718</v>
      </c>
      <c r="D129" s="1242" t="str">
        <f>IF('WK2 - Notional General Income'!D40="","",'WK2 - Notional General Income'!D40)</f>
        <v>Business</v>
      </c>
      <c r="E129" s="1243">
        <f>IF('WK2 - Notional General Income'!M40=".",".",'WK2 - Notional General Income'!M40/'WK2 - Notional General Income'!E40)</f>
        <v>2294.7511914154138</v>
      </c>
      <c r="F129" s="1243">
        <f>IF('WK3 - Notional GI Yr1 YIELD'!M40=".",".",'WK3 - Notional GI Yr1 YIELD'!M40/'WK3 - Notional GI Yr1 YIELD'!E40)</f>
        <v>2489.9048942256823</v>
      </c>
      <c r="G129" s="1214">
        <f t="shared" ref="G129:G131" si="79">+F129*1.075</f>
        <v>2676.6477612926083</v>
      </c>
      <c r="H129" s="1214">
        <f t="shared" ref="H129:H131" si="80">+G129*1.065</f>
        <v>2850.6298657766279</v>
      </c>
      <c r="I129" s="1214">
        <f t="shared" ref="I129:I131" si="81">+H129*1.055</f>
        <v>3007.4145083943422</v>
      </c>
      <c r="J129" s="1214">
        <f t="shared" ref="J129:L129" si="82">+I129*1.025</f>
        <v>3082.5998711042007</v>
      </c>
      <c r="K129" s="1214">
        <f t="shared" si="82"/>
        <v>3159.6648678818055</v>
      </c>
      <c r="L129" s="1214">
        <f t="shared" si="82"/>
        <v>3238.6564895788506</v>
      </c>
      <c r="M129" s="220"/>
      <c r="N129" s="3"/>
      <c r="O129" s="1244">
        <f>'WK2 - Notional General Income'!$E40</f>
        <v>2126</v>
      </c>
      <c r="P129" s="1176">
        <f>'WK3 - Notional GI Yr1 YIELD'!$E40</f>
        <v>2126</v>
      </c>
      <c r="Q129" s="3"/>
      <c r="R129" s="212"/>
      <c r="S129" s="1239">
        <f t="shared" si="73"/>
        <v>195.15370281026844</v>
      </c>
      <c r="T129" s="1172">
        <f t="shared" si="54"/>
        <v>186.74286706692601</v>
      </c>
      <c r="U129" s="1172">
        <f t="shared" si="55"/>
        <v>173.9821044840196</v>
      </c>
      <c r="V129" s="1172">
        <f t="shared" si="56"/>
        <v>156.78464261771433</v>
      </c>
      <c r="W129" s="1172">
        <f t="shared" si="57"/>
        <v>75.185362709858509</v>
      </c>
      <c r="X129" s="1172">
        <f t="shared" si="58"/>
        <v>77.064996777604847</v>
      </c>
      <c r="Y129" s="1173">
        <f t="shared" si="59"/>
        <v>78.991621697045048</v>
      </c>
      <c r="Z129" s="3"/>
      <c r="AA129" s="1240">
        <f t="shared" ref="AA129:AA174" si="83">IFERROR(F129/E129-1,".")</f>
        <v>8.5043513013668637E-2</v>
      </c>
      <c r="AB129" s="1174">
        <f t="shared" si="61"/>
        <v>7.4999999999999956E-2</v>
      </c>
      <c r="AC129" s="1174">
        <f t="shared" ref="AC129:AC174" si="84">IFERROR(H129/G129-1,".")</f>
        <v>6.4999999999999947E-2</v>
      </c>
      <c r="AD129" s="1174">
        <f t="shared" si="63"/>
        <v>5.4999999999999938E-2</v>
      </c>
      <c r="AE129" s="1174">
        <f t="shared" si="64"/>
        <v>2.4999999999999911E-2</v>
      </c>
      <c r="AF129" s="1174">
        <f t="shared" si="65"/>
        <v>2.4999999999999911E-2</v>
      </c>
      <c r="AG129" s="1175">
        <f t="shared" si="66"/>
        <v>2.4999999999999911E-2</v>
      </c>
      <c r="AH129" s="3"/>
      <c r="AI129" s="1239">
        <f>IF(S129=".",".",SUM($S129:S129))</f>
        <v>195.15370281026844</v>
      </c>
      <c r="AJ129" s="1172">
        <f>IF(T129=".",".",SUM($S129:T129))</f>
        <v>381.89656987719445</v>
      </c>
      <c r="AK129" s="1172">
        <f>IF(U129=".",".",SUM($S129:U129))</f>
        <v>555.87867436121405</v>
      </c>
      <c r="AL129" s="1172">
        <f>IF(V129=".",".",SUM($S129:V129))</f>
        <v>712.66331697892838</v>
      </c>
      <c r="AM129" s="1172">
        <f>IF(W129=".",".",SUM($S129:W129))</f>
        <v>787.84867968878689</v>
      </c>
      <c r="AN129" s="1172">
        <f>IF(X129=".",".",SUM($S129:X129))</f>
        <v>864.91367646639173</v>
      </c>
      <c r="AO129" s="1173">
        <f>IF(Y129=".",".",SUM($S129:Y129))</f>
        <v>943.90529816343678</v>
      </c>
      <c r="AP129" s="3"/>
      <c r="AQ129" s="1240">
        <f t="shared" si="74"/>
        <v>8.5043513013668637E-2</v>
      </c>
      <c r="AR129" s="1174">
        <f t="shared" si="67"/>
        <v>0.16642177648969381</v>
      </c>
      <c r="AS129" s="1174">
        <f t="shared" si="68"/>
        <v>0.24223919196152388</v>
      </c>
      <c r="AT129" s="1174">
        <f t="shared" si="69"/>
        <v>0.3105623475194077</v>
      </c>
      <c r="AU129" s="1174">
        <f t="shared" si="70"/>
        <v>0.34332640620739285</v>
      </c>
      <c r="AV129" s="1174">
        <f t="shared" si="71"/>
        <v>0.37690956636257744</v>
      </c>
      <c r="AW129" s="1175">
        <f t="shared" si="72"/>
        <v>0.41133230552164202</v>
      </c>
      <c r="AX129" s="214"/>
      <c r="AY129" s="3"/>
      <c r="AZ129" s="3"/>
      <c r="BA129" s="3"/>
      <c r="BB129" s="3"/>
    </row>
    <row r="130" spans="1:54" ht="12" x14ac:dyDescent="0.25">
      <c r="A130" s="3"/>
      <c r="B130" s="212"/>
      <c r="C130" s="278" t="s">
        <v>718</v>
      </c>
      <c r="D130" s="279" t="str">
        <f>IF('WK2 - Notional General Income'!D41="","",'WK2 - Notional General Income'!D41)</f>
        <v>Hornsby CBD</v>
      </c>
      <c r="E130" s="557">
        <f>IF('WK2 - Notional General Income'!M41=".",".",'WK2 - Notional General Income'!M41/'WK2 - Notional General Income'!E41)</f>
        <v>4903.9505338577901</v>
      </c>
      <c r="F130" s="557">
        <f>IF('WK3 - Notional GI Yr1 YIELD'!M41=".",".",'WK3 - Notional GI Yr1 YIELD'!M41/'WK3 - Notional GI Yr1 YIELD'!E41)</f>
        <v>5320.990519931479</v>
      </c>
      <c r="G130" s="578">
        <f t="shared" si="79"/>
        <v>5720.0648089263395</v>
      </c>
      <c r="H130" s="578">
        <f t="shared" si="80"/>
        <v>6091.8690215065517</v>
      </c>
      <c r="I130" s="578">
        <f t="shared" si="81"/>
        <v>6426.9218176894119</v>
      </c>
      <c r="J130" s="578">
        <f t="shared" ref="J130:L130" si="85">+I130*1.025</f>
        <v>6587.5948631316469</v>
      </c>
      <c r="K130" s="578">
        <f t="shared" si="85"/>
        <v>6752.2847347099378</v>
      </c>
      <c r="L130" s="578">
        <f t="shared" si="85"/>
        <v>6921.0918530776853</v>
      </c>
      <c r="M130" s="220"/>
      <c r="N130" s="3"/>
      <c r="O130" s="655">
        <f>'WK2 - Notional General Income'!$E41</f>
        <v>507</v>
      </c>
      <c r="P130" s="657">
        <f>'WK3 - Notional GI Yr1 YIELD'!$E41</f>
        <v>507</v>
      </c>
      <c r="Q130" s="3"/>
      <c r="R130" s="212"/>
      <c r="S130" s="699">
        <f t="shared" si="73"/>
        <v>417.03998607368885</v>
      </c>
      <c r="T130" s="700">
        <f t="shared" si="54"/>
        <v>399.07428899486058</v>
      </c>
      <c r="U130" s="700">
        <f t="shared" ref="U130:U161" si="86">IF(H130="",".",H130-G130)</f>
        <v>371.80421258021215</v>
      </c>
      <c r="V130" s="700">
        <f t="shared" ref="V130:V161" si="87">IF(I130="",".",I130-H130)</f>
        <v>335.05279618286022</v>
      </c>
      <c r="W130" s="700">
        <f t="shared" ref="W130:W161" si="88">IF(J130="",".",J130-I130)</f>
        <v>160.67304544223498</v>
      </c>
      <c r="X130" s="700">
        <f t="shared" ref="X130:X161" si="89">IF(K130="",".",K130-J130)</f>
        <v>164.68987157829088</v>
      </c>
      <c r="Y130" s="701">
        <f t="shared" ref="Y130:Y161" si="90">IF(L130="",".",L130-K130)</f>
        <v>168.80711836774753</v>
      </c>
      <c r="Z130" s="3"/>
      <c r="AA130" s="985">
        <f t="shared" si="83"/>
        <v>8.5041638000703079E-2</v>
      </c>
      <c r="AB130" s="702">
        <f t="shared" si="61"/>
        <v>7.4999999999999956E-2</v>
      </c>
      <c r="AC130" s="702">
        <f t="shared" si="84"/>
        <v>6.4999999999999947E-2</v>
      </c>
      <c r="AD130" s="702">
        <f t="shared" si="63"/>
        <v>5.4999999999999938E-2</v>
      </c>
      <c r="AE130" s="702">
        <f t="shared" si="64"/>
        <v>2.4999999999999911E-2</v>
      </c>
      <c r="AF130" s="702">
        <f t="shared" si="65"/>
        <v>2.4999999999999911E-2</v>
      </c>
      <c r="AG130" s="986">
        <f t="shared" si="66"/>
        <v>2.4999999999999911E-2</v>
      </c>
      <c r="AH130" s="3"/>
      <c r="AI130" s="699">
        <f>IF(S130=".",".",SUM($S130:S130))</f>
        <v>417.03998607368885</v>
      </c>
      <c r="AJ130" s="700">
        <f>IF(T130=".",".",SUM($S130:T130))</f>
        <v>816.11427506854943</v>
      </c>
      <c r="AK130" s="700">
        <f>IF(U130=".",".",SUM($S130:U130))</f>
        <v>1187.9184876487616</v>
      </c>
      <c r="AL130" s="700">
        <f>IF(V130=".",".",SUM($S130:V130))</f>
        <v>1522.9712838316218</v>
      </c>
      <c r="AM130" s="700">
        <f>IF(W130=".",".",SUM($S130:W130))</f>
        <v>1683.6443292738568</v>
      </c>
      <c r="AN130" s="700">
        <f>IF(X130=".",".",SUM($S130:X130))</f>
        <v>1848.3342008521477</v>
      </c>
      <c r="AO130" s="701">
        <f>IF(Y130=".",".",SUM($S130:Y130))</f>
        <v>2017.1413192198952</v>
      </c>
      <c r="AP130" s="3"/>
      <c r="AQ130" s="985">
        <f t="shared" si="74"/>
        <v>8.5041638000703079E-2</v>
      </c>
      <c r="AR130" s="702">
        <f t="shared" si="67"/>
        <v>0.16641976085075583</v>
      </c>
      <c r="AS130" s="702">
        <f t="shared" si="68"/>
        <v>0.24223704530605494</v>
      </c>
      <c r="AT130" s="702">
        <f t="shared" si="69"/>
        <v>0.31056008279788783</v>
      </c>
      <c r="AU130" s="702">
        <f t="shared" si="70"/>
        <v>0.34332408486783494</v>
      </c>
      <c r="AV130" s="702">
        <f t="shared" si="71"/>
        <v>0.37690718698953085</v>
      </c>
      <c r="AW130" s="986">
        <f t="shared" si="72"/>
        <v>0.41132986666426885</v>
      </c>
      <c r="AX130" s="214"/>
      <c r="AY130" s="3"/>
      <c r="AZ130" s="3"/>
      <c r="BA130" s="3"/>
      <c r="BB130" s="3"/>
    </row>
    <row r="131" spans="1:54" ht="12" x14ac:dyDescent="0.25">
      <c r="A131" s="3"/>
      <c r="B131" s="212"/>
      <c r="C131" s="278" t="s">
        <v>718</v>
      </c>
      <c r="D131" s="279" t="str">
        <f>IF('WK2 - Notional General Income'!D42="","",'WK2 - Notional General Income'!D42)</f>
        <v>Shopping Centre</v>
      </c>
      <c r="E131" s="557">
        <f>IF('WK2 - Notional General Income'!M42=".",".",'WK2 - Notional General Income'!M42/'WK2 - Notional General Income'!E42)</f>
        <v>255857.87926799999</v>
      </c>
      <c r="F131" s="557">
        <f>IF('WK3 - Notional GI Yr1 YIELD'!M42=".",".",'WK3 - Notional GI Yr1 YIELD'!M42/'WK3 - Notional GI Yr1 YIELD'!E42)</f>
        <v>277616.45050799998</v>
      </c>
      <c r="G131" s="578">
        <f t="shared" si="79"/>
        <v>298437.68429609999</v>
      </c>
      <c r="H131" s="578">
        <f t="shared" si="80"/>
        <v>317836.1337753465</v>
      </c>
      <c r="I131" s="578">
        <f t="shared" si="81"/>
        <v>335317.12113299052</v>
      </c>
      <c r="J131" s="578">
        <f t="shared" ref="J131:L131" si="91">+I131*1.025</f>
        <v>343700.04916131526</v>
      </c>
      <c r="K131" s="578">
        <f t="shared" si="91"/>
        <v>352292.55039034813</v>
      </c>
      <c r="L131" s="578">
        <f t="shared" si="91"/>
        <v>361099.86415010679</v>
      </c>
      <c r="M131" s="220"/>
      <c r="N131" s="3"/>
      <c r="O131" s="655">
        <f>'WK2 - Notional General Income'!$E42</f>
        <v>5</v>
      </c>
      <c r="P131" s="657">
        <f>'WK3 - Notional GI Yr1 YIELD'!$E42</f>
        <v>5</v>
      </c>
      <c r="Q131" s="3"/>
      <c r="R131" s="212"/>
      <c r="S131" s="699">
        <f t="shared" si="73"/>
        <v>21758.57123999999</v>
      </c>
      <c r="T131" s="700">
        <f t="shared" si="54"/>
        <v>20821.233788100013</v>
      </c>
      <c r="U131" s="700">
        <f t="shared" si="86"/>
        <v>19398.449479246512</v>
      </c>
      <c r="V131" s="700">
        <f t="shared" si="87"/>
        <v>17480.987357644015</v>
      </c>
      <c r="W131" s="700">
        <f t="shared" si="88"/>
        <v>8382.9280283247354</v>
      </c>
      <c r="X131" s="700">
        <f t="shared" si="89"/>
        <v>8592.5012290328741</v>
      </c>
      <c r="Y131" s="701">
        <f t="shared" si="90"/>
        <v>8807.313759758661</v>
      </c>
      <c r="Z131" s="3"/>
      <c r="AA131" s="985">
        <f t="shared" si="83"/>
        <v>8.5041630542121549E-2</v>
      </c>
      <c r="AB131" s="702">
        <f t="shared" si="61"/>
        <v>7.4999999999999956E-2</v>
      </c>
      <c r="AC131" s="702">
        <f t="shared" si="84"/>
        <v>6.4999999999999947E-2</v>
      </c>
      <c r="AD131" s="702">
        <f t="shared" si="63"/>
        <v>5.4999999999999938E-2</v>
      </c>
      <c r="AE131" s="702">
        <f t="shared" si="64"/>
        <v>2.4999999999999911E-2</v>
      </c>
      <c r="AF131" s="702">
        <f t="shared" si="65"/>
        <v>2.4999999999999911E-2</v>
      </c>
      <c r="AG131" s="986">
        <f t="shared" si="66"/>
        <v>2.4999999999999911E-2</v>
      </c>
      <c r="AH131" s="3"/>
      <c r="AI131" s="699">
        <f>IF(S131=".",".",SUM($S131:S131))</f>
        <v>21758.57123999999</v>
      </c>
      <c r="AJ131" s="700">
        <f>IF(T131=".",".",SUM($S131:T131))</f>
        <v>42579.805028100003</v>
      </c>
      <c r="AK131" s="700">
        <f>IF(U131=".",".",SUM($S131:U131))</f>
        <v>61978.254507346515</v>
      </c>
      <c r="AL131" s="700">
        <f>IF(V131=".",".",SUM($S131:V131))</f>
        <v>79459.24186499053</v>
      </c>
      <c r="AM131" s="700">
        <f>IF(W131=".",".",SUM($S131:W131))</f>
        <v>87842.169893315266</v>
      </c>
      <c r="AN131" s="700">
        <f>IF(X131=".",".",SUM($S131:X131))</f>
        <v>96434.67112234814</v>
      </c>
      <c r="AO131" s="701">
        <f>IF(Y131=".",".",SUM($S131:Y131))</f>
        <v>105241.9848821068</v>
      </c>
      <c r="AP131" s="3"/>
      <c r="AQ131" s="985">
        <f t="shared" si="74"/>
        <v>8.5041630542121549E-2</v>
      </c>
      <c r="AR131" s="702">
        <f t="shared" si="67"/>
        <v>0.16641975283278065</v>
      </c>
      <c r="AS131" s="702">
        <f t="shared" si="68"/>
        <v>0.24223703676691155</v>
      </c>
      <c r="AT131" s="702">
        <f t="shared" si="69"/>
        <v>0.31056007378909145</v>
      </c>
      <c r="AU131" s="702">
        <f t="shared" si="70"/>
        <v>0.34332407563381873</v>
      </c>
      <c r="AV131" s="702">
        <f t="shared" si="71"/>
        <v>0.37690717752466418</v>
      </c>
      <c r="AW131" s="986">
        <f t="shared" si="72"/>
        <v>0.41132985696278057</v>
      </c>
      <c r="AX131" s="214"/>
      <c r="AY131" s="3"/>
      <c r="AZ131" s="3"/>
      <c r="BA131" s="3"/>
      <c r="BB131" s="3"/>
    </row>
    <row r="132" spans="1:54" ht="12" x14ac:dyDescent="0.25">
      <c r="A132" s="3"/>
      <c r="B132" s="212"/>
      <c r="C132" s="278" t="s">
        <v>718</v>
      </c>
      <c r="D132" s="279" t="str">
        <f>IF('WK2 - Notional General Income'!D43="","",'WK2 - Notional General Income'!D43)</f>
        <v/>
      </c>
      <c r="E132" s="557" t="str">
        <f>IF('WK2 - Notional General Income'!M43=".",".",'WK2 - Notional General Income'!M43/'WK2 - Notional General Income'!E43)</f>
        <v>.</v>
      </c>
      <c r="F132" s="557" t="str">
        <f>IF('WK3 - Notional GI Yr1 YIELD'!M43=".",".",'WK3 - Notional GI Yr1 YIELD'!M43/'WK3 - Notional GI Yr1 YIELD'!E43)</f>
        <v>.</v>
      </c>
      <c r="G132" s="578"/>
      <c r="H132" s="578"/>
      <c r="I132" s="578"/>
      <c r="J132" s="578"/>
      <c r="K132" s="578"/>
      <c r="L132" s="578"/>
      <c r="M132" s="220"/>
      <c r="N132" s="3"/>
      <c r="O132" s="655">
        <f>'WK2 - Notional General Income'!$E43</f>
        <v>0</v>
      </c>
      <c r="P132" s="657">
        <f>'WK3 - Notional GI Yr1 YIELD'!$E43</f>
        <v>0</v>
      </c>
      <c r="Q132" s="3"/>
      <c r="R132" s="212"/>
      <c r="S132" s="699" t="str">
        <f t="shared" si="73"/>
        <v>.</v>
      </c>
      <c r="T132" s="700" t="str">
        <f t="shared" si="54"/>
        <v>.</v>
      </c>
      <c r="U132" s="700" t="str">
        <f t="shared" si="86"/>
        <v>.</v>
      </c>
      <c r="V132" s="700" t="str">
        <f t="shared" si="87"/>
        <v>.</v>
      </c>
      <c r="W132" s="700" t="str">
        <f t="shared" si="88"/>
        <v>.</v>
      </c>
      <c r="X132" s="700" t="str">
        <f t="shared" si="89"/>
        <v>.</v>
      </c>
      <c r="Y132" s="701" t="str">
        <f t="shared" si="90"/>
        <v>.</v>
      </c>
      <c r="Z132" s="3"/>
      <c r="AA132" s="985" t="str">
        <f t="shared" si="83"/>
        <v>.</v>
      </c>
      <c r="AB132" s="702" t="str">
        <f t="shared" si="61"/>
        <v>.</v>
      </c>
      <c r="AC132" s="702" t="str">
        <f t="shared" si="84"/>
        <v>.</v>
      </c>
      <c r="AD132" s="702" t="str">
        <f t="shared" si="63"/>
        <v>.</v>
      </c>
      <c r="AE132" s="702" t="str">
        <f t="shared" si="64"/>
        <v>.</v>
      </c>
      <c r="AF132" s="702" t="str">
        <f t="shared" si="65"/>
        <v>.</v>
      </c>
      <c r="AG132" s="986" t="str">
        <f t="shared" si="66"/>
        <v>.</v>
      </c>
      <c r="AH132" s="3"/>
      <c r="AI132" s="699" t="str">
        <f>IF(S132=".",".",SUM($S132:S132))</f>
        <v>.</v>
      </c>
      <c r="AJ132" s="700" t="str">
        <f>IF(T132=".",".",SUM($S132:T132))</f>
        <v>.</v>
      </c>
      <c r="AK132" s="700" t="str">
        <f>IF(U132=".",".",SUM($S132:U132))</f>
        <v>.</v>
      </c>
      <c r="AL132" s="700" t="str">
        <f>IF(V132=".",".",SUM($S132:V132))</f>
        <v>.</v>
      </c>
      <c r="AM132" s="700" t="str">
        <f>IF(W132=".",".",SUM($S132:W132))</f>
        <v>.</v>
      </c>
      <c r="AN132" s="700" t="str">
        <f>IF(X132=".",".",SUM($S132:X132))</f>
        <v>.</v>
      </c>
      <c r="AO132" s="701" t="str">
        <f>IF(Y132=".",".",SUM($S132:Y132))</f>
        <v>.</v>
      </c>
      <c r="AP132" s="3"/>
      <c r="AQ132" s="985" t="str">
        <f t="shared" si="74"/>
        <v>.</v>
      </c>
      <c r="AR132" s="702" t="str">
        <f t="shared" si="67"/>
        <v>.</v>
      </c>
      <c r="AS132" s="702" t="str">
        <f t="shared" si="68"/>
        <v>.</v>
      </c>
      <c r="AT132" s="702" t="str">
        <f t="shared" si="69"/>
        <v>.</v>
      </c>
      <c r="AU132" s="702" t="str">
        <f t="shared" si="70"/>
        <v>.</v>
      </c>
      <c r="AV132" s="702" t="str">
        <f t="shared" si="71"/>
        <v>.</v>
      </c>
      <c r="AW132" s="986" t="str">
        <f t="shared" si="72"/>
        <v>.</v>
      </c>
      <c r="AX132" s="214"/>
      <c r="AY132" s="3"/>
      <c r="AZ132" s="3"/>
      <c r="BA132" s="3"/>
      <c r="BB132" s="3"/>
    </row>
    <row r="133" spans="1:54" ht="12" x14ac:dyDescent="0.25">
      <c r="A133" s="3"/>
      <c r="B133" s="212"/>
      <c r="C133" s="278" t="s">
        <v>718</v>
      </c>
      <c r="D133" s="279" t="str">
        <f>IF('WK2 - Notional General Income'!D44="","",'WK2 - Notional General Income'!D44)</f>
        <v/>
      </c>
      <c r="E133" s="557" t="str">
        <f>IF('WK2 - Notional General Income'!M44=".",".",'WK2 - Notional General Income'!M44/'WK2 - Notional General Income'!E44)</f>
        <v>.</v>
      </c>
      <c r="F133" s="557" t="str">
        <f>IF('WK3 - Notional GI Yr1 YIELD'!M44=".",".",'WK3 - Notional GI Yr1 YIELD'!M44/'WK3 - Notional GI Yr1 YIELD'!E44)</f>
        <v>.</v>
      </c>
      <c r="G133" s="578"/>
      <c r="H133" s="578"/>
      <c r="I133" s="578"/>
      <c r="J133" s="578"/>
      <c r="K133" s="578"/>
      <c r="L133" s="578"/>
      <c r="M133" s="220"/>
      <c r="N133" s="3"/>
      <c r="O133" s="655">
        <f>'WK2 - Notional General Income'!$E44</f>
        <v>0</v>
      </c>
      <c r="P133" s="657">
        <f>'WK3 - Notional GI Yr1 YIELD'!$E44</f>
        <v>0</v>
      </c>
      <c r="Q133" s="3"/>
      <c r="R133" s="212"/>
      <c r="S133" s="699" t="str">
        <f t="shared" si="73"/>
        <v>.</v>
      </c>
      <c r="T133" s="700" t="str">
        <f t="shared" si="54"/>
        <v>.</v>
      </c>
      <c r="U133" s="700" t="str">
        <f t="shared" si="86"/>
        <v>.</v>
      </c>
      <c r="V133" s="700" t="str">
        <f t="shared" si="87"/>
        <v>.</v>
      </c>
      <c r="W133" s="700" t="str">
        <f t="shared" si="88"/>
        <v>.</v>
      </c>
      <c r="X133" s="700" t="str">
        <f t="shared" si="89"/>
        <v>.</v>
      </c>
      <c r="Y133" s="701" t="str">
        <f t="shared" si="90"/>
        <v>.</v>
      </c>
      <c r="Z133" s="3"/>
      <c r="AA133" s="985" t="str">
        <f t="shared" si="83"/>
        <v>.</v>
      </c>
      <c r="AB133" s="702" t="str">
        <f t="shared" si="61"/>
        <v>.</v>
      </c>
      <c r="AC133" s="702" t="str">
        <f t="shared" si="84"/>
        <v>.</v>
      </c>
      <c r="AD133" s="702" t="str">
        <f t="shared" si="63"/>
        <v>.</v>
      </c>
      <c r="AE133" s="702" t="str">
        <f t="shared" si="64"/>
        <v>.</v>
      </c>
      <c r="AF133" s="702" t="str">
        <f t="shared" si="65"/>
        <v>.</v>
      </c>
      <c r="AG133" s="986" t="str">
        <f t="shared" si="66"/>
        <v>.</v>
      </c>
      <c r="AH133" s="3"/>
      <c r="AI133" s="699" t="str">
        <f>IF(S133=".",".",SUM($S133:S133))</f>
        <v>.</v>
      </c>
      <c r="AJ133" s="700" t="str">
        <f>IF(T133=".",".",SUM($S133:T133))</f>
        <v>.</v>
      </c>
      <c r="AK133" s="700" t="str">
        <f>IF(U133=".",".",SUM($S133:U133))</f>
        <v>.</v>
      </c>
      <c r="AL133" s="700" t="str">
        <f>IF(V133=".",".",SUM($S133:V133))</f>
        <v>.</v>
      </c>
      <c r="AM133" s="700" t="str">
        <f>IF(W133=".",".",SUM($S133:W133))</f>
        <v>.</v>
      </c>
      <c r="AN133" s="700" t="str">
        <f>IF(X133=".",".",SUM($S133:X133))</f>
        <v>.</v>
      </c>
      <c r="AO133" s="701" t="str">
        <f>IF(Y133=".",".",SUM($S133:Y133))</f>
        <v>.</v>
      </c>
      <c r="AP133" s="3"/>
      <c r="AQ133" s="985" t="str">
        <f t="shared" si="74"/>
        <v>.</v>
      </c>
      <c r="AR133" s="702" t="str">
        <f t="shared" si="67"/>
        <v>.</v>
      </c>
      <c r="AS133" s="702" t="str">
        <f t="shared" si="68"/>
        <v>.</v>
      </c>
      <c r="AT133" s="702" t="str">
        <f t="shared" si="69"/>
        <v>.</v>
      </c>
      <c r="AU133" s="702" t="str">
        <f t="shared" si="70"/>
        <v>.</v>
      </c>
      <c r="AV133" s="702" t="str">
        <f t="shared" si="71"/>
        <v>.</v>
      </c>
      <c r="AW133" s="986" t="str">
        <f t="shared" si="72"/>
        <v>.</v>
      </c>
      <c r="AX133" s="214"/>
      <c r="AY133" s="3"/>
      <c r="AZ133" s="3"/>
      <c r="BA133" s="3"/>
      <c r="BB133" s="3"/>
    </row>
    <row r="134" spans="1:54" ht="12" x14ac:dyDescent="0.25">
      <c r="A134" s="3"/>
      <c r="B134" s="212"/>
      <c r="C134" s="278" t="s">
        <v>718</v>
      </c>
      <c r="D134" s="279" t="str">
        <f>IF('WK2 - Notional General Income'!D45="","",'WK2 - Notional General Income'!D45)</f>
        <v/>
      </c>
      <c r="E134" s="557" t="str">
        <f>IF('WK2 - Notional General Income'!M45=".",".",'WK2 - Notional General Income'!M45/'WK2 - Notional General Income'!E45)</f>
        <v>.</v>
      </c>
      <c r="F134" s="557" t="str">
        <f>IF('WK3 - Notional GI Yr1 YIELD'!M45=".",".",'WK3 - Notional GI Yr1 YIELD'!M45/'WK3 - Notional GI Yr1 YIELD'!E45)</f>
        <v>.</v>
      </c>
      <c r="G134" s="578"/>
      <c r="H134" s="578"/>
      <c r="I134" s="578"/>
      <c r="J134" s="578"/>
      <c r="K134" s="578"/>
      <c r="L134" s="578"/>
      <c r="M134" s="220"/>
      <c r="N134" s="3"/>
      <c r="O134" s="655">
        <f>'WK2 - Notional General Income'!$E45</f>
        <v>0</v>
      </c>
      <c r="P134" s="657">
        <f>'WK3 - Notional GI Yr1 YIELD'!$E45</f>
        <v>0</v>
      </c>
      <c r="Q134" s="3"/>
      <c r="R134" s="212"/>
      <c r="S134" s="699" t="str">
        <f t="shared" si="73"/>
        <v>.</v>
      </c>
      <c r="T134" s="700" t="str">
        <f t="shared" si="54"/>
        <v>.</v>
      </c>
      <c r="U134" s="700" t="str">
        <f t="shared" si="86"/>
        <v>.</v>
      </c>
      <c r="V134" s="700" t="str">
        <f t="shared" si="87"/>
        <v>.</v>
      </c>
      <c r="W134" s="700" t="str">
        <f t="shared" si="88"/>
        <v>.</v>
      </c>
      <c r="X134" s="700" t="str">
        <f t="shared" si="89"/>
        <v>.</v>
      </c>
      <c r="Y134" s="701" t="str">
        <f t="shared" si="90"/>
        <v>.</v>
      </c>
      <c r="Z134" s="3"/>
      <c r="AA134" s="985" t="str">
        <f t="shared" si="83"/>
        <v>.</v>
      </c>
      <c r="AB134" s="702" t="str">
        <f t="shared" si="61"/>
        <v>.</v>
      </c>
      <c r="AC134" s="702" t="str">
        <f t="shared" si="84"/>
        <v>.</v>
      </c>
      <c r="AD134" s="702" t="str">
        <f t="shared" si="63"/>
        <v>.</v>
      </c>
      <c r="AE134" s="702" t="str">
        <f t="shared" si="64"/>
        <v>.</v>
      </c>
      <c r="AF134" s="702" t="str">
        <f t="shared" si="65"/>
        <v>.</v>
      </c>
      <c r="AG134" s="986" t="str">
        <f t="shared" si="66"/>
        <v>.</v>
      </c>
      <c r="AH134" s="3"/>
      <c r="AI134" s="699" t="str">
        <f>IF(S134=".",".",SUM($S134:S134))</f>
        <v>.</v>
      </c>
      <c r="AJ134" s="700" t="str">
        <f>IF(T134=".",".",SUM($S134:T134))</f>
        <v>.</v>
      </c>
      <c r="AK134" s="700" t="str">
        <f>IF(U134=".",".",SUM($S134:U134))</f>
        <v>.</v>
      </c>
      <c r="AL134" s="700" t="str">
        <f>IF(V134=".",".",SUM($S134:V134))</f>
        <v>.</v>
      </c>
      <c r="AM134" s="700" t="str">
        <f>IF(W134=".",".",SUM($S134:W134))</f>
        <v>.</v>
      </c>
      <c r="AN134" s="700" t="str">
        <f>IF(X134=".",".",SUM($S134:X134))</f>
        <v>.</v>
      </c>
      <c r="AO134" s="701" t="str">
        <f>IF(Y134=".",".",SUM($S134:Y134))</f>
        <v>.</v>
      </c>
      <c r="AP134" s="3"/>
      <c r="AQ134" s="985" t="str">
        <f t="shared" si="74"/>
        <v>.</v>
      </c>
      <c r="AR134" s="702" t="str">
        <f t="shared" si="67"/>
        <v>.</v>
      </c>
      <c r="AS134" s="702" t="str">
        <f t="shared" si="68"/>
        <v>.</v>
      </c>
      <c r="AT134" s="702" t="str">
        <f t="shared" si="69"/>
        <v>.</v>
      </c>
      <c r="AU134" s="702" t="str">
        <f t="shared" si="70"/>
        <v>.</v>
      </c>
      <c r="AV134" s="702" t="str">
        <f t="shared" si="71"/>
        <v>.</v>
      </c>
      <c r="AW134" s="986" t="str">
        <f t="shared" si="72"/>
        <v>.</v>
      </c>
      <c r="AX134" s="214"/>
      <c r="AY134" s="3"/>
      <c r="AZ134" s="3"/>
      <c r="BA134" s="3"/>
      <c r="BB134" s="3"/>
    </row>
    <row r="135" spans="1:54" ht="12" x14ac:dyDescent="0.25">
      <c r="A135" s="3"/>
      <c r="B135" s="212"/>
      <c r="C135" s="278" t="s">
        <v>718</v>
      </c>
      <c r="D135" s="279" t="str">
        <f>IF('WK2 - Notional General Income'!D46="","",'WK2 - Notional General Income'!D46)</f>
        <v/>
      </c>
      <c r="E135" s="557" t="str">
        <f>IF('WK2 - Notional General Income'!M46=".",".",'WK2 - Notional General Income'!M46/'WK2 - Notional General Income'!E46)</f>
        <v>.</v>
      </c>
      <c r="F135" s="557" t="str">
        <f>IF('WK3 - Notional GI Yr1 YIELD'!M46=".",".",'WK3 - Notional GI Yr1 YIELD'!M46/'WK3 - Notional GI Yr1 YIELD'!E46)</f>
        <v>.</v>
      </c>
      <c r="G135" s="578"/>
      <c r="H135" s="578"/>
      <c r="I135" s="578"/>
      <c r="J135" s="578"/>
      <c r="K135" s="578"/>
      <c r="L135" s="578"/>
      <c r="M135" s="220"/>
      <c r="N135" s="3"/>
      <c r="O135" s="655">
        <f>'WK2 - Notional General Income'!$E46</f>
        <v>0</v>
      </c>
      <c r="P135" s="657">
        <f>'WK3 - Notional GI Yr1 YIELD'!$E46</f>
        <v>0</v>
      </c>
      <c r="Q135" s="3"/>
      <c r="R135" s="212"/>
      <c r="S135" s="699" t="str">
        <f t="shared" si="73"/>
        <v>.</v>
      </c>
      <c r="T135" s="700" t="str">
        <f t="shared" si="54"/>
        <v>.</v>
      </c>
      <c r="U135" s="700" t="str">
        <f t="shared" si="86"/>
        <v>.</v>
      </c>
      <c r="V135" s="700" t="str">
        <f t="shared" si="87"/>
        <v>.</v>
      </c>
      <c r="W135" s="700" t="str">
        <f t="shared" si="88"/>
        <v>.</v>
      </c>
      <c r="X135" s="700" t="str">
        <f t="shared" si="89"/>
        <v>.</v>
      </c>
      <c r="Y135" s="701" t="str">
        <f t="shared" si="90"/>
        <v>.</v>
      </c>
      <c r="Z135" s="3"/>
      <c r="AA135" s="985" t="str">
        <f t="shared" si="83"/>
        <v>.</v>
      </c>
      <c r="AB135" s="702" t="str">
        <f t="shared" si="61"/>
        <v>.</v>
      </c>
      <c r="AC135" s="702" t="str">
        <f t="shared" si="84"/>
        <v>.</v>
      </c>
      <c r="AD135" s="702" t="str">
        <f t="shared" si="63"/>
        <v>.</v>
      </c>
      <c r="AE135" s="702" t="str">
        <f t="shared" si="64"/>
        <v>.</v>
      </c>
      <c r="AF135" s="702" t="str">
        <f t="shared" si="65"/>
        <v>.</v>
      </c>
      <c r="AG135" s="986" t="str">
        <f t="shared" si="66"/>
        <v>.</v>
      </c>
      <c r="AH135" s="3"/>
      <c r="AI135" s="699" t="str">
        <f>IF(S135=".",".",SUM($S135:S135))</f>
        <v>.</v>
      </c>
      <c r="AJ135" s="700" t="str">
        <f>IF(T135=".",".",SUM($S135:T135))</f>
        <v>.</v>
      </c>
      <c r="AK135" s="700" t="str">
        <f>IF(U135=".",".",SUM($S135:U135))</f>
        <v>.</v>
      </c>
      <c r="AL135" s="700" t="str">
        <f>IF(V135=".",".",SUM($S135:V135))</f>
        <v>.</v>
      </c>
      <c r="AM135" s="700" t="str">
        <f>IF(W135=".",".",SUM($S135:W135))</f>
        <v>.</v>
      </c>
      <c r="AN135" s="700" t="str">
        <f>IF(X135=".",".",SUM($S135:X135))</f>
        <v>.</v>
      </c>
      <c r="AO135" s="701" t="str">
        <f>IF(Y135=".",".",SUM($S135:Y135))</f>
        <v>.</v>
      </c>
      <c r="AP135" s="3"/>
      <c r="AQ135" s="985" t="str">
        <f t="shared" si="74"/>
        <v>.</v>
      </c>
      <c r="AR135" s="702" t="str">
        <f t="shared" si="67"/>
        <v>.</v>
      </c>
      <c r="AS135" s="702" t="str">
        <f t="shared" si="68"/>
        <v>.</v>
      </c>
      <c r="AT135" s="702" t="str">
        <f t="shared" si="69"/>
        <v>.</v>
      </c>
      <c r="AU135" s="702" t="str">
        <f t="shared" si="70"/>
        <v>.</v>
      </c>
      <c r="AV135" s="702" t="str">
        <f t="shared" si="71"/>
        <v>.</v>
      </c>
      <c r="AW135" s="986" t="str">
        <f t="shared" si="72"/>
        <v>.</v>
      </c>
      <c r="AX135" s="214"/>
      <c r="AY135" s="3"/>
      <c r="AZ135" s="3"/>
      <c r="BA135" s="3"/>
      <c r="BB135" s="3"/>
    </row>
    <row r="136" spans="1:54" ht="12" x14ac:dyDescent="0.25">
      <c r="A136" s="3"/>
      <c r="B136" s="212"/>
      <c r="C136" s="278" t="s">
        <v>718</v>
      </c>
      <c r="D136" s="279" t="str">
        <f>IF('WK2 - Notional General Income'!D47="","",'WK2 - Notional General Income'!D47)</f>
        <v/>
      </c>
      <c r="E136" s="557" t="str">
        <f>IF('WK2 - Notional General Income'!M47=".",".",'WK2 - Notional General Income'!M47/'WK2 - Notional General Income'!E47)</f>
        <v>.</v>
      </c>
      <c r="F136" s="557" t="str">
        <f>IF('WK3 - Notional GI Yr1 YIELD'!M47=".",".",'WK3 - Notional GI Yr1 YIELD'!M47/'WK3 - Notional GI Yr1 YIELD'!E47)</f>
        <v>.</v>
      </c>
      <c r="G136" s="578"/>
      <c r="H136" s="578"/>
      <c r="I136" s="578"/>
      <c r="J136" s="578"/>
      <c r="K136" s="578"/>
      <c r="L136" s="578"/>
      <c r="M136" s="220"/>
      <c r="N136" s="3"/>
      <c r="O136" s="655">
        <f>'WK2 - Notional General Income'!$E47</f>
        <v>0</v>
      </c>
      <c r="P136" s="657">
        <f>'WK3 - Notional GI Yr1 YIELD'!$E47</f>
        <v>0</v>
      </c>
      <c r="Q136" s="3"/>
      <c r="R136" s="212"/>
      <c r="S136" s="699" t="str">
        <f t="shared" si="73"/>
        <v>.</v>
      </c>
      <c r="T136" s="700" t="str">
        <f t="shared" si="54"/>
        <v>.</v>
      </c>
      <c r="U136" s="700" t="str">
        <f t="shared" si="86"/>
        <v>.</v>
      </c>
      <c r="V136" s="700" t="str">
        <f t="shared" si="87"/>
        <v>.</v>
      </c>
      <c r="W136" s="700" t="str">
        <f t="shared" si="88"/>
        <v>.</v>
      </c>
      <c r="X136" s="700" t="str">
        <f t="shared" si="89"/>
        <v>.</v>
      </c>
      <c r="Y136" s="701" t="str">
        <f t="shared" si="90"/>
        <v>.</v>
      </c>
      <c r="Z136" s="3"/>
      <c r="AA136" s="985" t="str">
        <f t="shared" si="83"/>
        <v>.</v>
      </c>
      <c r="AB136" s="702" t="str">
        <f t="shared" si="61"/>
        <v>.</v>
      </c>
      <c r="AC136" s="702" t="str">
        <f t="shared" si="84"/>
        <v>.</v>
      </c>
      <c r="AD136" s="702" t="str">
        <f t="shared" si="63"/>
        <v>.</v>
      </c>
      <c r="AE136" s="702" t="str">
        <f t="shared" si="64"/>
        <v>.</v>
      </c>
      <c r="AF136" s="702" t="str">
        <f t="shared" si="65"/>
        <v>.</v>
      </c>
      <c r="AG136" s="986" t="str">
        <f t="shared" si="66"/>
        <v>.</v>
      </c>
      <c r="AH136" s="3"/>
      <c r="AI136" s="699" t="str">
        <f>IF(S136=".",".",SUM($S136:S136))</f>
        <v>.</v>
      </c>
      <c r="AJ136" s="700" t="str">
        <f>IF(T136=".",".",SUM($S136:T136))</f>
        <v>.</v>
      </c>
      <c r="AK136" s="700" t="str">
        <f>IF(U136=".",".",SUM($S136:U136))</f>
        <v>.</v>
      </c>
      <c r="AL136" s="700" t="str">
        <f>IF(V136=".",".",SUM($S136:V136))</f>
        <v>.</v>
      </c>
      <c r="AM136" s="700" t="str">
        <f>IF(W136=".",".",SUM($S136:W136))</f>
        <v>.</v>
      </c>
      <c r="AN136" s="700" t="str">
        <f>IF(X136=".",".",SUM($S136:X136))</f>
        <v>.</v>
      </c>
      <c r="AO136" s="701" t="str">
        <f>IF(Y136=".",".",SUM($S136:Y136))</f>
        <v>.</v>
      </c>
      <c r="AP136" s="3"/>
      <c r="AQ136" s="985" t="str">
        <f t="shared" si="74"/>
        <v>.</v>
      </c>
      <c r="AR136" s="702" t="str">
        <f t="shared" si="67"/>
        <v>.</v>
      </c>
      <c r="AS136" s="702" t="str">
        <f t="shared" si="68"/>
        <v>.</v>
      </c>
      <c r="AT136" s="702" t="str">
        <f t="shared" si="69"/>
        <v>.</v>
      </c>
      <c r="AU136" s="702" t="str">
        <f t="shared" si="70"/>
        <v>.</v>
      </c>
      <c r="AV136" s="702" t="str">
        <f t="shared" si="71"/>
        <v>.</v>
      </c>
      <c r="AW136" s="986" t="str">
        <f t="shared" si="72"/>
        <v>.</v>
      </c>
      <c r="AX136" s="214"/>
      <c r="AY136" s="3"/>
      <c r="AZ136" s="3"/>
      <c r="BA136" s="3"/>
      <c r="BB136" s="3"/>
    </row>
    <row r="137" spans="1:54" ht="12" x14ac:dyDescent="0.25">
      <c r="A137" s="3"/>
      <c r="B137" s="212"/>
      <c r="C137" s="278" t="s">
        <v>718</v>
      </c>
      <c r="D137" s="279" t="str">
        <f>IF('WK2 - Notional General Income'!D48="","",'WK2 - Notional General Income'!D48)</f>
        <v/>
      </c>
      <c r="E137" s="557" t="str">
        <f>IF('WK2 - Notional General Income'!M48=".",".",'WK2 - Notional General Income'!M48/'WK2 - Notional General Income'!E48)</f>
        <v>.</v>
      </c>
      <c r="F137" s="557" t="str">
        <f>IF('WK3 - Notional GI Yr1 YIELD'!M48=".",".",'WK3 - Notional GI Yr1 YIELD'!M48/'WK3 - Notional GI Yr1 YIELD'!E48)</f>
        <v>.</v>
      </c>
      <c r="G137" s="578"/>
      <c r="H137" s="578"/>
      <c r="I137" s="578"/>
      <c r="J137" s="578"/>
      <c r="K137" s="578"/>
      <c r="L137" s="578"/>
      <c r="M137" s="220"/>
      <c r="N137" s="3"/>
      <c r="O137" s="655">
        <f>'WK2 - Notional General Income'!$E48</f>
        <v>0</v>
      </c>
      <c r="P137" s="657">
        <f>'WK3 - Notional GI Yr1 YIELD'!$E48</f>
        <v>0</v>
      </c>
      <c r="Q137" s="3"/>
      <c r="R137" s="212"/>
      <c r="S137" s="699" t="str">
        <f t="shared" si="73"/>
        <v>.</v>
      </c>
      <c r="T137" s="700" t="str">
        <f t="shared" si="54"/>
        <v>.</v>
      </c>
      <c r="U137" s="700" t="str">
        <f t="shared" si="86"/>
        <v>.</v>
      </c>
      <c r="V137" s="700" t="str">
        <f t="shared" si="87"/>
        <v>.</v>
      </c>
      <c r="W137" s="700" t="str">
        <f t="shared" si="88"/>
        <v>.</v>
      </c>
      <c r="X137" s="700" t="str">
        <f t="shared" si="89"/>
        <v>.</v>
      </c>
      <c r="Y137" s="701" t="str">
        <f t="shared" si="90"/>
        <v>.</v>
      </c>
      <c r="Z137" s="3"/>
      <c r="AA137" s="985" t="str">
        <f t="shared" si="83"/>
        <v>.</v>
      </c>
      <c r="AB137" s="702" t="str">
        <f t="shared" si="61"/>
        <v>.</v>
      </c>
      <c r="AC137" s="702" t="str">
        <f t="shared" si="84"/>
        <v>.</v>
      </c>
      <c r="AD137" s="702" t="str">
        <f t="shared" si="63"/>
        <v>.</v>
      </c>
      <c r="AE137" s="702" t="str">
        <f t="shared" si="64"/>
        <v>.</v>
      </c>
      <c r="AF137" s="702" t="str">
        <f t="shared" si="65"/>
        <v>.</v>
      </c>
      <c r="AG137" s="986" t="str">
        <f t="shared" si="66"/>
        <v>.</v>
      </c>
      <c r="AH137" s="3"/>
      <c r="AI137" s="699" t="str">
        <f>IF(S137=".",".",SUM($S137:S137))</f>
        <v>.</v>
      </c>
      <c r="AJ137" s="700" t="str">
        <f>IF(T137=".",".",SUM($S137:T137))</f>
        <v>.</v>
      </c>
      <c r="AK137" s="700" t="str">
        <f>IF(U137=".",".",SUM($S137:U137))</f>
        <v>.</v>
      </c>
      <c r="AL137" s="700" t="str">
        <f>IF(V137=".",".",SUM($S137:V137))</f>
        <v>.</v>
      </c>
      <c r="AM137" s="700" t="str">
        <f>IF(W137=".",".",SUM($S137:W137))</f>
        <v>.</v>
      </c>
      <c r="AN137" s="700" t="str">
        <f>IF(X137=".",".",SUM($S137:X137))</f>
        <v>.</v>
      </c>
      <c r="AO137" s="701" t="str">
        <f>IF(Y137=".",".",SUM($S137:Y137))</f>
        <v>.</v>
      </c>
      <c r="AP137" s="3"/>
      <c r="AQ137" s="985" t="str">
        <f t="shared" si="74"/>
        <v>.</v>
      </c>
      <c r="AR137" s="702" t="str">
        <f t="shared" si="67"/>
        <v>.</v>
      </c>
      <c r="AS137" s="702" t="str">
        <f t="shared" si="68"/>
        <v>.</v>
      </c>
      <c r="AT137" s="702" t="str">
        <f t="shared" si="69"/>
        <v>.</v>
      </c>
      <c r="AU137" s="702" t="str">
        <f t="shared" si="70"/>
        <v>.</v>
      </c>
      <c r="AV137" s="702" t="str">
        <f t="shared" si="71"/>
        <v>.</v>
      </c>
      <c r="AW137" s="986" t="str">
        <f t="shared" si="72"/>
        <v>.</v>
      </c>
      <c r="AX137" s="214"/>
      <c r="AY137" s="3"/>
      <c r="AZ137" s="3"/>
      <c r="BA137" s="3"/>
      <c r="BB137" s="3"/>
    </row>
    <row r="138" spans="1:54" ht="12" x14ac:dyDescent="0.25">
      <c r="A138" s="3"/>
      <c r="B138" s="212"/>
      <c r="C138" s="278" t="s">
        <v>718</v>
      </c>
      <c r="D138" s="279" t="str">
        <f>IF('WK2 - Notional General Income'!D49="","",'WK2 - Notional General Income'!D49)</f>
        <v/>
      </c>
      <c r="E138" s="557" t="str">
        <f>IF('WK2 - Notional General Income'!M49=".",".",'WK2 - Notional General Income'!M49/'WK2 - Notional General Income'!E49)</f>
        <v>.</v>
      </c>
      <c r="F138" s="557" t="str">
        <f>IF('WK3 - Notional GI Yr1 YIELD'!M49=".",".",'WK3 - Notional GI Yr1 YIELD'!M49/'WK3 - Notional GI Yr1 YIELD'!E49)</f>
        <v>.</v>
      </c>
      <c r="G138" s="578"/>
      <c r="H138" s="578"/>
      <c r="I138" s="578"/>
      <c r="J138" s="578"/>
      <c r="K138" s="578"/>
      <c r="L138" s="578"/>
      <c r="M138" s="220"/>
      <c r="N138" s="3"/>
      <c r="O138" s="655">
        <f>'WK2 - Notional General Income'!$E49</f>
        <v>0</v>
      </c>
      <c r="P138" s="657">
        <f>'WK3 - Notional GI Yr1 YIELD'!$E49</f>
        <v>0</v>
      </c>
      <c r="Q138" s="3"/>
      <c r="R138" s="212"/>
      <c r="S138" s="699" t="str">
        <f t="shared" si="73"/>
        <v>.</v>
      </c>
      <c r="T138" s="700" t="str">
        <f t="shared" si="54"/>
        <v>.</v>
      </c>
      <c r="U138" s="700" t="str">
        <f t="shared" si="86"/>
        <v>.</v>
      </c>
      <c r="V138" s="700" t="str">
        <f t="shared" si="87"/>
        <v>.</v>
      </c>
      <c r="W138" s="700" t="str">
        <f t="shared" si="88"/>
        <v>.</v>
      </c>
      <c r="X138" s="700" t="str">
        <f t="shared" si="89"/>
        <v>.</v>
      </c>
      <c r="Y138" s="701" t="str">
        <f t="shared" si="90"/>
        <v>.</v>
      </c>
      <c r="Z138" s="3"/>
      <c r="AA138" s="985" t="str">
        <f t="shared" si="83"/>
        <v>.</v>
      </c>
      <c r="AB138" s="702" t="str">
        <f t="shared" si="61"/>
        <v>.</v>
      </c>
      <c r="AC138" s="702" t="str">
        <f t="shared" si="84"/>
        <v>.</v>
      </c>
      <c r="AD138" s="702" t="str">
        <f t="shared" si="63"/>
        <v>.</v>
      </c>
      <c r="AE138" s="702" t="str">
        <f t="shared" si="64"/>
        <v>.</v>
      </c>
      <c r="AF138" s="702" t="str">
        <f t="shared" si="65"/>
        <v>.</v>
      </c>
      <c r="AG138" s="986" t="str">
        <f t="shared" si="66"/>
        <v>.</v>
      </c>
      <c r="AH138" s="3"/>
      <c r="AI138" s="699" t="str">
        <f>IF(S138=".",".",SUM($S138:S138))</f>
        <v>.</v>
      </c>
      <c r="AJ138" s="700" t="str">
        <f>IF(T138=".",".",SUM($S138:T138))</f>
        <v>.</v>
      </c>
      <c r="AK138" s="700" t="str">
        <f>IF(U138=".",".",SUM($S138:U138))</f>
        <v>.</v>
      </c>
      <c r="AL138" s="700" t="str">
        <f>IF(V138=".",".",SUM($S138:V138))</f>
        <v>.</v>
      </c>
      <c r="AM138" s="700" t="str">
        <f>IF(W138=".",".",SUM($S138:W138))</f>
        <v>.</v>
      </c>
      <c r="AN138" s="700" t="str">
        <f>IF(X138=".",".",SUM($S138:X138))</f>
        <v>.</v>
      </c>
      <c r="AO138" s="701" t="str">
        <f>IF(Y138=".",".",SUM($S138:Y138))</f>
        <v>.</v>
      </c>
      <c r="AP138" s="3"/>
      <c r="AQ138" s="985" t="str">
        <f t="shared" si="74"/>
        <v>.</v>
      </c>
      <c r="AR138" s="702" t="str">
        <f t="shared" si="67"/>
        <v>.</v>
      </c>
      <c r="AS138" s="702" t="str">
        <f t="shared" si="68"/>
        <v>.</v>
      </c>
      <c r="AT138" s="702" t="str">
        <f t="shared" si="69"/>
        <v>.</v>
      </c>
      <c r="AU138" s="702" t="str">
        <f t="shared" si="70"/>
        <v>.</v>
      </c>
      <c r="AV138" s="702" t="str">
        <f t="shared" si="71"/>
        <v>.</v>
      </c>
      <c r="AW138" s="986" t="str">
        <f t="shared" si="72"/>
        <v>.</v>
      </c>
      <c r="AX138" s="214"/>
      <c r="AY138" s="3"/>
      <c r="AZ138" s="3"/>
      <c r="BA138" s="3"/>
      <c r="BB138" s="3"/>
    </row>
    <row r="139" spans="1:54" ht="12" x14ac:dyDescent="0.25">
      <c r="A139" s="3"/>
      <c r="B139" s="212"/>
      <c r="C139" s="278" t="s">
        <v>718</v>
      </c>
      <c r="D139" s="279" t="str">
        <f>IF('WK2 - Notional General Income'!D50="","",'WK2 - Notional General Income'!D50)</f>
        <v/>
      </c>
      <c r="E139" s="557" t="str">
        <f>IF('WK2 - Notional General Income'!M50=".",".",'WK2 - Notional General Income'!M50/'WK2 - Notional General Income'!E50)</f>
        <v>.</v>
      </c>
      <c r="F139" s="557" t="str">
        <f>IF('WK3 - Notional GI Yr1 YIELD'!M50=".",".",'WK3 - Notional GI Yr1 YIELD'!M50/'WK3 - Notional GI Yr1 YIELD'!E50)</f>
        <v>.</v>
      </c>
      <c r="G139" s="578"/>
      <c r="H139" s="578"/>
      <c r="I139" s="578"/>
      <c r="J139" s="578"/>
      <c r="K139" s="578"/>
      <c r="L139" s="578"/>
      <c r="M139" s="220"/>
      <c r="N139" s="3"/>
      <c r="O139" s="655">
        <f>'WK2 - Notional General Income'!$E50</f>
        <v>0</v>
      </c>
      <c r="P139" s="657">
        <f>'WK3 - Notional GI Yr1 YIELD'!$E50</f>
        <v>0</v>
      </c>
      <c r="Q139" s="3"/>
      <c r="R139" s="212"/>
      <c r="S139" s="699" t="str">
        <f t="shared" si="73"/>
        <v>.</v>
      </c>
      <c r="T139" s="700" t="str">
        <f t="shared" si="54"/>
        <v>.</v>
      </c>
      <c r="U139" s="700" t="str">
        <f t="shared" si="86"/>
        <v>.</v>
      </c>
      <c r="V139" s="700" t="str">
        <f t="shared" si="87"/>
        <v>.</v>
      </c>
      <c r="W139" s="700" t="str">
        <f t="shared" si="88"/>
        <v>.</v>
      </c>
      <c r="X139" s="700" t="str">
        <f t="shared" si="89"/>
        <v>.</v>
      </c>
      <c r="Y139" s="701" t="str">
        <f t="shared" si="90"/>
        <v>.</v>
      </c>
      <c r="Z139" s="3"/>
      <c r="AA139" s="985" t="str">
        <f t="shared" si="83"/>
        <v>.</v>
      </c>
      <c r="AB139" s="702" t="str">
        <f t="shared" si="61"/>
        <v>.</v>
      </c>
      <c r="AC139" s="702" t="str">
        <f t="shared" si="84"/>
        <v>.</v>
      </c>
      <c r="AD139" s="702" t="str">
        <f t="shared" si="63"/>
        <v>.</v>
      </c>
      <c r="AE139" s="702" t="str">
        <f t="shared" si="64"/>
        <v>.</v>
      </c>
      <c r="AF139" s="702" t="str">
        <f t="shared" si="65"/>
        <v>.</v>
      </c>
      <c r="AG139" s="986" t="str">
        <f t="shared" si="66"/>
        <v>.</v>
      </c>
      <c r="AH139" s="3"/>
      <c r="AI139" s="699" t="str">
        <f>IF(S139=".",".",SUM($S139:S139))</f>
        <v>.</v>
      </c>
      <c r="AJ139" s="700" t="str">
        <f>IF(T139=".",".",SUM($S139:T139))</f>
        <v>.</v>
      </c>
      <c r="AK139" s="700" t="str">
        <f>IF(U139=".",".",SUM($S139:U139))</f>
        <v>.</v>
      </c>
      <c r="AL139" s="700" t="str">
        <f>IF(V139=".",".",SUM($S139:V139))</f>
        <v>.</v>
      </c>
      <c r="AM139" s="700" t="str">
        <f>IF(W139=".",".",SUM($S139:W139))</f>
        <v>.</v>
      </c>
      <c r="AN139" s="700" t="str">
        <f>IF(X139=".",".",SUM($S139:X139))</f>
        <v>.</v>
      </c>
      <c r="AO139" s="701" t="str">
        <f>IF(Y139=".",".",SUM($S139:Y139))</f>
        <v>.</v>
      </c>
      <c r="AP139" s="3"/>
      <c r="AQ139" s="985" t="str">
        <f t="shared" si="74"/>
        <v>.</v>
      </c>
      <c r="AR139" s="702" t="str">
        <f t="shared" si="67"/>
        <v>.</v>
      </c>
      <c r="AS139" s="702" t="str">
        <f t="shared" si="68"/>
        <v>.</v>
      </c>
      <c r="AT139" s="702" t="str">
        <f t="shared" si="69"/>
        <v>.</v>
      </c>
      <c r="AU139" s="702" t="str">
        <f t="shared" si="70"/>
        <v>.</v>
      </c>
      <c r="AV139" s="702" t="str">
        <f t="shared" si="71"/>
        <v>.</v>
      </c>
      <c r="AW139" s="986" t="str">
        <f t="shared" si="72"/>
        <v>.</v>
      </c>
      <c r="AX139" s="214"/>
      <c r="AY139" s="3"/>
      <c r="AZ139" s="3"/>
      <c r="BA139" s="3"/>
      <c r="BB139" s="3"/>
    </row>
    <row r="140" spans="1:54" ht="12" x14ac:dyDescent="0.25">
      <c r="A140" s="3"/>
      <c r="B140" s="212"/>
      <c r="C140" s="278" t="s">
        <v>718</v>
      </c>
      <c r="D140" s="279" t="str">
        <f>IF('WK2 - Notional General Income'!D51="","",'WK2 - Notional General Income'!D51)</f>
        <v/>
      </c>
      <c r="E140" s="557" t="str">
        <f>IF('WK2 - Notional General Income'!M51=".",".",'WK2 - Notional General Income'!M51/'WK2 - Notional General Income'!E51)</f>
        <v>.</v>
      </c>
      <c r="F140" s="557" t="str">
        <f>IF('WK3 - Notional GI Yr1 YIELD'!M51=".",".",'WK3 - Notional GI Yr1 YIELD'!M51/'WK3 - Notional GI Yr1 YIELD'!E51)</f>
        <v>.</v>
      </c>
      <c r="G140" s="578"/>
      <c r="H140" s="578"/>
      <c r="I140" s="578"/>
      <c r="J140" s="578"/>
      <c r="K140" s="578"/>
      <c r="L140" s="578"/>
      <c r="M140" s="220"/>
      <c r="N140" s="3"/>
      <c r="O140" s="655">
        <f>'WK2 - Notional General Income'!$E51</f>
        <v>0</v>
      </c>
      <c r="P140" s="657">
        <f>'WK3 - Notional GI Yr1 YIELD'!$E51</f>
        <v>0</v>
      </c>
      <c r="Q140" s="3"/>
      <c r="R140" s="212"/>
      <c r="S140" s="699" t="str">
        <f t="shared" si="73"/>
        <v>.</v>
      </c>
      <c r="T140" s="700" t="str">
        <f t="shared" si="54"/>
        <v>.</v>
      </c>
      <c r="U140" s="700" t="str">
        <f t="shared" si="86"/>
        <v>.</v>
      </c>
      <c r="V140" s="700" t="str">
        <f t="shared" si="87"/>
        <v>.</v>
      </c>
      <c r="W140" s="700" t="str">
        <f t="shared" si="88"/>
        <v>.</v>
      </c>
      <c r="X140" s="700" t="str">
        <f t="shared" si="89"/>
        <v>.</v>
      </c>
      <c r="Y140" s="701" t="str">
        <f t="shared" si="90"/>
        <v>.</v>
      </c>
      <c r="Z140" s="3"/>
      <c r="AA140" s="985" t="str">
        <f t="shared" si="83"/>
        <v>.</v>
      </c>
      <c r="AB140" s="702" t="str">
        <f t="shared" si="61"/>
        <v>.</v>
      </c>
      <c r="AC140" s="702" t="str">
        <f t="shared" si="84"/>
        <v>.</v>
      </c>
      <c r="AD140" s="702" t="str">
        <f t="shared" si="63"/>
        <v>.</v>
      </c>
      <c r="AE140" s="702" t="str">
        <f t="shared" si="64"/>
        <v>.</v>
      </c>
      <c r="AF140" s="702" t="str">
        <f t="shared" si="65"/>
        <v>.</v>
      </c>
      <c r="AG140" s="986" t="str">
        <f t="shared" si="66"/>
        <v>.</v>
      </c>
      <c r="AH140" s="3"/>
      <c r="AI140" s="699" t="str">
        <f>IF(S140=".",".",SUM($S140:S140))</f>
        <v>.</v>
      </c>
      <c r="AJ140" s="700" t="str">
        <f>IF(T140=".",".",SUM($S140:T140))</f>
        <v>.</v>
      </c>
      <c r="AK140" s="700" t="str">
        <f>IF(U140=".",".",SUM($S140:U140))</f>
        <v>.</v>
      </c>
      <c r="AL140" s="700" t="str">
        <f>IF(V140=".",".",SUM($S140:V140))</f>
        <v>.</v>
      </c>
      <c r="AM140" s="700" t="str">
        <f>IF(W140=".",".",SUM($S140:W140))</f>
        <v>.</v>
      </c>
      <c r="AN140" s="700" t="str">
        <f>IF(X140=".",".",SUM($S140:X140))</f>
        <v>.</v>
      </c>
      <c r="AO140" s="701" t="str">
        <f>IF(Y140=".",".",SUM($S140:Y140))</f>
        <v>.</v>
      </c>
      <c r="AP140" s="3"/>
      <c r="AQ140" s="985" t="str">
        <f t="shared" si="74"/>
        <v>.</v>
      </c>
      <c r="AR140" s="702" t="str">
        <f t="shared" si="67"/>
        <v>.</v>
      </c>
      <c r="AS140" s="702" t="str">
        <f t="shared" si="68"/>
        <v>.</v>
      </c>
      <c r="AT140" s="702" t="str">
        <f t="shared" si="69"/>
        <v>.</v>
      </c>
      <c r="AU140" s="702" t="str">
        <f t="shared" si="70"/>
        <v>.</v>
      </c>
      <c r="AV140" s="702" t="str">
        <f t="shared" si="71"/>
        <v>.</v>
      </c>
      <c r="AW140" s="986" t="str">
        <f t="shared" si="72"/>
        <v>.</v>
      </c>
      <c r="AX140" s="214"/>
      <c r="AY140" s="3"/>
      <c r="AZ140" s="3"/>
      <c r="BA140" s="3"/>
      <c r="BB140" s="3"/>
    </row>
    <row r="141" spans="1:54" ht="12" x14ac:dyDescent="0.25">
      <c r="A141" s="3"/>
      <c r="B141" s="212"/>
      <c r="C141" s="278" t="s">
        <v>718</v>
      </c>
      <c r="D141" s="279" t="str">
        <f>IF('WK2 - Notional General Income'!D52="","",'WK2 - Notional General Income'!D52)</f>
        <v/>
      </c>
      <c r="E141" s="557" t="str">
        <f>IF('WK2 - Notional General Income'!M52=".",".",'WK2 - Notional General Income'!M52/'WK2 - Notional General Income'!E52)</f>
        <v>.</v>
      </c>
      <c r="F141" s="557" t="str">
        <f>IF('WK3 - Notional GI Yr1 YIELD'!M52=".",".",'WK3 - Notional GI Yr1 YIELD'!M52/'WK3 - Notional GI Yr1 YIELD'!E52)</f>
        <v>.</v>
      </c>
      <c r="G141" s="578"/>
      <c r="H141" s="578"/>
      <c r="I141" s="578"/>
      <c r="J141" s="578"/>
      <c r="K141" s="578"/>
      <c r="L141" s="578"/>
      <c r="M141" s="220"/>
      <c r="N141" s="3"/>
      <c r="O141" s="655">
        <f>'WK2 - Notional General Income'!$E52</f>
        <v>0</v>
      </c>
      <c r="P141" s="657">
        <f>'WK3 - Notional GI Yr1 YIELD'!$E52</f>
        <v>0</v>
      </c>
      <c r="Q141" s="3"/>
      <c r="R141" s="212"/>
      <c r="S141" s="699" t="str">
        <f t="shared" si="73"/>
        <v>.</v>
      </c>
      <c r="T141" s="700" t="str">
        <f t="shared" si="54"/>
        <v>.</v>
      </c>
      <c r="U141" s="700" t="str">
        <f t="shared" si="86"/>
        <v>.</v>
      </c>
      <c r="V141" s="700" t="str">
        <f t="shared" si="87"/>
        <v>.</v>
      </c>
      <c r="W141" s="700" t="str">
        <f t="shared" si="88"/>
        <v>.</v>
      </c>
      <c r="X141" s="700" t="str">
        <f t="shared" si="89"/>
        <v>.</v>
      </c>
      <c r="Y141" s="701" t="str">
        <f t="shared" si="90"/>
        <v>.</v>
      </c>
      <c r="Z141" s="3"/>
      <c r="AA141" s="985" t="str">
        <f t="shared" si="83"/>
        <v>.</v>
      </c>
      <c r="AB141" s="702" t="str">
        <f t="shared" si="61"/>
        <v>.</v>
      </c>
      <c r="AC141" s="702" t="str">
        <f t="shared" si="84"/>
        <v>.</v>
      </c>
      <c r="AD141" s="702" t="str">
        <f t="shared" si="63"/>
        <v>.</v>
      </c>
      <c r="AE141" s="702" t="str">
        <f t="shared" si="64"/>
        <v>.</v>
      </c>
      <c r="AF141" s="702" t="str">
        <f t="shared" si="65"/>
        <v>.</v>
      </c>
      <c r="AG141" s="986" t="str">
        <f t="shared" si="66"/>
        <v>.</v>
      </c>
      <c r="AH141" s="3"/>
      <c r="AI141" s="699" t="str">
        <f>IF(S141=".",".",SUM($S141:S141))</f>
        <v>.</v>
      </c>
      <c r="AJ141" s="700" t="str">
        <f>IF(T141=".",".",SUM($S141:T141))</f>
        <v>.</v>
      </c>
      <c r="AK141" s="700" t="str">
        <f>IF(U141=".",".",SUM($S141:U141))</f>
        <v>.</v>
      </c>
      <c r="AL141" s="700" t="str">
        <f>IF(V141=".",".",SUM($S141:V141))</f>
        <v>.</v>
      </c>
      <c r="AM141" s="700" t="str">
        <f>IF(W141=".",".",SUM($S141:W141))</f>
        <v>.</v>
      </c>
      <c r="AN141" s="700" t="str">
        <f>IF(X141=".",".",SUM($S141:X141))</f>
        <v>.</v>
      </c>
      <c r="AO141" s="701" t="str">
        <f>IF(Y141=".",".",SUM($S141:Y141))</f>
        <v>.</v>
      </c>
      <c r="AP141" s="3"/>
      <c r="AQ141" s="985" t="str">
        <f t="shared" si="74"/>
        <v>.</v>
      </c>
      <c r="AR141" s="702" t="str">
        <f t="shared" si="67"/>
        <v>.</v>
      </c>
      <c r="AS141" s="702" t="str">
        <f t="shared" si="68"/>
        <v>.</v>
      </c>
      <c r="AT141" s="702" t="str">
        <f t="shared" si="69"/>
        <v>.</v>
      </c>
      <c r="AU141" s="702" t="str">
        <f t="shared" si="70"/>
        <v>.</v>
      </c>
      <c r="AV141" s="702" t="str">
        <f t="shared" si="71"/>
        <v>.</v>
      </c>
      <c r="AW141" s="986" t="str">
        <f t="shared" si="72"/>
        <v>.</v>
      </c>
      <c r="AX141" s="214"/>
      <c r="AY141" s="3"/>
      <c r="AZ141" s="3"/>
      <c r="BA141" s="3"/>
      <c r="BB141" s="3"/>
    </row>
    <row r="142" spans="1:54" ht="12" x14ac:dyDescent="0.25">
      <c r="A142" s="3"/>
      <c r="B142" s="212"/>
      <c r="C142" s="278" t="s">
        <v>718</v>
      </c>
      <c r="D142" s="279" t="str">
        <f>IF('WK2 - Notional General Income'!D53="","",'WK2 - Notional General Income'!D53)</f>
        <v/>
      </c>
      <c r="E142" s="557" t="str">
        <f>IF('WK2 - Notional General Income'!M53=".",".",'WK2 - Notional General Income'!M53/'WK2 - Notional General Income'!E53)</f>
        <v>.</v>
      </c>
      <c r="F142" s="557" t="str">
        <f>IF('WK3 - Notional GI Yr1 YIELD'!M53=".",".",'WK3 - Notional GI Yr1 YIELD'!M53/'WK3 - Notional GI Yr1 YIELD'!E53)</f>
        <v>.</v>
      </c>
      <c r="G142" s="578"/>
      <c r="H142" s="578"/>
      <c r="I142" s="578"/>
      <c r="J142" s="578"/>
      <c r="K142" s="578"/>
      <c r="L142" s="578"/>
      <c r="M142" s="220"/>
      <c r="N142" s="3"/>
      <c r="O142" s="655">
        <f>'WK2 - Notional General Income'!$E53</f>
        <v>0</v>
      </c>
      <c r="P142" s="657">
        <f>'WK3 - Notional GI Yr1 YIELD'!$E53</f>
        <v>0</v>
      </c>
      <c r="Q142" s="3"/>
      <c r="R142" s="212"/>
      <c r="S142" s="699" t="str">
        <f t="shared" si="73"/>
        <v>.</v>
      </c>
      <c r="T142" s="700" t="str">
        <f t="shared" si="54"/>
        <v>.</v>
      </c>
      <c r="U142" s="700" t="str">
        <f t="shared" si="86"/>
        <v>.</v>
      </c>
      <c r="V142" s="700" t="str">
        <f t="shared" si="87"/>
        <v>.</v>
      </c>
      <c r="W142" s="700" t="str">
        <f t="shared" si="88"/>
        <v>.</v>
      </c>
      <c r="X142" s="700" t="str">
        <f t="shared" si="89"/>
        <v>.</v>
      </c>
      <c r="Y142" s="701" t="str">
        <f t="shared" si="90"/>
        <v>.</v>
      </c>
      <c r="Z142" s="3"/>
      <c r="AA142" s="985" t="str">
        <f t="shared" si="83"/>
        <v>.</v>
      </c>
      <c r="AB142" s="702" t="str">
        <f t="shared" si="61"/>
        <v>.</v>
      </c>
      <c r="AC142" s="702" t="str">
        <f t="shared" si="84"/>
        <v>.</v>
      </c>
      <c r="AD142" s="702" t="str">
        <f t="shared" si="63"/>
        <v>.</v>
      </c>
      <c r="AE142" s="702" t="str">
        <f t="shared" si="64"/>
        <v>.</v>
      </c>
      <c r="AF142" s="702" t="str">
        <f t="shared" si="65"/>
        <v>.</v>
      </c>
      <c r="AG142" s="986" t="str">
        <f t="shared" si="66"/>
        <v>.</v>
      </c>
      <c r="AH142" s="3"/>
      <c r="AI142" s="699" t="str">
        <f>IF(S142=".",".",SUM($S142:S142))</f>
        <v>.</v>
      </c>
      <c r="AJ142" s="700" t="str">
        <f>IF(T142=".",".",SUM($S142:T142))</f>
        <v>.</v>
      </c>
      <c r="AK142" s="700" t="str">
        <f>IF(U142=".",".",SUM($S142:U142))</f>
        <v>.</v>
      </c>
      <c r="AL142" s="700" t="str">
        <f>IF(V142=".",".",SUM($S142:V142))</f>
        <v>.</v>
      </c>
      <c r="AM142" s="700" t="str">
        <f>IF(W142=".",".",SUM($S142:W142))</f>
        <v>.</v>
      </c>
      <c r="AN142" s="700" t="str">
        <f>IF(X142=".",".",SUM($S142:X142))</f>
        <v>.</v>
      </c>
      <c r="AO142" s="701" t="str">
        <f>IF(Y142=".",".",SUM($S142:Y142))</f>
        <v>.</v>
      </c>
      <c r="AP142" s="3"/>
      <c r="AQ142" s="985" t="str">
        <f t="shared" si="74"/>
        <v>.</v>
      </c>
      <c r="AR142" s="702" t="str">
        <f t="shared" si="67"/>
        <v>.</v>
      </c>
      <c r="AS142" s="702" t="str">
        <f t="shared" si="68"/>
        <v>.</v>
      </c>
      <c r="AT142" s="702" t="str">
        <f t="shared" si="69"/>
        <v>.</v>
      </c>
      <c r="AU142" s="702" t="str">
        <f t="shared" si="70"/>
        <v>.</v>
      </c>
      <c r="AV142" s="702" t="str">
        <f t="shared" si="71"/>
        <v>.</v>
      </c>
      <c r="AW142" s="986" t="str">
        <f t="shared" si="72"/>
        <v>.</v>
      </c>
      <c r="AX142" s="214"/>
      <c r="AY142" s="3"/>
      <c r="AZ142" s="3"/>
      <c r="BA142" s="3"/>
      <c r="BB142" s="3"/>
    </row>
    <row r="143" spans="1:54" ht="12" x14ac:dyDescent="0.25">
      <c r="A143" s="3"/>
      <c r="B143" s="212"/>
      <c r="C143" s="278" t="s">
        <v>718</v>
      </c>
      <c r="D143" s="279" t="str">
        <f>IF('WK2 - Notional General Income'!D54="","",'WK2 - Notional General Income'!D54)</f>
        <v/>
      </c>
      <c r="E143" s="557" t="str">
        <f>IF('WK2 - Notional General Income'!M54=".",".",'WK2 - Notional General Income'!M54/'WK2 - Notional General Income'!E54)</f>
        <v>.</v>
      </c>
      <c r="F143" s="557" t="str">
        <f>IF('WK3 - Notional GI Yr1 YIELD'!M54=".",".",'WK3 - Notional GI Yr1 YIELD'!M54/'WK3 - Notional GI Yr1 YIELD'!E54)</f>
        <v>.</v>
      </c>
      <c r="G143" s="578"/>
      <c r="H143" s="578"/>
      <c r="I143" s="578"/>
      <c r="J143" s="578"/>
      <c r="K143" s="578"/>
      <c r="L143" s="578"/>
      <c r="M143" s="220"/>
      <c r="N143" s="3"/>
      <c r="O143" s="655">
        <f>'WK2 - Notional General Income'!$E54</f>
        <v>0</v>
      </c>
      <c r="P143" s="657">
        <f>'WK3 - Notional GI Yr1 YIELD'!$E54</f>
        <v>0</v>
      </c>
      <c r="Q143" s="3"/>
      <c r="R143" s="212"/>
      <c r="S143" s="699" t="str">
        <f t="shared" si="73"/>
        <v>.</v>
      </c>
      <c r="T143" s="700" t="str">
        <f t="shared" si="54"/>
        <v>.</v>
      </c>
      <c r="U143" s="700" t="str">
        <f t="shared" si="86"/>
        <v>.</v>
      </c>
      <c r="V143" s="700" t="str">
        <f t="shared" si="87"/>
        <v>.</v>
      </c>
      <c r="W143" s="700" t="str">
        <f t="shared" si="88"/>
        <v>.</v>
      </c>
      <c r="X143" s="700" t="str">
        <f t="shared" si="89"/>
        <v>.</v>
      </c>
      <c r="Y143" s="701" t="str">
        <f t="shared" si="90"/>
        <v>.</v>
      </c>
      <c r="Z143" s="3"/>
      <c r="AA143" s="985" t="str">
        <f t="shared" si="83"/>
        <v>.</v>
      </c>
      <c r="AB143" s="702" t="str">
        <f t="shared" si="61"/>
        <v>.</v>
      </c>
      <c r="AC143" s="702" t="str">
        <f t="shared" si="84"/>
        <v>.</v>
      </c>
      <c r="AD143" s="702" t="str">
        <f t="shared" si="63"/>
        <v>.</v>
      </c>
      <c r="AE143" s="702" t="str">
        <f t="shared" si="64"/>
        <v>.</v>
      </c>
      <c r="AF143" s="702" t="str">
        <f t="shared" si="65"/>
        <v>.</v>
      </c>
      <c r="AG143" s="986" t="str">
        <f t="shared" si="66"/>
        <v>.</v>
      </c>
      <c r="AH143" s="3"/>
      <c r="AI143" s="699" t="str">
        <f>IF(S143=".",".",SUM($S143:S143))</f>
        <v>.</v>
      </c>
      <c r="AJ143" s="700" t="str">
        <f>IF(T143=".",".",SUM($S143:T143))</f>
        <v>.</v>
      </c>
      <c r="AK143" s="700" t="str">
        <f>IF(U143=".",".",SUM($S143:U143))</f>
        <v>.</v>
      </c>
      <c r="AL143" s="700" t="str">
        <f>IF(V143=".",".",SUM($S143:V143))</f>
        <v>.</v>
      </c>
      <c r="AM143" s="700" t="str">
        <f>IF(W143=".",".",SUM($S143:W143))</f>
        <v>.</v>
      </c>
      <c r="AN143" s="700" t="str">
        <f>IF(X143=".",".",SUM($S143:X143))</f>
        <v>.</v>
      </c>
      <c r="AO143" s="701" t="str">
        <f>IF(Y143=".",".",SUM($S143:Y143))</f>
        <v>.</v>
      </c>
      <c r="AP143" s="3"/>
      <c r="AQ143" s="985" t="str">
        <f t="shared" si="74"/>
        <v>.</v>
      </c>
      <c r="AR143" s="702" t="str">
        <f t="shared" si="67"/>
        <v>.</v>
      </c>
      <c r="AS143" s="702" t="str">
        <f t="shared" si="68"/>
        <v>.</v>
      </c>
      <c r="AT143" s="702" t="str">
        <f t="shared" si="69"/>
        <v>.</v>
      </c>
      <c r="AU143" s="702" t="str">
        <f t="shared" si="70"/>
        <v>.</v>
      </c>
      <c r="AV143" s="702" t="str">
        <f t="shared" si="71"/>
        <v>.</v>
      </c>
      <c r="AW143" s="986" t="str">
        <f t="shared" si="72"/>
        <v>.</v>
      </c>
      <c r="AX143" s="214"/>
      <c r="AY143" s="3"/>
      <c r="AZ143" s="3"/>
      <c r="BA143" s="3"/>
      <c r="BB143" s="3"/>
    </row>
    <row r="144" spans="1:54" ht="12" x14ac:dyDescent="0.25">
      <c r="A144" s="3"/>
      <c r="B144" s="212"/>
      <c r="C144" s="278" t="s">
        <v>718</v>
      </c>
      <c r="D144" s="279" t="str">
        <f>IF('WK2 - Notional General Income'!D55="","",'WK2 - Notional General Income'!D55)</f>
        <v/>
      </c>
      <c r="E144" s="557" t="str">
        <f>IF('WK2 - Notional General Income'!M55=".",".",'WK2 - Notional General Income'!M55/'WK2 - Notional General Income'!E55)</f>
        <v>.</v>
      </c>
      <c r="F144" s="557" t="str">
        <f>IF('WK3 - Notional GI Yr1 YIELD'!M55=".",".",'WK3 - Notional GI Yr1 YIELD'!M55/'WK3 - Notional GI Yr1 YIELD'!E55)</f>
        <v>.</v>
      </c>
      <c r="G144" s="578"/>
      <c r="H144" s="578"/>
      <c r="I144" s="578"/>
      <c r="J144" s="578"/>
      <c r="K144" s="578"/>
      <c r="L144" s="578"/>
      <c r="M144" s="220"/>
      <c r="N144" s="3"/>
      <c r="O144" s="655">
        <f>'WK2 - Notional General Income'!$E55</f>
        <v>0</v>
      </c>
      <c r="P144" s="657">
        <f>'WK3 - Notional GI Yr1 YIELD'!$E55</f>
        <v>0</v>
      </c>
      <c r="Q144" s="3"/>
      <c r="R144" s="212"/>
      <c r="S144" s="699" t="str">
        <f t="shared" si="73"/>
        <v>.</v>
      </c>
      <c r="T144" s="700" t="str">
        <f t="shared" si="54"/>
        <v>.</v>
      </c>
      <c r="U144" s="700" t="str">
        <f t="shared" si="86"/>
        <v>.</v>
      </c>
      <c r="V144" s="700" t="str">
        <f t="shared" si="87"/>
        <v>.</v>
      </c>
      <c r="W144" s="700" t="str">
        <f t="shared" si="88"/>
        <v>.</v>
      </c>
      <c r="X144" s="700" t="str">
        <f t="shared" si="89"/>
        <v>.</v>
      </c>
      <c r="Y144" s="701" t="str">
        <f t="shared" si="90"/>
        <v>.</v>
      </c>
      <c r="Z144" s="3"/>
      <c r="AA144" s="985" t="str">
        <f t="shared" si="83"/>
        <v>.</v>
      </c>
      <c r="AB144" s="702" t="str">
        <f t="shared" si="61"/>
        <v>.</v>
      </c>
      <c r="AC144" s="702" t="str">
        <f t="shared" si="84"/>
        <v>.</v>
      </c>
      <c r="AD144" s="702" t="str">
        <f t="shared" si="63"/>
        <v>.</v>
      </c>
      <c r="AE144" s="702" t="str">
        <f t="shared" si="64"/>
        <v>.</v>
      </c>
      <c r="AF144" s="702" t="str">
        <f t="shared" si="65"/>
        <v>.</v>
      </c>
      <c r="AG144" s="986" t="str">
        <f t="shared" si="66"/>
        <v>.</v>
      </c>
      <c r="AH144" s="3"/>
      <c r="AI144" s="699" t="str">
        <f>IF(S144=".",".",SUM($S144:S144))</f>
        <v>.</v>
      </c>
      <c r="AJ144" s="700" t="str">
        <f>IF(T144=".",".",SUM($S144:T144))</f>
        <v>.</v>
      </c>
      <c r="AK144" s="700" t="str">
        <f>IF(U144=".",".",SUM($S144:U144))</f>
        <v>.</v>
      </c>
      <c r="AL144" s="700" t="str">
        <f>IF(V144=".",".",SUM($S144:V144))</f>
        <v>.</v>
      </c>
      <c r="AM144" s="700" t="str">
        <f>IF(W144=".",".",SUM($S144:W144))</f>
        <v>.</v>
      </c>
      <c r="AN144" s="700" t="str">
        <f>IF(X144=".",".",SUM($S144:X144))</f>
        <v>.</v>
      </c>
      <c r="AO144" s="701" t="str">
        <f>IF(Y144=".",".",SUM($S144:Y144))</f>
        <v>.</v>
      </c>
      <c r="AP144" s="3"/>
      <c r="AQ144" s="985" t="str">
        <f t="shared" si="74"/>
        <v>.</v>
      </c>
      <c r="AR144" s="702" t="str">
        <f t="shared" si="67"/>
        <v>.</v>
      </c>
      <c r="AS144" s="702" t="str">
        <f t="shared" si="68"/>
        <v>.</v>
      </c>
      <c r="AT144" s="702" t="str">
        <f t="shared" si="69"/>
        <v>.</v>
      </c>
      <c r="AU144" s="702" t="str">
        <f t="shared" si="70"/>
        <v>.</v>
      </c>
      <c r="AV144" s="702" t="str">
        <f t="shared" si="71"/>
        <v>.</v>
      </c>
      <c r="AW144" s="986" t="str">
        <f t="shared" si="72"/>
        <v>.</v>
      </c>
      <c r="AX144" s="214"/>
      <c r="AY144" s="3"/>
      <c r="AZ144" s="3"/>
      <c r="BA144" s="3"/>
      <c r="BB144" s="3"/>
    </row>
    <row r="145" spans="1:54" ht="12" x14ac:dyDescent="0.25">
      <c r="A145" s="3"/>
      <c r="B145" s="212"/>
      <c r="C145" s="278" t="s">
        <v>718</v>
      </c>
      <c r="D145" s="279" t="str">
        <f>IF('WK2 - Notional General Income'!D56="","",'WK2 - Notional General Income'!D56)</f>
        <v/>
      </c>
      <c r="E145" s="557" t="str">
        <f>IF('WK2 - Notional General Income'!M56=".",".",'WK2 - Notional General Income'!M56/'WK2 - Notional General Income'!E56)</f>
        <v>.</v>
      </c>
      <c r="F145" s="557" t="str">
        <f>IF('WK3 - Notional GI Yr1 YIELD'!M56=".",".",'WK3 - Notional GI Yr1 YIELD'!M56/'WK3 - Notional GI Yr1 YIELD'!E56)</f>
        <v>.</v>
      </c>
      <c r="G145" s="578"/>
      <c r="H145" s="578"/>
      <c r="I145" s="578"/>
      <c r="J145" s="578"/>
      <c r="K145" s="578"/>
      <c r="L145" s="578"/>
      <c r="M145" s="220"/>
      <c r="N145" s="3"/>
      <c r="O145" s="655">
        <f>'WK2 - Notional General Income'!$E56</f>
        <v>0</v>
      </c>
      <c r="P145" s="657">
        <f>'WK3 - Notional GI Yr1 YIELD'!$E56</f>
        <v>0</v>
      </c>
      <c r="Q145" s="3"/>
      <c r="R145" s="212"/>
      <c r="S145" s="699" t="str">
        <f t="shared" si="73"/>
        <v>.</v>
      </c>
      <c r="T145" s="700" t="str">
        <f t="shared" si="54"/>
        <v>.</v>
      </c>
      <c r="U145" s="700" t="str">
        <f t="shared" si="86"/>
        <v>.</v>
      </c>
      <c r="V145" s="700" t="str">
        <f t="shared" si="87"/>
        <v>.</v>
      </c>
      <c r="W145" s="700" t="str">
        <f t="shared" si="88"/>
        <v>.</v>
      </c>
      <c r="X145" s="700" t="str">
        <f t="shared" si="89"/>
        <v>.</v>
      </c>
      <c r="Y145" s="701" t="str">
        <f t="shared" si="90"/>
        <v>.</v>
      </c>
      <c r="Z145" s="3"/>
      <c r="AA145" s="985" t="str">
        <f t="shared" si="83"/>
        <v>.</v>
      </c>
      <c r="AB145" s="702" t="str">
        <f t="shared" si="61"/>
        <v>.</v>
      </c>
      <c r="AC145" s="702" t="str">
        <f t="shared" si="84"/>
        <v>.</v>
      </c>
      <c r="AD145" s="702" t="str">
        <f t="shared" si="63"/>
        <v>.</v>
      </c>
      <c r="AE145" s="702" t="str">
        <f t="shared" si="64"/>
        <v>.</v>
      </c>
      <c r="AF145" s="702" t="str">
        <f t="shared" si="65"/>
        <v>.</v>
      </c>
      <c r="AG145" s="986" t="str">
        <f t="shared" si="66"/>
        <v>.</v>
      </c>
      <c r="AH145" s="3"/>
      <c r="AI145" s="699" t="str">
        <f>IF(S145=".",".",SUM($S145:S145))</f>
        <v>.</v>
      </c>
      <c r="AJ145" s="700" t="str">
        <f>IF(T145=".",".",SUM($S145:T145))</f>
        <v>.</v>
      </c>
      <c r="AK145" s="700" t="str">
        <f>IF(U145=".",".",SUM($S145:U145))</f>
        <v>.</v>
      </c>
      <c r="AL145" s="700" t="str">
        <f>IF(V145=".",".",SUM($S145:V145))</f>
        <v>.</v>
      </c>
      <c r="AM145" s="700" t="str">
        <f>IF(W145=".",".",SUM($S145:W145))</f>
        <v>.</v>
      </c>
      <c r="AN145" s="700" t="str">
        <f>IF(X145=".",".",SUM($S145:X145))</f>
        <v>.</v>
      </c>
      <c r="AO145" s="701" t="str">
        <f>IF(Y145=".",".",SUM($S145:Y145))</f>
        <v>.</v>
      </c>
      <c r="AP145" s="3"/>
      <c r="AQ145" s="985" t="str">
        <f t="shared" si="74"/>
        <v>.</v>
      </c>
      <c r="AR145" s="702" t="str">
        <f t="shared" si="67"/>
        <v>.</v>
      </c>
      <c r="AS145" s="702" t="str">
        <f t="shared" si="68"/>
        <v>.</v>
      </c>
      <c r="AT145" s="702" t="str">
        <f t="shared" si="69"/>
        <v>.</v>
      </c>
      <c r="AU145" s="702" t="str">
        <f t="shared" si="70"/>
        <v>.</v>
      </c>
      <c r="AV145" s="702" t="str">
        <f t="shared" si="71"/>
        <v>.</v>
      </c>
      <c r="AW145" s="986" t="str">
        <f t="shared" si="72"/>
        <v>.</v>
      </c>
      <c r="AX145" s="214"/>
      <c r="AY145" s="3"/>
      <c r="AZ145" s="3"/>
      <c r="BA145" s="3"/>
      <c r="BB145" s="3"/>
    </row>
    <row r="146" spans="1:54" ht="12" x14ac:dyDescent="0.25">
      <c r="A146" s="3"/>
      <c r="B146" s="212"/>
      <c r="C146" s="278" t="s">
        <v>718</v>
      </c>
      <c r="D146" s="279" t="str">
        <f>IF('WK2 - Notional General Income'!D57="","",'WK2 - Notional General Income'!D57)</f>
        <v/>
      </c>
      <c r="E146" s="557" t="str">
        <f>IF('WK2 - Notional General Income'!M57=".",".",'WK2 - Notional General Income'!M57/'WK2 - Notional General Income'!E57)</f>
        <v>.</v>
      </c>
      <c r="F146" s="557" t="str">
        <f>IF('WK3 - Notional GI Yr1 YIELD'!M57=".",".",'WK3 - Notional GI Yr1 YIELD'!M57/'WK3 - Notional GI Yr1 YIELD'!E57)</f>
        <v>.</v>
      </c>
      <c r="G146" s="578"/>
      <c r="H146" s="578"/>
      <c r="I146" s="578"/>
      <c r="J146" s="578"/>
      <c r="K146" s="578"/>
      <c r="L146" s="578"/>
      <c r="M146" s="220"/>
      <c r="N146" s="3"/>
      <c r="O146" s="655">
        <f>'WK2 - Notional General Income'!$E57</f>
        <v>0</v>
      </c>
      <c r="P146" s="657">
        <f>'WK3 - Notional GI Yr1 YIELD'!$E57</f>
        <v>0</v>
      </c>
      <c r="Q146" s="3"/>
      <c r="R146" s="212"/>
      <c r="S146" s="699" t="str">
        <f t="shared" si="73"/>
        <v>.</v>
      </c>
      <c r="T146" s="700" t="str">
        <f t="shared" si="54"/>
        <v>.</v>
      </c>
      <c r="U146" s="700" t="str">
        <f t="shared" si="86"/>
        <v>.</v>
      </c>
      <c r="V146" s="700" t="str">
        <f t="shared" si="87"/>
        <v>.</v>
      </c>
      <c r="W146" s="700" t="str">
        <f t="shared" si="88"/>
        <v>.</v>
      </c>
      <c r="X146" s="700" t="str">
        <f t="shared" si="89"/>
        <v>.</v>
      </c>
      <c r="Y146" s="701" t="str">
        <f t="shared" si="90"/>
        <v>.</v>
      </c>
      <c r="Z146" s="3"/>
      <c r="AA146" s="985" t="str">
        <f t="shared" si="83"/>
        <v>.</v>
      </c>
      <c r="AB146" s="702" t="str">
        <f t="shared" si="61"/>
        <v>.</v>
      </c>
      <c r="AC146" s="702" t="str">
        <f t="shared" si="84"/>
        <v>.</v>
      </c>
      <c r="AD146" s="702" t="str">
        <f t="shared" si="63"/>
        <v>.</v>
      </c>
      <c r="AE146" s="702" t="str">
        <f t="shared" si="64"/>
        <v>.</v>
      </c>
      <c r="AF146" s="702" t="str">
        <f t="shared" si="65"/>
        <v>.</v>
      </c>
      <c r="AG146" s="986" t="str">
        <f t="shared" si="66"/>
        <v>.</v>
      </c>
      <c r="AH146" s="3"/>
      <c r="AI146" s="699" t="str">
        <f>IF(S146=".",".",SUM($S146:S146))</f>
        <v>.</v>
      </c>
      <c r="AJ146" s="700" t="str">
        <f>IF(T146=".",".",SUM($S146:T146))</f>
        <v>.</v>
      </c>
      <c r="AK146" s="700" t="str">
        <f>IF(U146=".",".",SUM($S146:U146))</f>
        <v>.</v>
      </c>
      <c r="AL146" s="700" t="str">
        <f>IF(V146=".",".",SUM($S146:V146))</f>
        <v>.</v>
      </c>
      <c r="AM146" s="700" t="str">
        <f>IF(W146=".",".",SUM($S146:W146))</f>
        <v>.</v>
      </c>
      <c r="AN146" s="700" t="str">
        <f>IF(X146=".",".",SUM($S146:X146))</f>
        <v>.</v>
      </c>
      <c r="AO146" s="701" t="str">
        <f>IF(Y146=".",".",SUM($S146:Y146))</f>
        <v>.</v>
      </c>
      <c r="AP146" s="3"/>
      <c r="AQ146" s="985" t="str">
        <f t="shared" si="74"/>
        <v>.</v>
      </c>
      <c r="AR146" s="702" t="str">
        <f t="shared" si="67"/>
        <v>.</v>
      </c>
      <c r="AS146" s="702" t="str">
        <f t="shared" si="68"/>
        <v>.</v>
      </c>
      <c r="AT146" s="702" t="str">
        <f t="shared" si="69"/>
        <v>.</v>
      </c>
      <c r="AU146" s="702" t="str">
        <f t="shared" si="70"/>
        <v>.</v>
      </c>
      <c r="AV146" s="702" t="str">
        <f t="shared" si="71"/>
        <v>.</v>
      </c>
      <c r="AW146" s="986" t="str">
        <f t="shared" si="72"/>
        <v>.</v>
      </c>
      <c r="AX146" s="214"/>
      <c r="AY146" s="3"/>
      <c r="AZ146" s="3"/>
      <c r="BA146" s="3"/>
      <c r="BB146" s="3"/>
    </row>
    <row r="147" spans="1:54" ht="12" x14ac:dyDescent="0.25">
      <c r="A147" s="3"/>
      <c r="B147" s="212"/>
      <c r="C147" s="278" t="s">
        <v>718</v>
      </c>
      <c r="D147" s="279" t="str">
        <f>IF('WK2 - Notional General Income'!D58="","",'WK2 - Notional General Income'!D58)</f>
        <v/>
      </c>
      <c r="E147" s="557" t="str">
        <f>IF('WK2 - Notional General Income'!M58=".",".",'WK2 - Notional General Income'!M58/'WK2 - Notional General Income'!E58)</f>
        <v>.</v>
      </c>
      <c r="F147" s="557" t="str">
        <f>IF('WK3 - Notional GI Yr1 YIELD'!M58=".",".",'WK3 - Notional GI Yr1 YIELD'!M58/'WK3 - Notional GI Yr1 YIELD'!E58)</f>
        <v>.</v>
      </c>
      <c r="G147" s="578"/>
      <c r="H147" s="578"/>
      <c r="I147" s="578"/>
      <c r="J147" s="578"/>
      <c r="K147" s="578"/>
      <c r="L147" s="578"/>
      <c r="M147" s="220"/>
      <c r="N147" s="3"/>
      <c r="O147" s="655">
        <f>'WK2 - Notional General Income'!$E58</f>
        <v>0</v>
      </c>
      <c r="P147" s="657">
        <f>'WK3 - Notional GI Yr1 YIELD'!$E58</f>
        <v>0</v>
      </c>
      <c r="Q147" s="3"/>
      <c r="R147" s="212"/>
      <c r="S147" s="699" t="str">
        <f t="shared" si="73"/>
        <v>.</v>
      </c>
      <c r="T147" s="700" t="str">
        <f t="shared" si="54"/>
        <v>.</v>
      </c>
      <c r="U147" s="700" t="str">
        <f t="shared" si="86"/>
        <v>.</v>
      </c>
      <c r="V147" s="700" t="str">
        <f t="shared" si="87"/>
        <v>.</v>
      </c>
      <c r="W147" s="700" t="str">
        <f t="shared" si="88"/>
        <v>.</v>
      </c>
      <c r="X147" s="700" t="str">
        <f t="shared" si="89"/>
        <v>.</v>
      </c>
      <c r="Y147" s="701" t="str">
        <f t="shared" si="90"/>
        <v>.</v>
      </c>
      <c r="Z147" s="3"/>
      <c r="AA147" s="985" t="str">
        <f t="shared" si="83"/>
        <v>.</v>
      </c>
      <c r="AB147" s="702" t="str">
        <f t="shared" si="61"/>
        <v>.</v>
      </c>
      <c r="AC147" s="702" t="str">
        <f t="shared" si="84"/>
        <v>.</v>
      </c>
      <c r="AD147" s="702" t="str">
        <f t="shared" si="63"/>
        <v>.</v>
      </c>
      <c r="AE147" s="702" t="str">
        <f t="shared" si="64"/>
        <v>.</v>
      </c>
      <c r="AF147" s="702" t="str">
        <f t="shared" si="65"/>
        <v>.</v>
      </c>
      <c r="AG147" s="986" t="str">
        <f t="shared" si="66"/>
        <v>.</v>
      </c>
      <c r="AH147" s="3"/>
      <c r="AI147" s="699" t="str">
        <f>IF(S147=".",".",SUM($S147:S147))</f>
        <v>.</v>
      </c>
      <c r="AJ147" s="700" t="str">
        <f>IF(T147=".",".",SUM($S147:T147))</f>
        <v>.</v>
      </c>
      <c r="AK147" s="700" t="str">
        <f>IF(U147=".",".",SUM($S147:U147))</f>
        <v>.</v>
      </c>
      <c r="AL147" s="700" t="str">
        <f>IF(V147=".",".",SUM($S147:V147))</f>
        <v>.</v>
      </c>
      <c r="AM147" s="700" t="str">
        <f>IF(W147=".",".",SUM($S147:W147))</f>
        <v>.</v>
      </c>
      <c r="AN147" s="700" t="str">
        <f>IF(X147=".",".",SUM($S147:X147))</f>
        <v>.</v>
      </c>
      <c r="AO147" s="701" t="str">
        <f>IF(Y147=".",".",SUM($S147:Y147))</f>
        <v>.</v>
      </c>
      <c r="AP147" s="3"/>
      <c r="AQ147" s="985" t="str">
        <f t="shared" si="74"/>
        <v>.</v>
      </c>
      <c r="AR147" s="702" t="str">
        <f t="shared" si="67"/>
        <v>.</v>
      </c>
      <c r="AS147" s="702" t="str">
        <f t="shared" si="68"/>
        <v>.</v>
      </c>
      <c r="AT147" s="702" t="str">
        <f t="shared" si="69"/>
        <v>.</v>
      </c>
      <c r="AU147" s="702" t="str">
        <f t="shared" si="70"/>
        <v>.</v>
      </c>
      <c r="AV147" s="702" t="str">
        <f t="shared" si="71"/>
        <v>.</v>
      </c>
      <c r="AW147" s="986" t="str">
        <f t="shared" si="72"/>
        <v>.</v>
      </c>
      <c r="AX147" s="214"/>
      <c r="AY147" s="3"/>
      <c r="AZ147" s="3"/>
      <c r="BA147" s="3"/>
      <c r="BB147" s="3"/>
    </row>
    <row r="148" spans="1:54" ht="12" x14ac:dyDescent="0.25">
      <c r="A148" s="3"/>
      <c r="B148" s="212"/>
      <c r="C148" s="278" t="s">
        <v>718</v>
      </c>
      <c r="D148" s="279" t="str">
        <f>IF('WK2 - Notional General Income'!D59="","",'WK2 - Notional General Income'!D59)</f>
        <v/>
      </c>
      <c r="E148" s="557" t="str">
        <f>IF('WK2 - Notional General Income'!M59=".",".",'WK2 - Notional General Income'!M59/'WK2 - Notional General Income'!E59)</f>
        <v>.</v>
      </c>
      <c r="F148" s="557" t="str">
        <f>IF('WK3 - Notional GI Yr1 YIELD'!M59=".",".",'WK3 - Notional GI Yr1 YIELD'!M59/'WK3 - Notional GI Yr1 YIELD'!E59)</f>
        <v>.</v>
      </c>
      <c r="G148" s="578"/>
      <c r="H148" s="578"/>
      <c r="I148" s="578"/>
      <c r="J148" s="578"/>
      <c r="K148" s="578"/>
      <c r="L148" s="578"/>
      <c r="M148" s="220"/>
      <c r="N148" s="3"/>
      <c r="O148" s="655">
        <f>'WK2 - Notional General Income'!$E59</f>
        <v>0</v>
      </c>
      <c r="P148" s="657">
        <f>'WK3 - Notional GI Yr1 YIELD'!$E59</f>
        <v>0</v>
      </c>
      <c r="Q148" s="3"/>
      <c r="R148" s="212"/>
      <c r="S148" s="699" t="str">
        <f t="shared" si="73"/>
        <v>.</v>
      </c>
      <c r="T148" s="700" t="str">
        <f t="shared" si="54"/>
        <v>.</v>
      </c>
      <c r="U148" s="700" t="str">
        <f t="shared" si="86"/>
        <v>.</v>
      </c>
      <c r="V148" s="700" t="str">
        <f t="shared" si="87"/>
        <v>.</v>
      </c>
      <c r="W148" s="700" t="str">
        <f t="shared" si="88"/>
        <v>.</v>
      </c>
      <c r="X148" s="700" t="str">
        <f t="shared" si="89"/>
        <v>.</v>
      </c>
      <c r="Y148" s="701" t="str">
        <f t="shared" si="90"/>
        <v>.</v>
      </c>
      <c r="Z148" s="3"/>
      <c r="AA148" s="985" t="str">
        <f t="shared" si="83"/>
        <v>.</v>
      </c>
      <c r="AB148" s="702" t="str">
        <f t="shared" si="61"/>
        <v>.</v>
      </c>
      <c r="AC148" s="702" t="str">
        <f t="shared" si="84"/>
        <v>.</v>
      </c>
      <c r="AD148" s="702" t="str">
        <f t="shared" si="63"/>
        <v>.</v>
      </c>
      <c r="AE148" s="702" t="str">
        <f t="shared" si="64"/>
        <v>.</v>
      </c>
      <c r="AF148" s="702" t="str">
        <f t="shared" si="65"/>
        <v>.</v>
      </c>
      <c r="AG148" s="986" t="str">
        <f t="shared" si="66"/>
        <v>.</v>
      </c>
      <c r="AH148" s="3"/>
      <c r="AI148" s="699" t="str">
        <f>IF(S148=".",".",SUM($S148:S148))</f>
        <v>.</v>
      </c>
      <c r="AJ148" s="700" t="str">
        <f>IF(T148=".",".",SUM($S148:T148))</f>
        <v>.</v>
      </c>
      <c r="AK148" s="700" t="str">
        <f>IF(U148=".",".",SUM($S148:U148))</f>
        <v>.</v>
      </c>
      <c r="AL148" s="700" t="str">
        <f>IF(V148=".",".",SUM($S148:V148))</f>
        <v>.</v>
      </c>
      <c r="AM148" s="700" t="str">
        <f>IF(W148=".",".",SUM($S148:W148))</f>
        <v>.</v>
      </c>
      <c r="AN148" s="700" t="str">
        <f>IF(X148=".",".",SUM($S148:X148))</f>
        <v>.</v>
      </c>
      <c r="AO148" s="701" t="str">
        <f>IF(Y148=".",".",SUM($S148:Y148))</f>
        <v>.</v>
      </c>
      <c r="AP148" s="3"/>
      <c r="AQ148" s="985" t="str">
        <f t="shared" si="74"/>
        <v>.</v>
      </c>
      <c r="AR148" s="702" t="str">
        <f t="shared" si="67"/>
        <v>.</v>
      </c>
      <c r="AS148" s="702" t="str">
        <f t="shared" si="68"/>
        <v>.</v>
      </c>
      <c r="AT148" s="702" t="str">
        <f t="shared" si="69"/>
        <v>.</v>
      </c>
      <c r="AU148" s="702" t="str">
        <f t="shared" si="70"/>
        <v>.</v>
      </c>
      <c r="AV148" s="702" t="str">
        <f t="shared" si="71"/>
        <v>.</v>
      </c>
      <c r="AW148" s="986" t="str">
        <f t="shared" si="72"/>
        <v>.</v>
      </c>
      <c r="AX148" s="214"/>
      <c r="AY148" s="3"/>
      <c r="AZ148" s="3"/>
      <c r="BA148" s="3"/>
      <c r="BB148" s="3"/>
    </row>
    <row r="149" spans="1:54" ht="12" x14ac:dyDescent="0.25">
      <c r="A149" s="3"/>
      <c r="B149" s="212"/>
      <c r="C149" s="278" t="s">
        <v>718</v>
      </c>
      <c r="D149" s="279" t="str">
        <f>IF('WK2 - Notional General Income'!D60="","",'WK2 - Notional General Income'!D60)</f>
        <v/>
      </c>
      <c r="E149" s="557" t="str">
        <f>IF('WK2 - Notional General Income'!M60=".",".",'WK2 - Notional General Income'!M60/'WK2 - Notional General Income'!E60)</f>
        <v>.</v>
      </c>
      <c r="F149" s="557" t="str">
        <f>IF('WK3 - Notional GI Yr1 YIELD'!M60=".",".",'WK3 - Notional GI Yr1 YIELD'!M60/'WK3 - Notional GI Yr1 YIELD'!E60)</f>
        <v>.</v>
      </c>
      <c r="G149" s="578"/>
      <c r="H149" s="578"/>
      <c r="I149" s="578"/>
      <c r="J149" s="578"/>
      <c r="K149" s="578"/>
      <c r="L149" s="578"/>
      <c r="M149" s="220"/>
      <c r="N149" s="3"/>
      <c r="O149" s="655">
        <f>'WK2 - Notional General Income'!$E60</f>
        <v>0</v>
      </c>
      <c r="P149" s="657">
        <f>'WK3 - Notional GI Yr1 YIELD'!$E60</f>
        <v>0</v>
      </c>
      <c r="Q149" s="3"/>
      <c r="R149" s="212"/>
      <c r="S149" s="699" t="str">
        <f t="shared" si="73"/>
        <v>.</v>
      </c>
      <c r="T149" s="700" t="str">
        <f t="shared" si="54"/>
        <v>.</v>
      </c>
      <c r="U149" s="700" t="str">
        <f t="shared" si="86"/>
        <v>.</v>
      </c>
      <c r="V149" s="700" t="str">
        <f t="shared" si="87"/>
        <v>.</v>
      </c>
      <c r="W149" s="700" t="str">
        <f t="shared" si="88"/>
        <v>.</v>
      </c>
      <c r="X149" s="700" t="str">
        <f t="shared" si="89"/>
        <v>.</v>
      </c>
      <c r="Y149" s="701" t="str">
        <f t="shared" si="90"/>
        <v>.</v>
      </c>
      <c r="Z149" s="3"/>
      <c r="AA149" s="985" t="str">
        <f t="shared" si="83"/>
        <v>.</v>
      </c>
      <c r="AB149" s="702" t="str">
        <f t="shared" si="61"/>
        <v>.</v>
      </c>
      <c r="AC149" s="702" t="str">
        <f t="shared" si="84"/>
        <v>.</v>
      </c>
      <c r="AD149" s="702" t="str">
        <f t="shared" si="63"/>
        <v>.</v>
      </c>
      <c r="AE149" s="702" t="str">
        <f t="shared" si="64"/>
        <v>.</v>
      </c>
      <c r="AF149" s="702" t="str">
        <f t="shared" si="65"/>
        <v>.</v>
      </c>
      <c r="AG149" s="986" t="str">
        <f t="shared" si="66"/>
        <v>.</v>
      </c>
      <c r="AH149" s="3"/>
      <c r="AI149" s="699" t="str">
        <f>IF(S149=".",".",SUM($S149:S149))</f>
        <v>.</v>
      </c>
      <c r="AJ149" s="700" t="str">
        <f>IF(T149=".",".",SUM($S149:T149))</f>
        <v>.</v>
      </c>
      <c r="AK149" s="700" t="str">
        <f>IF(U149=".",".",SUM($S149:U149))</f>
        <v>.</v>
      </c>
      <c r="AL149" s="700" t="str">
        <f>IF(V149=".",".",SUM($S149:V149))</f>
        <v>.</v>
      </c>
      <c r="AM149" s="700" t="str">
        <f>IF(W149=".",".",SUM($S149:W149))</f>
        <v>.</v>
      </c>
      <c r="AN149" s="700" t="str">
        <f>IF(X149=".",".",SUM($S149:X149))</f>
        <v>.</v>
      </c>
      <c r="AO149" s="701" t="str">
        <f>IF(Y149=".",".",SUM($S149:Y149))</f>
        <v>.</v>
      </c>
      <c r="AP149" s="3"/>
      <c r="AQ149" s="985" t="str">
        <f t="shared" si="74"/>
        <v>.</v>
      </c>
      <c r="AR149" s="702" t="str">
        <f t="shared" si="67"/>
        <v>.</v>
      </c>
      <c r="AS149" s="702" t="str">
        <f t="shared" si="68"/>
        <v>.</v>
      </c>
      <c r="AT149" s="702" t="str">
        <f t="shared" si="69"/>
        <v>.</v>
      </c>
      <c r="AU149" s="702" t="str">
        <f t="shared" si="70"/>
        <v>.</v>
      </c>
      <c r="AV149" s="702" t="str">
        <f t="shared" si="71"/>
        <v>.</v>
      </c>
      <c r="AW149" s="986" t="str">
        <f t="shared" si="72"/>
        <v>.</v>
      </c>
      <c r="AX149" s="214"/>
      <c r="AY149" s="3"/>
      <c r="AZ149" s="3"/>
      <c r="BA149" s="3"/>
      <c r="BB149" s="3"/>
    </row>
    <row r="150" spans="1:54" ht="12" x14ac:dyDescent="0.25">
      <c r="A150" s="3"/>
      <c r="B150" s="212"/>
      <c r="C150" s="278" t="s">
        <v>718</v>
      </c>
      <c r="D150" s="279" t="str">
        <f>IF('WK2 - Notional General Income'!D61="","",'WK2 - Notional General Income'!D61)</f>
        <v/>
      </c>
      <c r="E150" s="557" t="str">
        <f>IF('WK2 - Notional General Income'!M61=".",".",'WK2 - Notional General Income'!M61/'WK2 - Notional General Income'!E61)</f>
        <v>.</v>
      </c>
      <c r="F150" s="557" t="str">
        <f>IF('WK3 - Notional GI Yr1 YIELD'!M61=".",".",'WK3 - Notional GI Yr1 YIELD'!M61/'WK3 - Notional GI Yr1 YIELD'!E61)</f>
        <v>.</v>
      </c>
      <c r="G150" s="578"/>
      <c r="H150" s="578"/>
      <c r="I150" s="578"/>
      <c r="J150" s="578"/>
      <c r="K150" s="578"/>
      <c r="L150" s="578"/>
      <c r="M150" s="220"/>
      <c r="N150" s="3"/>
      <c r="O150" s="655">
        <f>'WK2 - Notional General Income'!$E61</f>
        <v>0</v>
      </c>
      <c r="P150" s="657">
        <f>'WK3 - Notional GI Yr1 YIELD'!$E61</f>
        <v>0</v>
      </c>
      <c r="Q150" s="3"/>
      <c r="R150" s="212"/>
      <c r="S150" s="699" t="str">
        <f t="shared" si="73"/>
        <v>.</v>
      </c>
      <c r="T150" s="700" t="str">
        <f t="shared" si="54"/>
        <v>.</v>
      </c>
      <c r="U150" s="700" t="str">
        <f t="shared" si="86"/>
        <v>.</v>
      </c>
      <c r="V150" s="700" t="str">
        <f t="shared" si="87"/>
        <v>.</v>
      </c>
      <c r="W150" s="700" t="str">
        <f t="shared" si="88"/>
        <v>.</v>
      </c>
      <c r="X150" s="700" t="str">
        <f t="shared" si="89"/>
        <v>.</v>
      </c>
      <c r="Y150" s="701" t="str">
        <f t="shared" si="90"/>
        <v>.</v>
      </c>
      <c r="Z150" s="3"/>
      <c r="AA150" s="985" t="str">
        <f t="shared" si="83"/>
        <v>.</v>
      </c>
      <c r="AB150" s="702" t="str">
        <f t="shared" si="61"/>
        <v>.</v>
      </c>
      <c r="AC150" s="702" t="str">
        <f t="shared" si="84"/>
        <v>.</v>
      </c>
      <c r="AD150" s="702" t="str">
        <f t="shared" si="63"/>
        <v>.</v>
      </c>
      <c r="AE150" s="702" t="str">
        <f t="shared" si="64"/>
        <v>.</v>
      </c>
      <c r="AF150" s="702" t="str">
        <f t="shared" si="65"/>
        <v>.</v>
      </c>
      <c r="AG150" s="986" t="str">
        <f t="shared" si="66"/>
        <v>.</v>
      </c>
      <c r="AH150" s="3"/>
      <c r="AI150" s="699" t="str">
        <f>IF(S150=".",".",SUM($S150:S150))</f>
        <v>.</v>
      </c>
      <c r="AJ150" s="700" t="str">
        <f>IF(T150=".",".",SUM($S150:T150))</f>
        <v>.</v>
      </c>
      <c r="AK150" s="700" t="str">
        <f>IF(U150=".",".",SUM($S150:U150))</f>
        <v>.</v>
      </c>
      <c r="AL150" s="700" t="str">
        <f>IF(V150=".",".",SUM($S150:V150))</f>
        <v>.</v>
      </c>
      <c r="AM150" s="700" t="str">
        <f>IF(W150=".",".",SUM($S150:W150))</f>
        <v>.</v>
      </c>
      <c r="AN150" s="700" t="str">
        <f>IF(X150=".",".",SUM($S150:X150))</f>
        <v>.</v>
      </c>
      <c r="AO150" s="701" t="str">
        <f>IF(Y150=".",".",SUM($S150:Y150))</f>
        <v>.</v>
      </c>
      <c r="AP150" s="3"/>
      <c r="AQ150" s="985" t="str">
        <f t="shared" si="74"/>
        <v>.</v>
      </c>
      <c r="AR150" s="702" t="str">
        <f t="shared" si="67"/>
        <v>.</v>
      </c>
      <c r="AS150" s="702" t="str">
        <f t="shared" si="68"/>
        <v>.</v>
      </c>
      <c r="AT150" s="702" t="str">
        <f t="shared" si="69"/>
        <v>.</v>
      </c>
      <c r="AU150" s="702" t="str">
        <f t="shared" si="70"/>
        <v>.</v>
      </c>
      <c r="AV150" s="702" t="str">
        <f t="shared" si="71"/>
        <v>.</v>
      </c>
      <c r="AW150" s="986" t="str">
        <f t="shared" si="72"/>
        <v>.</v>
      </c>
      <c r="AX150" s="214"/>
      <c r="AY150" s="3"/>
      <c r="AZ150" s="3"/>
      <c r="BA150" s="3"/>
      <c r="BB150" s="3"/>
    </row>
    <row r="151" spans="1:54" ht="12" x14ac:dyDescent="0.25">
      <c r="A151" s="3"/>
      <c r="B151" s="212"/>
      <c r="C151" s="278" t="s">
        <v>718</v>
      </c>
      <c r="D151" s="279" t="str">
        <f>IF('WK2 - Notional General Income'!D62="","",'WK2 - Notional General Income'!D62)</f>
        <v/>
      </c>
      <c r="E151" s="557" t="str">
        <f>IF('WK2 - Notional General Income'!M62=".",".",'WK2 - Notional General Income'!M62/'WK2 - Notional General Income'!E62)</f>
        <v>.</v>
      </c>
      <c r="F151" s="557" t="str">
        <f>IF('WK3 - Notional GI Yr1 YIELD'!M62=".",".",'WK3 - Notional GI Yr1 YIELD'!M62/'WK3 - Notional GI Yr1 YIELD'!E62)</f>
        <v>.</v>
      </c>
      <c r="G151" s="578"/>
      <c r="H151" s="578"/>
      <c r="I151" s="578"/>
      <c r="J151" s="578"/>
      <c r="K151" s="578"/>
      <c r="L151" s="578"/>
      <c r="M151" s="220"/>
      <c r="N151" s="3"/>
      <c r="O151" s="655">
        <f>'WK2 - Notional General Income'!$E62</f>
        <v>0</v>
      </c>
      <c r="P151" s="657">
        <f>'WK3 - Notional GI Yr1 YIELD'!$E62</f>
        <v>0</v>
      </c>
      <c r="Q151" s="3"/>
      <c r="R151" s="212"/>
      <c r="S151" s="699" t="str">
        <f t="shared" si="73"/>
        <v>.</v>
      </c>
      <c r="T151" s="700" t="str">
        <f t="shared" si="54"/>
        <v>.</v>
      </c>
      <c r="U151" s="700" t="str">
        <f t="shared" si="86"/>
        <v>.</v>
      </c>
      <c r="V151" s="700" t="str">
        <f t="shared" si="87"/>
        <v>.</v>
      </c>
      <c r="W151" s="700" t="str">
        <f t="shared" si="88"/>
        <v>.</v>
      </c>
      <c r="X151" s="700" t="str">
        <f t="shared" si="89"/>
        <v>.</v>
      </c>
      <c r="Y151" s="701" t="str">
        <f t="shared" si="90"/>
        <v>.</v>
      </c>
      <c r="Z151" s="3"/>
      <c r="AA151" s="985" t="str">
        <f t="shared" si="83"/>
        <v>.</v>
      </c>
      <c r="AB151" s="702" t="str">
        <f t="shared" si="61"/>
        <v>.</v>
      </c>
      <c r="AC151" s="702" t="str">
        <f t="shared" si="84"/>
        <v>.</v>
      </c>
      <c r="AD151" s="702" t="str">
        <f t="shared" si="63"/>
        <v>.</v>
      </c>
      <c r="AE151" s="702" t="str">
        <f t="shared" si="64"/>
        <v>.</v>
      </c>
      <c r="AF151" s="702" t="str">
        <f t="shared" si="65"/>
        <v>.</v>
      </c>
      <c r="AG151" s="986" t="str">
        <f t="shared" si="66"/>
        <v>.</v>
      </c>
      <c r="AH151" s="3"/>
      <c r="AI151" s="699" t="str">
        <f>IF(S151=".",".",SUM($S151:S151))</f>
        <v>.</v>
      </c>
      <c r="AJ151" s="700" t="str">
        <f>IF(T151=".",".",SUM($S151:T151))</f>
        <v>.</v>
      </c>
      <c r="AK151" s="700" t="str">
        <f>IF(U151=".",".",SUM($S151:U151))</f>
        <v>.</v>
      </c>
      <c r="AL151" s="700" t="str">
        <f>IF(V151=".",".",SUM($S151:V151))</f>
        <v>.</v>
      </c>
      <c r="AM151" s="700" t="str">
        <f>IF(W151=".",".",SUM($S151:W151))</f>
        <v>.</v>
      </c>
      <c r="AN151" s="700" t="str">
        <f>IF(X151=".",".",SUM($S151:X151))</f>
        <v>.</v>
      </c>
      <c r="AO151" s="701" t="str">
        <f>IF(Y151=".",".",SUM($S151:Y151))</f>
        <v>.</v>
      </c>
      <c r="AP151" s="3"/>
      <c r="AQ151" s="985" t="str">
        <f t="shared" si="74"/>
        <v>.</v>
      </c>
      <c r="AR151" s="702" t="str">
        <f t="shared" si="67"/>
        <v>.</v>
      </c>
      <c r="AS151" s="702" t="str">
        <f t="shared" si="68"/>
        <v>.</v>
      </c>
      <c r="AT151" s="702" t="str">
        <f t="shared" si="69"/>
        <v>.</v>
      </c>
      <c r="AU151" s="702" t="str">
        <f t="shared" si="70"/>
        <v>.</v>
      </c>
      <c r="AV151" s="702" t="str">
        <f t="shared" si="71"/>
        <v>.</v>
      </c>
      <c r="AW151" s="986" t="str">
        <f t="shared" si="72"/>
        <v>.</v>
      </c>
      <c r="AX151" s="214"/>
      <c r="AY151" s="3"/>
      <c r="AZ151" s="3"/>
      <c r="BA151" s="3"/>
      <c r="BB151" s="3"/>
    </row>
    <row r="152" spans="1:54" ht="12" x14ac:dyDescent="0.25">
      <c r="A152" s="3"/>
      <c r="B152" s="212"/>
      <c r="C152" s="278" t="s">
        <v>718</v>
      </c>
      <c r="D152" s="279" t="str">
        <f>IF('WK2 - Notional General Income'!D63="","",'WK2 - Notional General Income'!D63)</f>
        <v/>
      </c>
      <c r="E152" s="557" t="str">
        <f>IF('WK2 - Notional General Income'!M63=".",".",'WK2 - Notional General Income'!M63/'WK2 - Notional General Income'!E63)</f>
        <v>.</v>
      </c>
      <c r="F152" s="557" t="str">
        <f>IF('WK3 - Notional GI Yr1 YIELD'!M63=".",".",'WK3 - Notional GI Yr1 YIELD'!M63/'WK3 - Notional GI Yr1 YIELD'!E63)</f>
        <v>.</v>
      </c>
      <c r="G152" s="578"/>
      <c r="H152" s="578"/>
      <c r="I152" s="578"/>
      <c r="J152" s="578"/>
      <c r="K152" s="578"/>
      <c r="L152" s="578"/>
      <c r="M152" s="220"/>
      <c r="N152" s="3"/>
      <c r="O152" s="655">
        <f>'WK2 - Notional General Income'!$E63</f>
        <v>0</v>
      </c>
      <c r="P152" s="657">
        <f>'WK3 - Notional GI Yr1 YIELD'!$E63</f>
        <v>0</v>
      </c>
      <c r="Q152" s="3"/>
      <c r="R152" s="212"/>
      <c r="S152" s="699" t="str">
        <f t="shared" si="73"/>
        <v>.</v>
      </c>
      <c r="T152" s="700" t="str">
        <f t="shared" si="54"/>
        <v>.</v>
      </c>
      <c r="U152" s="700" t="str">
        <f t="shared" si="86"/>
        <v>.</v>
      </c>
      <c r="V152" s="700" t="str">
        <f t="shared" si="87"/>
        <v>.</v>
      </c>
      <c r="W152" s="700" t="str">
        <f t="shared" si="88"/>
        <v>.</v>
      </c>
      <c r="X152" s="700" t="str">
        <f t="shared" si="89"/>
        <v>.</v>
      </c>
      <c r="Y152" s="701" t="str">
        <f t="shared" si="90"/>
        <v>.</v>
      </c>
      <c r="Z152" s="3"/>
      <c r="AA152" s="985" t="str">
        <f t="shared" si="83"/>
        <v>.</v>
      </c>
      <c r="AB152" s="702" t="str">
        <f t="shared" si="61"/>
        <v>.</v>
      </c>
      <c r="AC152" s="702" t="str">
        <f t="shared" si="84"/>
        <v>.</v>
      </c>
      <c r="AD152" s="702" t="str">
        <f t="shared" si="63"/>
        <v>.</v>
      </c>
      <c r="AE152" s="702" t="str">
        <f t="shared" si="64"/>
        <v>.</v>
      </c>
      <c r="AF152" s="702" t="str">
        <f t="shared" si="65"/>
        <v>.</v>
      </c>
      <c r="AG152" s="986" t="str">
        <f t="shared" si="66"/>
        <v>.</v>
      </c>
      <c r="AH152" s="3"/>
      <c r="AI152" s="699" t="str">
        <f>IF(S152=".",".",SUM($S152:S152))</f>
        <v>.</v>
      </c>
      <c r="AJ152" s="700" t="str">
        <f>IF(T152=".",".",SUM($S152:T152))</f>
        <v>.</v>
      </c>
      <c r="AK152" s="700" t="str">
        <f>IF(U152=".",".",SUM($S152:U152))</f>
        <v>.</v>
      </c>
      <c r="AL152" s="700" t="str">
        <f>IF(V152=".",".",SUM($S152:V152))</f>
        <v>.</v>
      </c>
      <c r="AM152" s="700" t="str">
        <f>IF(W152=".",".",SUM($S152:W152))</f>
        <v>.</v>
      </c>
      <c r="AN152" s="700" t="str">
        <f>IF(X152=".",".",SUM($S152:X152))</f>
        <v>.</v>
      </c>
      <c r="AO152" s="701" t="str">
        <f>IF(Y152=".",".",SUM($S152:Y152))</f>
        <v>.</v>
      </c>
      <c r="AP152" s="3"/>
      <c r="AQ152" s="985" t="str">
        <f t="shared" si="74"/>
        <v>.</v>
      </c>
      <c r="AR152" s="702" t="str">
        <f t="shared" si="67"/>
        <v>.</v>
      </c>
      <c r="AS152" s="702" t="str">
        <f t="shared" si="68"/>
        <v>.</v>
      </c>
      <c r="AT152" s="702" t="str">
        <f t="shared" si="69"/>
        <v>.</v>
      </c>
      <c r="AU152" s="702" t="str">
        <f t="shared" si="70"/>
        <v>.</v>
      </c>
      <c r="AV152" s="702" t="str">
        <f t="shared" si="71"/>
        <v>.</v>
      </c>
      <c r="AW152" s="986" t="str">
        <f t="shared" si="72"/>
        <v>.</v>
      </c>
      <c r="AX152" s="214"/>
      <c r="AY152" s="3"/>
      <c r="AZ152" s="3"/>
      <c r="BA152" s="3"/>
      <c r="BB152" s="3"/>
    </row>
    <row r="153" spans="1:54" ht="12.6" thickBot="1" x14ac:dyDescent="0.3">
      <c r="A153" s="3"/>
      <c r="B153" s="212"/>
      <c r="C153" s="278" t="s">
        <v>718</v>
      </c>
      <c r="D153" s="279" t="str">
        <f>IF('WK2 - Notional General Income'!D64="","",'WK2 - Notional General Income'!D64)</f>
        <v/>
      </c>
      <c r="E153" s="557" t="str">
        <f>IF('WK2 - Notional General Income'!M64=".",".",'WK2 - Notional General Income'!M64/'WK2 - Notional General Income'!E64)</f>
        <v>.</v>
      </c>
      <c r="F153" s="557" t="str">
        <f>IF('WK3 - Notional GI Yr1 YIELD'!M64=".",".",'WK3 - Notional GI Yr1 YIELD'!M64/'WK3 - Notional GI Yr1 YIELD'!E64)</f>
        <v>.</v>
      </c>
      <c r="G153" s="578"/>
      <c r="H153" s="578"/>
      <c r="I153" s="578"/>
      <c r="J153" s="578"/>
      <c r="K153" s="578"/>
      <c r="L153" s="578"/>
      <c r="M153" s="220"/>
      <c r="N153" s="3"/>
      <c r="O153" s="711">
        <f>'WK2 - Notional General Income'!$E64</f>
        <v>0</v>
      </c>
      <c r="P153" s="712">
        <f>'WK3 - Notional GI Yr1 YIELD'!$E64</f>
        <v>0</v>
      </c>
      <c r="Q153" s="3"/>
      <c r="R153" s="212"/>
      <c r="S153" s="699" t="str">
        <f t="shared" si="73"/>
        <v>.</v>
      </c>
      <c r="T153" s="700" t="str">
        <f t="shared" si="54"/>
        <v>.</v>
      </c>
      <c r="U153" s="700" t="str">
        <f t="shared" si="86"/>
        <v>.</v>
      </c>
      <c r="V153" s="700" t="str">
        <f t="shared" si="87"/>
        <v>.</v>
      </c>
      <c r="W153" s="700" t="str">
        <f t="shared" si="88"/>
        <v>.</v>
      </c>
      <c r="X153" s="700" t="str">
        <f t="shared" si="89"/>
        <v>.</v>
      </c>
      <c r="Y153" s="701" t="str">
        <f t="shared" si="90"/>
        <v>.</v>
      </c>
      <c r="Z153" s="3"/>
      <c r="AA153" s="985" t="str">
        <f t="shared" si="83"/>
        <v>.</v>
      </c>
      <c r="AB153" s="702" t="str">
        <f t="shared" si="61"/>
        <v>.</v>
      </c>
      <c r="AC153" s="702" t="str">
        <f t="shared" si="84"/>
        <v>.</v>
      </c>
      <c r="AD153" s="702" t="str">
        <f t="shared" si="63"/>
        <v>.</v>
      </c>
      <c r="AE153" s="702" t="str">
        <f t="shared" si="64"/>
        <v>.</v>
      </c>
      <c r="AF153" s="702" t="str">
        <f t="shared" si="65"/>
        <v>.</v>
      </c>
      <c r="AG153" s="986" t="str">
        <f t="shared" si="66"/>
        <v>.</v>
      </c>
      <c r="AH153" s="3"/>
      <c r="AI153" s="699" t="str">
        <f>IF(S153=".",".",SUM($S153:S153))</f>
        <v>.</v>
      </c>
      <c r="AJ153" s="700" t="str">
        <f>IF(T153=".",".",SUM($S153:T153))</f>
        <v>.</v>
      </c>
      <c r="AK153" s="700" t="str">
        <f>IF(U153=".",".",SUM($S153:U153))</f>
        <v>.</v>
      </c>
      <c r="AL153" s="700" t="str">
        <f>IF(V153=".",".",SUM($S153:V153))</f>
        <v>.</v>
      </c>
      <c r="AM153" s="700" t="str">
        <f>IF(W153=".",".",SUM($S153:W153))</f>
        <v>.</v>
      </c>
      <c r="AN153" s="700" t="str">
        <f>IF(X153=".",".",SUM($S153:X153))</f>
        <v>.</v>
      </c>
      <c r="AO153" s="701" t="str">
        <f>IF(Y153=".",".",SUM($S153:Y153))</f>
        <v>.</v>
      </c>
      <c r="AP153" s="3"/>
      <c r="AQ153" s="985" t="str">
        <f t="shared" si="74"/>
        <v>.</v>
      </c>
      <c r="AR153" s="702" t="str">
        <f t="shared" si="67"/>
        <v>.</v>
      </c>
      <c r="AS153" s="702" t="str">
        <f t="shared" si="68"/>
        <v>.</v>
      </c>
      <c r="AT153" s="702" t="str">
        <f t="shared" si="69"/>
        <v>.</v>
      </c>
      <c r="AU153" s="702" t="str">
        <f t="shared" si="70"/>
        <v>.</v>
      </c>
      <c r="AV153" s="702" t="str">
        <f t="shared" si="71"/>
        <v>.</v>
      </c>
      <c r="AW153" s="986" t="str">
        <f t="shared" si="72"/>
        <v>.</v>
      </c>
      <c r="AX153" s="214"/>
      <c r="AY153" s="3"/>
      <c r="AZ153" s="3"/>
      <c r="BA153" s="3"/>
      <c r="BB153" s="3"/>
    </row>
    <row r="154" spans="1:54" ht="12.6" thickTop="1" x14ac:dyDescent="0.25">
      <c r="A154" s="3"/>
      <c r="B154" s="212"/>
      <c r="C154" s="278" t="s">
        <v>819</v>
      </c>
      <c r="D154" s="279" t="str">
        <f>IF('WK2 - Notional General Income'!D104="","",'WK2 - Notional General Income'!D104)</f>
        <v>Cachments - Business</v>
      </c>
      <c r="E154" s="557">
        <f>IF('WK2 - Notional General Income'!M104=".",".",'WK2 - Notional General Income'!M104/'WK2 - Notional General Income'!E104)</f>
        <v>114.73799376677329</v>
      </c>
      <c r="F154" s="557">
        <f>IF('WK3 - Notional GI Yr1 YIELD'!M104=".",".",'WK3 - Notional GI Yr1 YIELD'!M104/'WK3 - Notional GI Yr1 YIELD'!E104)</f>
        <v>124.39372194558796</v>
      </c>
      <c r="G154" s="578">
        <f t="shared" ref="G154:G156" si="92">+F154*1.075</f>
        <v>133.72325109150705</v>
      </c>
      <c r="H154" s="578">
        <f t="shared" ref="H154:H156" si="93">+G154*1.065</f>
        <v>142.41526241245501</v>
      </c>
      <c r="I154" s="578">
        <f t="shared" ref="I154:I156" si="94">+H154*1.055</f>
        <v>150.24810184514001</v>
      </c>
      <c r="J154" s="578">
        <f t="shared" ref="J154:L154" si="95">+I154*1.025</f>
        <v>154.00430439126851</v>
      </c>
      <c r="K154" s="578">
        <f t="shared" si="95"/>
        <v>157.85441200105021</v>
      </c>
      <c r="L154" s="578">
        <f t="shared" si="95"/>
        <v>161.80077230107645</v>
      </c>
      <c r="M154" s="220"/>
      <c r="N154" s="3"/>
      <c r="O154" s="655">
        <f>'WK2 - Notional General Income'!$E104</f>
        <v>2126</v>
      </c>
      <c r="P154" s="657">
        <f>'WK3 - Notional GI Yr1 YIELD'!$E104</f>
        <v>2126</v>
      </c>
      <c r="Q154" s="3"/>
      <c r="R154" s="212"/>
      <c r="S154" s="699">
        <f t="shared" si="73"/>
        <v>9.6557281788146696</v>
      </c>
      <c r="T154" s="700">
        <f t="shared" si="54"/>
        <v>9.3295291459190963</v>
      </c>
      <c r="U154" s="700">
        <f t="shared" si="86"/>
        <v>8.6920113209479553</v>
      </c>
      <c r="V154" s="700">
        <f t="shared" si="87"/>
        <v>7.8328394326850059</v>
      </c>
      <c r="W154" s="700">
        <f t="shared" si="88"/>
        <v>3.7562025461284918</v>
      </c>
      <c r="X154" s="700">
        <f t="shared" si="89"/>
        <v>3.850107609781702</v>
      </c>
      <c r="Y154" s="701">
        <f t="shared" si="90"/>
        <v>3.9463603000262424</v>
      </c>
      <c r="Z154" s="3"/>
      <c r="AA154" s="985">
        <f t="shared" si="83"/>
        <v>8.4154584386770592E-2</v>
      </c>
      <c r="AB154" s="702">
        <f t="shared" si="61"/>
        <v>7.4999999999999956E-2</v>
      </c>
      <c r="AC154" s="702">
        <f t="shared" si="84"/>
        <v>6.4999999999999947E-2</v>
      </c>
      <c r="AD154" s="702">
        <f t="shared" si="63"/>
        <v>5.4999999999999938E-2</v>
      </c>
      <c r="AE154" s="702">
        <f t="shared" si="64"/>
        <v>2.4999999999999911E-2</v>
      </c>
      <c r="AF154" s="702">
        <f t="shared" si="65"/>
        <v>2.4999999999999911E-2</v>
      </c>
      <c r="AG154" s="986">
        <f t="shared" si="66"/>
        <v>2.4999999999999911E-2</v>
      </c>
      <c r="AH154" s="3"/>
      <c r="AI154" s="699">
        <f>IF(S154=".",".",SUM($S154:S154))</f>
        <v>9.6557281788146696</v>
      </c>
      <c r="AJ154" s="700">
        <f>IF(T154=".",".",SUM($S154:T154))</f>
        <v>18.985257324733766</v>
      </c>
      <c r="AK154" s="700">
        <f>IF(U154=".",".",SUM($S154:U154))</f>
        <v>27.677268645681721</v>
      </c>
      <c r="AL154" s="700">
        <f>IF(V154=".",".",SUM($S154:V154))</f>
        <v>35.510108078366727</v>
      </c>
      <c r="AM154" s="700">
        <f>IF(W154=".",".",SUM($S154:W154))</f>
        <v>39.266310624495219</v>
      </c>
      <c r="AN154" s="700">
        <f>IF(X154=".",".",SUM($S154:X154))</f>
        <v>43.116418234276921</v>
      </c>
      <c r="AO154" s="701">
        <f>IF(Y154=".",".",SUM($S154:Y154))</f>
        <v>47.062778534303163</v>
      </c>
      <c r="AP154" s="3"/>
      <c r="AQ154" s="985">
        <f t="shared" si="74"/>
        <v>8.4154584386770592E-2</v>
      </c>
      <c r="AR154" s="702">
        <f t="shared" si="67"/>
        <v>0.16546617821577825</v>
      </c>
      <c r="AS154" s="702">
        <f t="shared" si="68"/>
        <v>0.2412214797998038</v>
      </c>
      <c r="AT154" s="702">
        <f t="shared" si="69"/>
        <v>0.30948866118879281</v>
      </c>
      <c r="AU154" s="702">
        <f t="shared" si="70"/>
        <v>0.34222587771851254</v>
      </c>
      <c r="AV154" s="702">
        <f t="shared" si="71"/>
        <v>0.3757815246614753</v>
      </c>
      <c r="AW154" s="986">
        <f t="shared" si="72"/>
        <v>0.41017606277801222</v>
      </c>
      <c r="AX154" s="214"/>
      <c r="AY154" s="3"/>
      <c r="AZ154" s="3"/>
      <c r="BA154" s="3"/>
      <c r="BB154" s="3"/>
    </row>
    <row r="155" spans="1:54" ht="12" x14ac:dyDescent="0.25">
      <c r="A155" s="3"/>
      <c r="B155" s="212"/>
      <c r="C155" s="278" t="s">
        <v>819</v>
      </c>
      <c r="D155" s="279" t="str">
        <f>IF('WK2 - Notional General Income'!D105="","",'WK2 - Notional General Income'!D105)</f>
        <v>Cachments - Hornsby CBD</v>
      </c>
      <c r="E155" s="557">
        <f>IF('WK2 - Notional General Income'!M105=".",".",'WK2 - Notional General Income'!M105/'WK2 - Notional General Income'!E105)</f>
        <v>245.19293451349111</v>
      </c>
      <c r="F155" s="557">
        <f>IF('WK3 - Notional GI Yr1 YIELD'!M105=".",".",'WK3 - Notional GI Yr1 YIELD'!M105/'WK3 - Notional GI Yr1 YIELD'!E105)</f>
        <v>265.84013060994084</v>
      </c>
      <c r="G155" s="578">
        <f t="shared" si="92"/>
        <v>285.77814040568637</v>
      </c>
      <c r="H155" s="578">
        <f t="shared" si="93"/>
        <v>304.35371953205595</v>
      </c>
      <c r="I155" s="578">
        <f t="shared" si="94"/>
        <v>321.093174106319</v>
      </c>
      <c r="J155" s="578">
        <f t="shared" ref="J155:L155" si="96">+I155*1.025</f>
        <v>329.12050345897694</v>
      </c>
      <c r="K155" s="578">
        <f t="shared" si="96"/>
        <v>337.34851604545133</v>
      </c>
      <c r="L155" s="578">
        <f t="shared" si="96"/>
        <v>345.78222894658757</v>
      </c>
      <c r="M155" s="220"/>
      <c r="N155" s="3"/>
      <c r="O155" s="655">
        <f>'WK2 - Notional General Income'!$E105</f>
        <v>507</v>
      </c>
      <c r="P155" s="657">
        <f>'WK3 - Notional GI Yr1 YIELD'!$E105</f>
        <v>507</v>
      </c>
      <c r="Q155" s="3"/>
      <c r="R155" s="212"/>
      <c r="S155" s="699">
        <f t="shared" si="73"/>
        <v>20.647196096449733</v>
      </c>
      <c r="T155" s="700">
        <f t="shared" si="54"/>
        <v>19.938009795745529</v>
      </c>
      <c r="U155" s="700">
        <f t="shared" si="86"/>
        <v>18.575579126369576</v>
      </c>
      <c r="V155" s="700">
        <f t="shared" si="87"/>
        <v>16.73945457426305</v>
      </c>
      <c r="W155" s="700">
        <f t="shared" si="88"/>
        <v>8.0273293526579437</v>
      </c>
      <c r="X155" s="700">
        <f t="shared" si="89"/>
        <v>8.2280125864743923</v>
      </c>
      <c r="Y155" s="701">
        <f t="shared" si="90"/>
        <v>8.4337129011362322</v>
      </c>
      <c r="Z155" s="3"/>
      <c r="AA155" s="985">
        <f t="shared" si="83"/>
        <v>8.4207957041738002E-2</v>
      </c>
      <c r="AB155" s="702">
        <f t="shared" si="61"/>
        <v>7.4999999999999956E-2</v>
      </c>
      <c r="AC155" s="702">
        <f t="shared" si="84"/>
        <v>6.4999999999999947E-2</v>
      </c>
      <c r="AD155" s="702">
        <f t="shared" si="63"/>
        <v>5.4999999999999938E-2</v>
      </c>
      <c r="AE155" s="702">
        <f t="shared" si="64"/>
        <v>2.4999999999999911E-2</v>
      </c>
      <c r="AF155" s="702">
        <f t="shared" si="65"/>
        <v>2.4999999999999911E-2</v>
      </c>
      <c r="AG155" s="986">
        <f t="shared" si="66"/>
        <v>2.4999999999999911E-2</v>
      </c>
      <c r="AH155" s="3"/>
      <c r="AI155" s="699">
        <f>IF(S155=".",".",SUM($S155:S155))</f>
        <v>20.647196096449733</v>
      </c>
      <c r="AJ155" s="700">
        <f>IF(T155=".",".",SUM($S155:T155))</f>
        <v>40.585205892195262</v>
      </c>
      <c r="AK155" s="700">
        <f>IF(U155=".",".",SUM($S155:U155))</f>
        <v>59.160785018564837</v>
      </c>
      <c r="AL155" s="700">
        <f>IF(V155=".",".",SUM($S155:V155))</f>
        <v>75.900239592827887</v>
      </c>
      <c r="AM155" s="700">
        <f>IF(W155=".",".",SUM($S155:W155))</f>
        <v>83.927568945485831</v>
      </c>
      <c r="AN155" s="700">
        <f>IF(X155=".",".",SUM($S155:X155))</f>
        <v>92.155581531960223</v>
      </c>
      <c r="AO155" s="701">
        <f>IF(Y155=".",".",SUM($S155:Y155))</f>
        <v>100.58929443309646</v>
      </c>
      <c r="AP155" s="3"/>
      <c r="AQ155" s="985">
        <f t="shared" si="74"/>
        <v>8.4207957041738002E-2</v>
      </c>
      <c r="AR155" s="702">
        <f t="shared" si="67"/>
        <v>0.16552355381986827</v>
      </c>
      <c r="AS155" s="702">
        <f t="shared" si="68"/>
        <v>0.24128258481815945</v>
      </c>
      <c r="AT155" s="702">
        <f t="shared" si="69"/>
        <v>0.30955312698315818</v>
      </c>
      <c r="AU155" s="702">
        <f t="shared" si="70"/>
        <v>0.34229195515773703</v>
      </c>
      <c r="AV155" s="702">
        <f t="shared" si="71"/>
        <v>0.37584925403668024</v>
      </c>
      <c r="AW155" s="986">
        <f t="shared" si="72"/>
        <v>0.41024548538759698</v>
      </c>
      <c r="AX155" s="214"/>
      <c r="AY155" s="3"/>
      <c r="AZ155" s="3"/>
      <c r="BA155" s="3"/>
      <c r="BB155" s="3"/>
    </row>
    <row r="156" spans="1:54" ht="12" x14ac:dyDescent="0.25">
      <c r="A156" s="3"/>
      <c r="B156" s="212"/>
      <c r="C156" s="278" t="s">
        <v>819</v>
      </c>
      <c r="D156" s="279" t="str">
        <f>IF('WK2 - Notional General Income'!D106="","",'WK2 - Notional General Income'!D106)</f>
        <v>Cachments - Shopping Centre</v>
      </c>
      <c r="E156" s="557">
        <f>IF('WK2 - Notional General Income'!M106=".",".",'WK2 - Notional General Income'!M106/'WK2 - Notional General Income'!E106)</f>
        <v>12792.841398</v>
      </c>
      <c r="F156" s="557">
        <f>IF('WK3 - Notional GI Yr1 YIELD'!M106=".",".",'WK3 - Notional GI Yr1 YIELD'!M106/'WK3 - Notional GI Yr1 YIELD'!E106)</f>
        <v>13869.731226</v>
      </c>
      <c r="G156" s="578">
        <f t="shared" si="92"/>
        <v>14909.96106795</v>
      </c>
      <c r="H156" s="578">
        <f t="shared" si="93"/>
        <v>15879.10853736675</v>
      </c>
      <c r="I156" s="578">
        <f t="shared" si="94"/>
        <v>16752.459506921921</v>
      </c>
      <c r="J156" s="578">
        <f t="shared" ref="J156:L156" si="97">+I156*1.025</f>
        <v>17171.270994594968</v>
      </c>
      <c r="K156" s="578">
        <f t="shared" si="97"/>
        <v>17600.552769459842</v>
      </c>
      <c r="L156" s="578">
        <f t="shared" si="97"/>
        <v>18040.566588696336</v>
      </c>
      <c r="M156" s="220"/>
      <c r="N156" s="3"/>
      <c r="O156" s="655">
        <f>'WK2 - Notional General Income'!$E106</f>
        <v>5</v>
      </c>
      <c r="P156" s="657">
        <f>'WK3 - Notional GI Yr1 YIELD'!$E106</f>
        <v>5</v>
      </c>
      <c r="Q156" s="3"/>
      <c r="R156" s="212"/>
      <c r="S156" s="699">
        <f t="shared" si="73"/>
        <v>1076.8898279999994</v>
      </c>
      <c r="T156" s="700">
        <f t="shared" si="54"/>
        <v>1040.2298419500003</v>
      </c>
      <c r="U156" s="700">
        <f t="shared" si="86"/>
        <v>969.14746941675003</v>
      </c>
      <c r="V156" s="700">
        <f t="shared" si="87"/>
        <v>873.3509695551711</v>
      </c>
      <c r="W156" s="700">
        <f t="shared" si="88"/>
        <v>418.81148767304694</v>
      </c>
      <c r="X156" s="700">
        <f t="shared" si="89"/>
        <v>429.28177486487402</v>
      </c>
      <c r="Y156" s="701">
        <f t="shared" si="90"/>
        <v>440.01381923649387</v>
      </c>
      <c r="Z156" s="3"/>
      <c r="AA156" s="985">
        <f t="shared" si="83"/>
        <v>8.417909630055731E-2</v>
      </c>
      <c r="AB156" s="702">
        <f t="shared" si="61"/>
        <v>7.4999999999999956E-2</v>
      </c>
      <c r="AC156" s="702">
        <f t="shared" si="84"/>
        <v>6.4999999999999947E-2</v>
      </c>
      <c r="AD156" s="702">
        <f t="shared" si="63"/>
        <v>5.4999999999999938E-2</v>
      </c>
      <c r="AE156" s="702">
        <f t="shared" si="64"/>
        <v>2.4999999999999911E-2</v>
      </c>
      <c r="AF156" s="702">
        <f t="shared" si="65"/>
        <v>2.4999999999999911E-2</v>
      </c>
      <c r="AG156" s="986">
        <f t="shared" si="66"/>
        <v>2.4999999999999911E-2</v>
      </c>
      <c r="AH156" s="3"/>
      <c r="AI156" s="699">
        <f>IF(S156=".",".",SUM($S156:S156))</f>
        <v>1076.8898279999994</v>
      </c>
      <c r="AJ156" s="700">
        <f>IF(T156=".",".",SUM($S156:T156))</f>
        <v>2117.1196699499997</v>
      </c>
      <c r="AK156" s="700">
        <f>IF(U156=".",".",SUM($S156:U156))</f>
        <v>3086.2671393667497</v>
      </c>
      <c r="AL156" s="700">
        <f>IF(V156=".",".",SUM($S156:V156))</f>
        <v>3959.6181089219208</v>
      </c>
      <c r="AM156" s="700">
        <f>IF(W156=".",".",SUM($S156:W156))</f>
        <v>4378.4295965949677</v>
      </c>
      <c r="AN156" s="700">
        <f>IF(X156=".",".",SUM($S156:X156))</f>
        <v>4807.7113714598418</v>
      </c>
      <c r="AO156" s="701">
        <f>IF(Y156=".",".",SUM($S156:Y156))</f>
        <v>5247.7251906963356</v>
      </c>
      <c r="AP156" s="3"/>
      <c r="AQ156" s="985">
        <f t="shared" si="74"/>
        <v>8.417909630055731E-2</v>
      </c>
      <c r="AR156" s="702">
        <f t="shared" si="67"/>
        <v>0.16549252852309926</v>
      </c>
      <c r="AS156" s="702">
        <f t="shared" si="68"/>
        <v>0.24124954287710065</v>
      </c>
      <c r="AT156" s="702">
        <f t="shared" si="69"/>
        <v>0.30951826773534119</v>
      </c>
      <c r="AU156" s="702">
        <f t="shared" si="70"/>
        <v>0.34225622442872461</v>
      </c>
      <c r="AV156" s="702">
        <f t="shared" si="71"/>
        <v>0.37581263003944265</v>
      </c>
      <c r="AW156" s="986">
        <f t="shared" si="72"/>
        <v>0.41020794579042863</v>
      </c>
      <c r="AX156" s="214"/>
      <c r="AY156" s="3"/>
      <c r="AZ156" s="3"/>
      <c r="BA156" s="3"/>
      <c r="BB156" s="3"/>
    </row>
    <row r="157" spans="1:54" ht="12" x14ac:dyDescent="0.25">
      <c r="A157" s="3"/>
      <c r="B157" s="212"/>
      <c r="C157" s="278" t="s">
        <v>819</v>
      </c>
      <c r="D157" s="279" t="str">
        <f>IF('WK2 - Notional General Income'!D107="","",'WK2 - Notional General Income'!D107)</f>
        <v/>
      </c>
      <c r="E157" s="557" t="str">
        <f>IF('WK2 - Notional General Income'!M107=".",".",'WK2 - Notional General Income'!M107/'WK2 - Notional General Income'!E107)</f>
        <v>.</v>
      </c>
      <c r="F157" s="557" t="str">
        <f>IF('WK3 - Notional GI Yr1 YIELD'!M107=".",".",'WK3 - Notional GI Yr1 YIELD'!M107/'WK3 - Notional GI Yr1 YIELD'!E107)</f>
        <v>.</v>
      </c>
      <c r="G157" s="578"/>
      <c r="H157" s="578"/>
      <c r="I157" s="578"/>
      <c r="J157" s="578"/>
      <c r="K157" s="578"/>
      <c r="L157" s="578"/>
      <c r="M157" s="220"/>
      <c r="N157" s="3"/>
      <c r="O157" s="655">
        <f>'WK2 - Notional General Income'!$E107</f>
        <v>0</v>
      </c>
      <c r="P157" s="657">
        <f>'WK3 - Notional GI Yr1 YIELD'!$E107</f>
        <v>0</v>
      </c>
      <c r="Q157" s="3"/>
      <c r="R157" s="212"/>
      <c r="S157" s="699" t="str">
        <f t="shared" si="73"/>
        <v>.</v>
      </c>
      <c r="T157" s="700" t="str">
        <f t="shared" si="54"/>
        <v>.</v>
      </c>
      <c r="U157" s="700" t="str">
        <f t="shared" si="86"/>
        <v>.</v>
      </c>
      <c r="V157" s="700" t="str">
        <f t="shared" si="87"/>
        <v>.</v>
      </c>
      <c r="W157" s="700" t="str">
        <f t="shared" si="88"/>
        <v>.</v>
      </c>
      <c r="X157" s="700" t="str">
        <f t="shared" si="89"/>
        <v>.</v>
      </c>
      <c r="Y157" s="701" t="str">
        <f t="shared" si="90"/>
        <v>.</v>
      </c>
      <c r="Z157" s="3"/>
      <c r="AA157" s="985" t="str">
        <f t="shared" si="83"/>
        <v>.</v>
      </c>
      <c r="AB157" s="702" t="str">
        <f t="shared" si="61"/>
        <v>.</v>
      </c>
      <c r="AC157" s="702" t="str">
        <f t="shared" si="84"/>
        <v>.</v>
      </c>
      <c r="AD157" s="702" t="str">
        <f t="shared" si="63"/>
        <v>.</v>
      </c>
      <c r="AE157" s="702" t="str">
        <f t="shared" si="64"/>
        <v>.</v>
      </c>
      <c r="AF157" s="702" t="str">
        <f t="shared" si="65"/>
        <v>.</v>
      </c>
      <c r="AG157" s="986" t="str">
        <f t="shared" si="66"/>
        <v>.</v>
      </c>
      <c r="AH157" s="3"/>
      <c r="AI157" s="699" t="str">
        <f>IF(S157=".",".",SUM($S157:S157))</f>
        <v>.</v>
      </c>
      <c r="AJ157" s="700" t="str">
        <f>IF(T157=".",".",SUM($S157:T157))</f>
        <v>.</v>
      </c>
      <c r="AK157" s="700" t="str">
        <f>IF(U157=".",".",SUM($S157:U157))</f>
        <v>.</v>
      </c>
      <c r="AL157" s="700" t="str">
        <f>IF(V157=".",".",SUM($S157:V157))</f>
        <v>.</v>
      </c>
      <c r="AM157" s="700" t="str">
        <f>IF(W157=".",".",SUM($S157:W157))</f>
        <v>.</v>
      </c>
      <c r="AN157" s="700" t="str">
        <f>IF(X157=".",".",SUM($S157:X157))</f>
        <v>.</v>
      </c>
      <c r="AO157" s="701" t="str">
        <f>IF(Y157=".",".",SUM($S157:Y157))</f>
        <v>.</v>
      </c>
      <c r="AP157" s="3"/>
      <c r="AQ157" s="985" t="str">
        <f t="shared" si="74"/>
        <v>.</v>
      </c>
      <c r="AR157" s="702" t="str">
        <f t="shared" si="67"/>
        <v>.</v>
      </c>
      <c r="AS157" s="702" t="str">
        <f t="shared" si="68"/>
        <v>.</v>
      </c>
      <c r="AT157" s="702" t="str">
        <f t="shared" si="69"/>
        <v>.</v>
      </c>
      <c r="AU157" s="702" t="str">
        <f t="shared" si="70"/>
        <v>.</v>
      </c>
      <c r="AV157" s="702" t="str">
        <f t="shared" si="71"/>
        <v>.</v>
      </c>
      <c r="AW157" s="986" t="str">
        <f t="shared" si="72"/>
        <v>.</v>
      </c>
      <c r="AX157" s="214"/>
      <c r="AY157" s="3"/>
      <c r="AZ157" s="3"/>
      <c r="BA157" s="3"/>
      <c r="BB157" s="3"/>
    </row>
    <row r="158" spans="1:54" ht="12" x14ac:dyDescent="0.25">
      <c r="A158" s="3"/>
      <c r="B158" s="212"/>
      <c r="C158" s="278" t="s">
        <v>819</v>
      </c>
      <c r="D158" s="279" t="str">
        <f>IF('WK2 - Notional General Income'!D108="","",'WK2 - Notional General Income'!D108)</f>
        <v/>
      </c>
      <c r="E158" s="557" t="str">
        <f>IF('WK2 - Notional General Income'!M108=".",".",'WK2 - Notional General Income'!M108/'WK2 - Notional General Income'!E108)</f>
        <v>.</v>
      </c>
      <c r="F158" s="557" t="str">
        <f>IF('WK3 - Notional GI Yr1 YIELD'!M108=".",".",'WK3 - Notional GI Yr1 YIELD'!M108/'WK3 - Notional GI Yr1 YIELD'!E108)</f>
        <v>.</v>
      </c>
      <c r="G158" s="578"/>
      <c r="H158" s="578"/>
      <c r="I158" s="578"/>
      <c r="J158" s="578"/>
      <c r="K158" s="578"/>
      <c r="L158" s="578"/>
      <c r="M158" s="220"/>
      <c r="N158" s="3"/>
      <c r="O158" s="655">
        <f>'WK2 - Notional General Income'!$E108</f>
        <v>0</v>
      </c>
      <c r="P158" s="657">
        <f>'WK3 - Notional GI Yr1 YIELD'!$E108</f>
        <v>0</v>
      </c>
      <c r="Q158" s="3"/>
      <c r="R158" s="212"/>
      <c r="S158" s="699" t="str">
        <f t="shared" si="73"/>
        <v>.</v>
      </c>
      <c r="T158" s="700" t="str">
        <f t="shared" si="54"/>
        <v>.</v>
      </c>
      <c r="U158" s="700" t="str">
        <f t="shared" si="86"/>
        <v>.</v>
      </c>
      <c r="V158" s="700" t="str">
        <f t="shared" si="87"/>
        <v>.</v>
      </c>
      <c r="W158" s="700" t="str">
        <f t="shared" si="88"/>
        <v>.</v>
      </c>
      <c r="X158" s="700" t="str">
        <f t="shared" si="89"/>
        <v>.</v>
      </c>
      <c r="Y158" s="701" t="str">
        <f t="shared" si="90"/>
        <v>.</v>
      </c>
      <c r="Z158" s="3"/>
      <c r="AA158" s="985" t="str">
        <f t="shared" si="83"/>
        <v>.</v>
      </c>
      <c r="AB158" s="702" t="str">
        <f t="shared" si="61"/>
        <v>.</v>
      </c>
      <c r="AC158" s="702" t="str">
        <f t="shared" si="84"/>
        <v>.</v>
      </c>
      <c r="AD158" s="702" t="str">
        <f t="shared" si="63"/>
        <v>.</v>
      </c>
      <c r="AE158" s="702" t="str">
        <f t="shared" si="64"/>
        <v>.</v>
      </c>
      <c r="AF158" s="702" t="str">
        <f t="shared" si="65"/>
        <v>.</v>
      </c>
      <c r="AG158" s="986" t="str">
        <f t="shared" si="66"/>
        <v>.</v>
      </c>
      <c r="AH158" s="3"/>
      <c r="AI158" s="699" t="str">
        <f>IF(S158=".",".",SUM($S158:S158))</f>
        <v>.</v>
      </c>
      <c r="AJ158" s="700" t="str">
        <f>IF(T158=".",".",SUM($S158:T158))</f>
        <v>.</v>
      </c>
      <c r="AK158" s="700" t="str">
        <f>IF(U158=".",".",SUM($S158:U158))</f>
        <v>.</v>
      </c>
      <c r="AL158" s="700" t="str">
        <f>IF(V158=".",".",SUM($S158:V158))</f>
        <v>.</v>
      </c>
      <c r="AM158" s="700" t="str">
        <f>IF(W158=".",".",SUM($S158:W158))</f>
        <v>.</v>
      </c>
      <c r="AN158" s="700" t="str">
        <f>IF(X158=".",".",SUM($S158:X158))</f>
        <v>.</v>
      </c>
      <c r="AO158" s="701" t="str">
        <f>IF(Y158=".",".",SUM($S158:Y158))</f>
        <v>.</v>
      </c>
      <c r="AP158" s="3"/>
      <c r="AQ158" s="985" t="str">
        <f t="shared" si="74"/>
        <v>.</v>
      </c>
      <c r="AR158" s="702" t="str">
        <f t="shared" si="67"/>
        <v>.</v>
      </c>
      <c r="AS158" s="702" t="str">
        <f t="shared" si="68"/>
        <v>.</v>
      </c>
      <c r="AT158" s="702" t="str">
        <f t="shared" si="69"/>
        <v>.</v>
      </c>
      <c r="AU158" s="702" t="str">
        <f t="shared" si="70"/>
        <v>.</v>
      </c>
      <c r="AV158" s="702" t="str">
        <f t="shared" si="71"/>
        <v>.</v>
      </c>
      <c r="AW158" s="986" t="str">
        <f t="shared" si="72"/>
        <v>.</v>
      </c>
      <c r="AX158" s="214"/>
      <c r="AY158" s="3"/>
      <c r="AZ158" s="3"/>
      <c r="BA158" s="3"/>
      <c r="BB158" s="3"/>
    </row>
    <row r="159" spans="1:54" ht="12" x14ac:dyDescent="0.25">
      <c r="A159" s="3"/>
      <c r="B159" s="212"/>
      <c r="C159" s="278" t="s">
        <v>819</v>
      </c>
      <c r="D159" s="279" t="str">
        <f>IF('WK2 - Notional General Income'!D109="","",'WK2 - Notional General Income'!D109)</f>
        <v/>
      </c>
      <c r="E159" s="557" t="str">
        <f>IF('WK2 - Notional General Income'!M109=".",".",'WK2 - Notional General Income'!M109/'WK2 - Notional General Income'!E109)</f>
        <v>.</v>
      </c>
      <c r="F159" s="557" t="str">
        <f>IF('WK3 - Notional GI Yr1 YIELD'!M109=".",".",'WK3 - Notional GI Yr1 YIELD'!M109/'WK3 - Notional GI Yr1 YIELD'!E109)</f>
        <v>.</v>
      </c>
      <c r="G159" s="578"/>
      <c r="H159" s="578"/>
      <c r="I159" s="578"/>
      <c r="J159" s="578"/>
      <c r="K159" s="578"/>
      <c r="L159" s="578"/>
      <c r="M159" s="220"/>
      <c r="N159" s="3"/>
      <c r="O159" s="655">
        <f>'WK2 - Notional General Income'!$E109</f>
        <v>0</v>
      </c>
      <c r="P159" s="657">
        <f>'WK3 - Notional GI Yr1 YIELD'!$E109</f>
        <v>0</v>
      </c>
      <c r="Q159" s="3"/>
      <c r="R159" s="212"/>
      <c r="S159" s="699" t="str">
        <f t="shared" si="73"/>
        <v>.</v>
      </c>
      <c r="T159" s="700" t="str">
        <f t="shared" si="54"/>
        <v>.</v>
      </c>
      <c r="U159" s="700" t="str">
        <f t="shared" si="86"/>
        <v>.</v>
      </c>
      <c r="V159" s="700" t="str">
        <f t="shared" si="87"/>
        <v>.</v>
      </c>
      <c r="W159" s="700" t="str">
        <f t="shared" si="88"/>
        <v>.</v>
      </c>
      <c r="X159" s="700" t="str">
        <f t="shared" si="89"/>
        <v>.</v>
      </c>
      <c r="Y159" s="701" t="str">
        <f t="shared" si="90"/>
        <v>.</v>
      </c>
      <c r="Z159" s="3"/>
      <c r="AA159" s="985" t="str">
        <f t="shared" si="83"/>
        <v>.</v>
      </c>
      <c r="AB159" s="702" t="str">
        <f t="shared" si="61"/>
        <v>.</v>
      </c>
      <c r="AC159" s="702" t="str">
        <f t="shared" si="84"/>
        <v>.</v>
      </c>
      <c r="AD159" s="702" t="str">
        <f t="shared" si="63"/>
        <v>.</v>
      </c>
      <c r="AE159" s="702" t="str">
        <f t="shared" si="64"/>
        <v>.</v>
      </c>
      <c r="AF159" s="702" t="str">
        <f t="shared" si="65"/>
        <v>.</v>
      </c>
      <c r="AG159" s="986" t="str">
        <f t="shared" si="66"/>
        <v>.</v>
      </c>
      <c r="AH159" s="3"/>
      <c r="AI159" s="699" t="str">
        <f>IF(S159=".",".",SUM($S159:S159))</f>
        <v>.</v>
      </c>
      <c r="AJ159" s="700" t="str">
        <f>IF(T159=".",".",SUM($S159:T159))</f>
        <v>.</v>
      </c>
      <c r="AK159" s="700" t="str">
        <f>IF(U159=".",".",SUM($S159:U159))</f>
        <v>.</v>
      </c>
      <c r="AL159" s="700" t="str">
        <f>IF(V159=".",".",SUM($S159:V159))</f>
        <v>.</v>
      </c>
      <c r="AM159" s="700" t="str">
        <f>IF(W159=".",".",SUM($S159:W159))</f>
        <v>.</v>
      </c>
      <c r="AN159" s="700" t="str">
        <f>IF(X159=".",".",SUM($S159:X159))</f>
        <v>.</v>
      </c>
      <c r="AO159" s="701" t="str">
        <f>IF(Y159=".",".",SUM($S159:Y159))</f>
        <v>.</v>
      </c>
      <c r="AP159" s="3"/>
      <c r="AQ159" s="985" t="str">
        <f t="shared" si="74"/>
        <v>.</v>
      </c>
      <c r="AR159" s="702" t="str">
        <f t="shared" si="67"/>
        <v>.</v>
      </c>
      <c r="AS159" s="702" t="str">
        <f t="shared" si="68"/>
        <v>.</v>
      </c>
      <c r="AT159" s="702" t="str">
        <f t="shared" si="69"/>
        <v>.</v>
      </c>
      <c r="AU159" s="702" t="str">
        <f t="shared" si="70"/>
        <v>.</v>
      </c>
      <c r="AV159" s="702" t="str">
        <f t="shared" si="71"/>
        <v>.</v>
      </c>
      <c r="AW159" s="986" t="str">
        <f t="shared" si="72"/>
        <v>.</v>
      </c>
      <c r="AX159" s="214"/>
      <c r="AY159" s="3"/>
      <c r="AZ159" s="3"/>
      <c r="BA159" s="3"/>
      <c r="BB159" s="3"/>
    </row>
    <row r="160" spans="1:54" ht="12" x14ac:dyDescent="0.25">
      <c r="A160" s="3"/>
      <c r="B160" s="212"/>
      <c r="C160" s="278" t="s">
        <v>819</v>
      </c>
      <c r="D160" s="279" t="str">
        <f>IF('WK2 - Notional General Income'!D110="","",'WK2 - Notional General Income'!D110)</f>
        <v/>
      </c>
      <c r="E160" s="557" t="str">
        <f>IF('WK2 - Notional General Income'!M110=".",".",'WK2 - Notional General Income'!M110/'WK2 - Notional General Income'!E110)</f>
        <v>.</v>
      </c>
      <c r="F160" s="557" t="str">
        <f>IF('WK3 - Notional GI Yr1 YIELD'!M110=".",".",'WK3 - Notional GI Yr1 YIELD'!M110/'WK3 - Notional GI Yr1 YIELD'!E110)</f>
        <v>.</v>
      </c>
      <c r="G160" s="578"/>
      <c r="H160" s="578"/>
      <c r="I160" s="578"/>
      <c r="J160" s="578"/>
      <c r="K160" s="578"/>
      <c r="L160" s="578"/>
      <c r="M160" s="220"/>
      <c r="N160" s="3"/>
      <c r="O160" s="655">
        <f>'WK2 - Notional General Income'!$E110</f>
        <v>0</v>
      </c>
      <c r="P160" s="657">
        <f>'WK3 - Notional GI Yr1 YIELD'!$E110</f>
        <v>0</v>
      </c>
      <c r="Q160" s="3"/>
      <c r="R160" s="212"/>
      <c r="S160" s="699" t="str">
        <f t="shared" si="73"/>
        <v>.</v>
      </c>
      <c r="T160" s="700" t="str">
        <f t="shared" si="54"/>
        <v>.</v>
      </c>
      <c r="U160" s="700" t="str">
        <f t="shared" si="86"/>
        <v>.</v>
      </c>
      <c r="V160" s="700" t="str">
        <f t="shared" si="87"/>
        <v>.</v>
      </c>
      <c r="W160" s="700" t="str">
        <f t="shared" si="88"/>
        <v>.</v>
      </c>
      <c r="X160" s="700" t="str">
        <f t="shared" si="89"/>
        <v>.</v>
      </c>
      <c r="Y160" s="701" t="str">
        <f t="shared" si="90"/>
        <v>.</v>
      </c>
      <c r="Z160" s="3"/>
      <c r="AA160" s="985" t="str">
        <f t="shared" si="83"/>
        <v>.</v>
      </c>
      <c r="AB160" s="702" t="str">
        <f t="shared" si="61"/>
        <v>.</v>
      </c>
      <c r="AC160" s="702" t="str">
        <f t="shared" si="84"/>
        <v>.</v>
      </c>
      <c r="AD160" s="702" t="str">
        <f t="shared" si="63"/>
        <v>.</v>
      </c>
      <c r="AE160" s="702" t="str">
        <f t="shared" si="64"/>
        <v>.</v>
      </c>
      <c r="AF160" s="702" t="str">
        <f t="shared" si="65"/>
        <v>.</v>
      </c>
      <c r="AG160" s="986" t="str">
        <f t="shared" si="66"/>
        <v>.</v>
      </c>
      <c r="AH160" s="3"/>
      <c r="AI160" s="699" t="str">
        <f>IF(S160=".",".",SUM($S160:S160))</f>
        <v>.</v>
      </c>
      <c r="AJ160" s="700" t="str">
        <f>IF(T160=".",".",SUM($S160:T160))</f>
        <v>.</v>
      </c>
      <c r="AK160" s="700" t="str">
        <f>IF(U160=".",".",SUM($S160:U160))</f>
        <v>.</v>
      </c>
      <c r="AL160" s="700" t="str">
        <f>IF(V160=".",".",SUM($S160:V160))</f>
        <v>.</v>
      </c>
      <c r="AM160" s="700" t="str">
        <f>IF(W160=".",".",SUM($S160:W160))</f>
        <v>.</v>
      </c>
      <c r="AN160" s="700" t="str">
        <f>IF(X160=".",".",SUM($S160:X160))</f>
        <v>.</v>
      </c>
      <c r="AO160" s="701" t="str">
        <f>IF(Y160=".",".",SUM($S160:Y160))</f>
        <v>.</v>
      </c>
      <c r="AP160" s="3"/>
      <c r="AQ160" s="985" t="str">
        <f t="shared" si="74"/>
        <v>.</v>
      </c>
      <c r="AR160" s="702" t="str">
        <f t="shared" si="67"/>
        <v>.</v>
      </c>
      <c r="AS160" s="702" t="str">
        <f t="shared" si="68"/>
        <v>.</v>
      </c>
      <c r="AT160" s="702" t="str">
        <f t="shared" si="69"/>
        <v>.</v>
      </c>
      <c r="AU160" s="702" t="str">
        <f t="shared" si="70"/>
        <v>.</v>
      </c>
      <c r="AV160" s="702" t="str">
        <f t="shared" si="71"/>
        <v>.</v>
      </c>
      <c r="AW160" s="986" t="str">
        <f t="shared" si="72"/>
        <v>.</v>
      </c>
      <c r="AX160" s="214"/>
      <c r="AY160" s="3"/>
      <c r="AZ160" s="3"/>
      <c r="BA160" s="3"/>
      <c r="BB160" s="3"/>
    </row>
    <row r="161" spans="1:54" ht="12" x14ac:dyDescent="0.25">
      <c r="A161" s="3"/>
      <c r="B161" s="212"/>
      <c r="C161" s="278" t="s">
        <v>819</v>
      </c>
      <c r="D161" s="279" t="str">
        <f>IF('WK2 - Notional General Income'!D111="","",'WK2 - Notional General Income'!D111)</f>
        <v/>
      </c>
      <c r="E161" s="557" t="str">
        <f>IF('WK2 - Notional General Income'!M111=".",".",'WK2 - Notional General Income'!M111/'WK2 - Notional General Income'!E111)</f>
        <v>.</v>
      </c>
      <c r="F161" s="557" t="str">
        <f>IF('WK3 - Notional GI Yr1 YIELD'!M111=".",".",'WK3 - Notional GI Yr1 YIELD'!M111/'WK3 - Notional GI Yr1 YIELD'!E111)</f>
        <v>.</v>
      </c>
      <c r="G161" s="578"/>
      <c r="H161" s="578"/>
      <c r="I161" s="578"/>
      <c r="J161" s="578"/>
      <c r="K161" s="578"/>
      <c r="L161" s="578"/>
      <c r="M161" s="220"/>
      <c r="N161" s="3"/>
      <c r="O161" s="655">
        <f>'WK2 - Notional General Income'!$E111</f>
        <v>0</v>
      </c>
      <c r="P161" s="657">
        <f>'WK3 - Notional GI Yr1 YIELD'!$E111</f>
        <v>0</v>
      </c>
      <c r="Q161" s="3"/>
      <c r="R161" s="212"/>
      <c r="S161" s="699" t="str">
        <f t="shared" si="73"/>
        <v>.</v>
      </c>
      <c r="T161" s="700" t="str">
        <f t="shared" si="54"/>
        <v>.</v>
      </c>
      <c r="U161" s="700" t="str">
        <f t="shared" si="86"/>
        <v>.</v>
      </c>
      <c r="V161" s="700" t="str">
        <f t="shared" si="87"/>
        <v>.</v>
      </c>
      <c r="W161" s="700" t="str">
        <f t="shared" si="88"/>
        <v>.</v>
      </c>
      <c r="X161" s="700" t="str">
        <f t="shared" si="89"/>
        <v>.</v>
      </c>
      <c r="Y161" s="701" t="str">
        <f t="shared" si="90"/>
        <v>.</v>
      </c>
      <c r="Z161" s="3"/>
      <c r="AA161" s="985" t="str">
        <f t="shared" si="83"/>
        <v>.</v>
      </c>
      <c r="AB161" s="702" t="str">
        <f t="shared" si="61"/>
        <v>.</v>
      </c>
      <c r="AC161" s="702" t="str">
        <f t="shared" si="84"/>
        <v>.</v>
      </c>
      <c r="AD161" s="702" t="str">
        <f t="shared" si="63"/>
        <v>.</v>
      </c>
      <c r="AE161" s="702" t="str">
        <f t="shared" si="64"/>
        <v>.</v>
      </c>
      <c r="AF161" s="702" t="str">
        <f t="shared" si="65"/>
        <v>.</v>
      </c>
      <c r="AG161" s="986" t="str">
        <f t="shared" si="66"/>
        <v>.</v>
      </c>
      <c r="AH161" s="3"/>
      <c r="AI161" s="699" t="str">
        <f>IF(S161=".",".",SUM($S161:S161))</f>
        <v>.</v>
      </c>
      <c r="AJ161" s="700" t="str">
        <f>IF(T161=".",".",SUM($S161:T161))</f>
        <v>.</v>
      </c>
      <c r="AK161" s="700" t="str">
        <f>IF(U161=".",".",SUM($S161:U161))</f>
        <v>.</v>
      </c>
      <c r="AL161" s="700" t="str">
        <f>IF(V161=".",".",SUM($S161:V161))</f>
        <v>.</v>
      </c>
      <c r="AM161" s="700" t="str">
        <f>IF(W161=".",".",SUM($S161:W161))</f>
        <v>.</v>
      </c>
      <c r="AN161" s="700" t="str">
        <f>IF(X161=".",".",SUM($S161:X161))</f>
        <v>.</v>
      </c>
      <c r="AO161" s="701" t="str">
        <f>IF(Y161=".",".",SUM($S161:Y161))</f>
        <v>.</v>
      </c>
      <c r="AP161" s="3"/>
      <c r="AQ161" s="985" t="str">
        <f t="shared" si="74"/>
        <v>.</v>
      </c>
      <c r="AR161" s="702" t="str">
        <f t="shared" si="67"/>
        <v>.</v>
      </c>
      <c r="AS161" s="702" t="str">
        <f t="shared" si="68"/>
        <v>.</v>
      </c>
      <c r="AT161" s="702" t="str">
        <f t="shared" si="69"/>
        <v>.</v>
      </c>
      <c r="AU161" s="702" t="str">
        <f t="shared" si="70"/>
        <v>.</v>
      </c>
      <c r="AV161" s="702" t="str">
        <f t="shared" si="71"/>
        <v>.</v>
      </c>
      <c r="AW161" s="986" t="str">
        <f t="shared" si="72"/>
        <v>.</v>
      </c>
      <c r="AX161" s="214"/>
      <c r="AY161" s="3"/>
      <c r="AZ161" s="3"/>
      <c r="BA161" s="3"/>
      <c r="BB161" s="3"/>
    </row>
    <row r="162" spans="1:54" ht="12" x14ac:dyDescent="0.25">
      <c r="A162" s="3"/>
      <c r="B162" s="212"/>
      <c r="C162" s="278" t="s">
        <v>819</v>
      </c>
      <c r="D162" s="279" t="str">
        <f>IF('WK2 - Notional General Income'!D112="","",'WK2 - Notional General Income'!D112)</f>
        <v/>
      </c>
      <c r="E162" s="557" t="str">
        <f>IF('WK2 - Notional General Income'!M112=".",".",'WK2 - Notional General Income'!M112/'WK2 - Notional General Income'!E112)</f>
        <v>.</v>
      </c>
      <c r="F162" s="557" t="str">
        <f>IF('WK3 - Notional GI Yr1 YIELD'!M112=".",".",'WK3 - Notional GI Yr1 YIELD'!M112/'WK3 - Notional GI Yr1 YIELD'!E112)</f>
        <v>.</v>
      </c>
      <c r="G162" s="578"/>
      <c r="H162" s="578"/>
      <c r="I162" s="578"/>
      <c r="J162" s="578"/>
      <c r="K162" s="578"/>
      <c r="L162" s="578"/>
      <c r="M162" s="220"/>
      <c r="N162" s="3"/>
      <c r="O162" s="655">
        <f>'WK2 - Notional General Income'!$E112</f>
        <v>0</v>
      </c>
      <c r="P162" s="657">
        <f>'WK3 - Notional GI Yr1 YIELD'!$E112</f>
        <v>0</v>
      </c>
      <c r="Q162" s="3"/>
      <c r="R162" s="212"/>
      <c r="S162" s="699" t="str">
        <f t="shared" si="73"/>
        <v>.</v>
      </c>
      <c r="T162" s="700" t="str">
        <f t="shared" ref="T162:T216" si="98">IF(OR(F162=".",G162="."),".",G162-F162)</f>
        <v>.</v>
      </c>
      <c r="U162" s="700" t="str">
        <f t="shared" ref="U162:U193" si="99">IF(H162="",".",H162-G162)</f>
        <v>.</v>
      </c>
      <c r="V162" s="700" t="str">
        <f t="shared" ref="V162:V193" si="100">IF(I162="",".",I162-H162)</f>
        <v>.</v>
      </c>
      <c r="W162" s="700" t="str">
        <f t="shared" ref="W162:W193" si="101">IF(J162="",".",J162-I162)</f>
        <v>.</v>
      </c>
      <c r="X162" s="700" t="str">
        <f t="shared" ref="X162:X193" si="102">IF(K162="",".",K162-J162)</f>
        <v>.</v>
      </c>
      <c r="Y162" s="701" t="str">
        <f t="shared" ref="Y162:Y193" si="103">IF(L162="",".",L162-K162)</f>
        <v>.</v>
      </c>
      <c r="Z162" s="3"/>
      <c r="AA162" s="985" t="str">
        <f t="shared" si="83"/>
        <v>.</v>
      </c>
      <c r="AB162" s="702" t="str">
        <f t="shared" ref="AB162:AB174" si="104">IFERROR(G162/F162-1,".")</f>
        <v>.</v>
      </c>
      <c r="AC162" s="702" t="str">
        <f t="shared" si="84"/>
        <v>.</v>
      </c>
      <c r="AD162" s="702" t="str">
        <f t="shared" ref="AD162:AD177" si="105">IFERROR(I162/H162-1,".")</f>
        <v>.</v>
      </c>
      <c r="AE162" s="702" t="str">
        <f t="shared" ref="AE162:AE177" si="106">IFERROR(J162/I162-1,".")</f>
        <v>.</v>
      </c>
      <c r="AF162" s="702" t="str">
        <f t="shared" ref="AF162:AF177" si="107">IFERROR(K162/J162-1,".")</f>
        <v>.</v>
      </c>
      <c r="AG162" s="986" t="str">
        <f t="shared" ref="AG162:AG216" si="108">IFERROR(L162/K162-1,".")</f>
        <v>.</v>
      </c>
      <c r="AH162" s="3"/>
      <c r="AI162" s="699" t="str">
        <f>IF(S162=".",".",SUM($S162:S162))</f>
        <v>.</v>
      </c>
      <c r="AJ162" s="700" t="str">
        <f>IF(T162=".",".",SUM($S162:T162))</f>
        <v>.</v>
      </c>
      <c r="AK162" s="700" t="str">
        <f>IF(U162=".",".",SUM($S162:U162))</f>
        <v>.</v>
      </c>
      <c r="AL162" s="700" t="str">
        <f>IF(V162=".",".",SUM($S162:V162))</f>
        <v>.</v>
      </c>
      <c r="AM162" s="700" t="str">
        <f>IF(W162=".",".",SUM($S162:W162))</f>
        <v>.</v>
      </c>
      <c r="AN162" s="700" t="str">
        <f>IF(X162=".",".",SUM($S162:X162))</f>
        <v>.</v>
      </c>
      <c r="AO162" s="701" t="str">
        <f>IF(Y162=".",".",SUM($S162:Y162))</f>
        <v>.</v>
      </c>
      <c r="AP162" s="3"/>
      <c r="AQ162" s="985" t="str">
        <f t="shared" si="74"/>
        <v>.</v>
      </c>
      <c r="AR162" s="702" t="str">
        <f t="shared" ref="AR162:AR216" si="109">IFERROR(G162/$E162-1,".")</f>
        <v>.</v>
      </c>
      <c r="AS162" s="702" t="str">
        <f t="shared" ref="AS162:AS216" si="110">IFERROR(H162/$E162-1,".")</f>
        <v>.</v>
      </c>
      <c r="AT162" s="702" t="str">
        <f t="shared" ref="AT162:AT216" si="111">IFERROR(I162/$E162-1,".")</f>
        <v>.</v>
      </c>
      <c r="AU162" s="702" t="str">
        <f t="shared" ref="AU162:AU216" si="112">IFERROR(J162/$E162-1,".")</f>
        <v>.</v>
      </c>
      <c r="AV162" s="702" t="str">
        <f t="shared" ref="AV162:AV216" si="113">IFERROR(K162/$E162-1,".")</f>
        <v>.</v>
      </c>
      <c r="AW162" s="986" t="str">
        <f t="shared" ref="AW162:AW216" si="114">IFERROR(L162/$E162-1,".")</f>
        <v>.</v>
      </c>
      <c r="AX162" s="214"/>
      <c r="AY162" s="3"/>
      <c r="AZ162" s="3"/>
      <c r="BA162" s="3"/>
      <c r="BB162" s="3"/>
    </row>
    <row r="163" spans="1:54" ht="12" x14ac:dyDescent="0.25">
      <c r="A163" s="3"/>
      <c r="B163" s="212"/>
      <c r="C163" s="278" t="s">
        <v>819</v>
      </c>
      <c r="D163" s="279" t="str">
        <f>IF('WK2 - Notional General Income'!D113="","",'WK2 - Notional General Income'!D113)</f>
        <v/>
      </c>
      <c r="E163" s="557" t="str">
        <f>IF('WK2 - Notional General Income'!M113=".",".",'WK2 - Notional General Income'!M113/'WK2 - Notional General Income'!E113)</f>
        <v>.</v>
      </c>
      <c r="F163" s="557" t="str">
        <f>IF('WK3 - Notional GI Yr1 YIELD'!M113=".",".",'WK3 - Notional GI Yr1 YIELD'!M113/'WK3 - Notional GI Yr1 YIELD'!E113)</f>
        <v>.</v>
      </c>
      <c r="G163" s="578"/>
      <c r="H163" s="578"/>
      <c r="I163" s="578"/>
      <c r="J163" s="578"/>
      <c r="K163" s="578"/>
      <c r="L163" s="578"/>
      <c r="M163" s="220"/>
      <c r="N163" s="3"/>
      <c r="O163" s="655">
        <f>'WK2 - Notional General Income'!$E113</f>
        <v>0</v>
      </c>
      <c r="P163" s="657">
        <f>'WK3 - Notional GI Yr1 YIELD'!$E113</f>
        <v>0</v>
      </c>
      <c r="Q163" s="3"/>
      <c r="R163" s="212"/>
      <c r="S163" s="699" t="str">
        <f t="shared" ref="S163:S216" si="115">IF(OR(E163=".",F163="."),".",F163-E163)</f>
        <v>.</v>
      </c>
      <c r="T163" s="700" t="str">
        <f t="shared" si="98"/>
        <v>.</v>
      </c>
      <c r="U163" s="700" t="str">
        <f t="shared" si="99"/>
        <v>.</v>
      </c>
      <c r="V163" s="700" t="str">
        <f t="shared" si="100"/>
        <v>.</v>
      </c>
      <c r="W163" s="700" t="str">
        <f t="shared" si="101"/>
        <v>.</v>
      </c>
      <c r="X163" s="700" t="str">
        <f t="shared" si="102"/>
        <v>.</v>
      </c>
      <c r="Y163" s="701" t="str">
        <f t="shared" si="103"/>
        <v>.</v>
      </c>
      <c r="Z163" s="3"/>
      <c r="AA163" s="985" t="str">
        <f t="shared" si="83"/>
        <v>.</v>
      </c>
      <c r="AB163" s="702" t="str">
        <f t="shared" si="104"/>
        <v>.</v>
      </c>
      <c r="AC163" s="702" t="str">
        <f t="shared" si="84"/>
        <v>.</v>
      </c>
      <c r="AD163" s="702" t="str">
        <f t="shared" si="105"/>
        <v>.</v>
      </c>
      <c r="AE163" s="702" t="str">
        <f t="shared" si="106"/>
        <v>.</v>
      </c>
      <c r="AF163" s="702" t="str">
        <f t="shared" si="107"/>
        <v>.</v>
      </c>
      <c r="AG163" s="986" t="str">
        <f t="shared" si="108"/>
        <v>.</v>
      </c>
      <c r="AH163" s="3"/>
      <c r="AI163" s="699" t="str">
        <f>IF(S163=".",".",SUM($S163:S163))</f>
        <v>.</v>
      </c>
      <c r="AJ163" s="700" t="str">
        <f>IF(T163=".",".",SUM($S163:T163))</f>
        <v>.</v>
      </c>
      <c r="AK163" s="700" t="str">
        <f>IF(U163=".",".",SUM($S163:U163))</f>
        <v>.</v>
      </c>
      <c r="AL163" s="700" t="str">
        <f>IF(V163=".",".",SUM($S163:V163))</f>
        <v>.</v>
      </c>
      <c r="AM163" s="700" t="str">
        <f>IF(W163=".",".",SUM($S163:W163))</f>
        <v>.</v>
      </c>
      <c r="AN163" s="700" t="str">
        <f>IF(X163=".",".",SUM($S163:X163))</f>
        <v>.</v>
      </c>
      <c r="AO163" s="701" t="str">
        <f>IF(Y163=".",".",SUM($S163:Y163))</f>
        <v>.</v>
      </c>
      <c r="AP163" s="3"/>
      <c r="AQ163" s="985" t="str">
        <f t="shared" ref="AQ163:AQ216" si="116">IFERROR(F163/$E163-1,".")</f>
        <v>.</v>
      </c>
      <c r="AR163" s="702" t="str">
        <f t="shared" si="109"/>
        <v>.</v>
      </c>
      <c r="AS163" s="702" t="str">
        <f t="shared" si="110"/>
        <v>.</v>
      </c>
      <c r="AT163" s="702" t="str">
        <f t="shared" si="111"/>
        <v>.</v>
      </c>
      <c r="AU163" s="702" t="str">
        <f t="shared" si="112"/>
        <v>.</v>
      </c>
      <c r="AV163" s="702" t="str">
        <f t="shared" si="113"/>
        <v>.</v>
      </c>
      <c r="AW163" s="986" t="str">
        <f t="shared" si="114"/>
        <v>.</v>
      </c>
      <c r="AX163" s="214"/>
      <c r="AY163" s="3"/>
      <c r="AZ163" s="3"/>
      <c r="BA163" s="3"/>
      <c r="BB163" s="3"/>
    </row>
    <row r="164" spans="1:54" ht="12" x14ac:dyDescent="0.25">
      <c r="A164" s="3"/>
      <c r="B164" s="212"/>
      <c r="C164" s="278" t="s">
        <v>819</v>
      </c>
      <c r="D164" s="279" t="str">
        <f>IF('WK2 - Notional General Income'!D114="","",'WK2 - Notional General Income'!D114)</f>
        <v/>
      </c>
      <c r="E164" s="557" t="str">
        <f>IF('WK2 - Notional General Income'!M114=".",".",'WK2 - Notional General Income'!M114/'WK2 - Notional General Income'!E114)</f>
        <v>.</v>
      </c>
      <c r="F164" s="557" t="str">
        <f>IF('WK3 - Notional GI Yr1 YIELD'!M114=".",".",'WK3 - Notional GI Yr1 YIELD'!M114/'WK3 - Notional GI Yr1 YIELD'!E114)</f>
        <v>.</v>
      </c>
      <c r="G164" s="578"/>
      <c r="H164" s="578"/>
      <c r="I164" s="578"/>
      <c r="J164" s="578"/>
      <c r="K164" s="578"/>
      <c r="L164" s="578"/>
      <c r="M164" s="220"/>
      <c r="N164" s="3"/>
      <c r="O164" s="655">
        <f>'WK2 - Notional General Income'!$E114</f>
        <v>0</v>
      </c>
      <c r="P164" s="657">
        <f>'WK3 - Notional GI Yr1 YIELD'!$E114</f>
        <v>0</v>
      </c>
      <c r="Q164" s="3"/>
      <c r="R164" s="212"/>
      <c r="S164" s="699" t="str">
        <f t="shared" si="115"/>
        <v>.</v>
      </c>
      <c r="T164" s="700" t="str">
        <f t="shared" si="98"/>
        <v>.</v>
      </c>
      <c r="U164" s="700" t="str">
        <f t="shared" si="99"/>
        <v>.</v>
      </c>
      <c r="V164" s="700" t="str">
        <f t="shared" si="100"/>
        <v>.</v>
      </c>
      <c r="W164" s="700" t="str">
        <f t="shared" si="101"/>
        <v>.</v>
      </c>
      <c r="X164" s="700" t="str">
        <f t="shared" si="102"/>
        <v>.</v>
      </c>
      <c r="Y164" s="701" t="str">
        <f t="shared" si="103"/>
        <v>.</v>
      </c>
      <c r="Z164" s="3"/>
      <c r="AA164" s="985" t="str">
        <f t="shared" si="83"/>
        <v>.</v>
      </c>
      <c r="AB164" s="702" t="str">
        <f t="shared" si="104"/>
        <v>.</v>
      </c>
      <c r="AC164" s="702" t="str">
        <f t="shared" si="84"/>
        <v>.</v>
      </c>
      <c r="AD164" s="702" t="str">
        <f t="shared" si="105"/>
        <v>.</v>
      </c>
      <c r="AE164" s="702" t="str">
        <f t="shared" si="106"/>
        <v>.</v>
      </c>
      <c r="AF164" s="702" t="str">
        <f t="shared" si="107"/>
        <v>.</v>
      </c>
      <c r="AG164" s="986" t="str">
        <f t="shared" si="108"/>
        <v>.</v>
      </c>
      <c r="AH164" s="3"/>
      <c r="AI164" s="699" t="str">
        <f>IF(S164=".",".",SUM($S164:S164))</f>
        <v>.</v>
      </c>
      <c r="AJ164" s="700" t="str">
        <f>IF(T164=".",".",SUM($S164:T164))</f>
        <v>.</v>
      </c>
      <c r="AK164" s="700" t="str">
        <f>IF(U164=".",".",SUM($S164:U164))</f>
        <v>.</v>
      </c>
      <c r="AL164" s="700" t="str">
        <f>IF(V164=".",".",SUM($S164:V164))</f>
        <v>.</v>
      </c>
      <c r="AM164" s="700" t="str">
        <f>IF(W164=".",".",SUM($S164:W164))</f>
        <v>.</v>
      </c>
      <c r="AN164" s="700" t="str">
        <f>IF(X164=".",".",SUM($S164:X164))</f>
        <v>.</v>
      </c>
      <c r="AO164" s="701" t="str">
        <f>IF(Y164=".",".",SUM($S164:Y164))</f>
        <v>.</v>
      </c>
      <c r="AP164" s="3"/>
      <c r="AQ164" s="985" t="str">
        <f t="shared" si="116"/>
        <v>.</v>
      </c>
      <c r="AR164" s="702" t="str">
        <f t="shared" si="109"/>
        <v>.</v>
      </c>
      <c r="AS164" s="702" t="str">
        <f t="shared" si="110"/>
        <v>.</v>
      </c>
      <c r="AT164" s="702" t="str">
        <f t="shared" si="111"/>
        <v>.</v>
      </c>
      <c r="AU164" s="702" t="str">
        <f t="shared" si="112"/>
        <v>.</v>
      </c>
      <c r="AV164" s="702" t="str">
        <f t="shared" si="113"/>
        <v>.</v>
      </c>
      <c r="AW164" s="986" t="str">
        <f t="shared" si="114"/>
        <v>.</v>
      </c>
      <c r="AX164" s="214"/>
      <c r="AY164" s="3"/>
      <c r="AZ164" s="3"/>
      <c r="BA164" s="3"/>
      <c r="BB164" s="3"/>
    </row>
    <row r="165" spans="1:54" ht="12" x14ac:dyDescent="0.25">
      <c r="A165" s="3"/>
      <c r="B165" s="212"/>
      <c r="C165" s="278" t="s">
        <v>819</v>
      </c>
      <c r="D165" s="279" t="str">
        <f>IF('WK2 - Notional General Income'!D115="","",'WK2 - Notional General Income'!D115)</f>
        <v/>
      </c>
      <c r="E165" s="557" t="str">
        <f>IF('WK2 - Notional General Income'!M115=".",".",'WK2 - Notional General Income'!M115/'WK2 - Notional General Income'!E115)</f>
        <v>.</v>
      </c>
      <c r="F165" s="557" t="str">
        <f>IF('WK3 - Notional GI Yr1 YIELD'!M115=".",".",'WK3 - Notional GI Yr1 YIELD'!M115/'WK3 - Notional GI Yr1 YIELD'!E115)</f>
        <v>.</v>
      </c>
      <c r="G165" s="578"/>
      <c r="H165" s="578"/>
      <c r="I165" s="578"/>
      <c r="J165" s="578"/>
      <c r="K165" s="578"/>
      <c r="L165" s="578"/>
      <c r="M165" s="220"/>
      <c r="N165" s="3"/>
      <c r="O165" s="655">
        <f>'WK2 - Notional General Income'!$E115</f>
        <v>0</v>
      </c>
      <c r="P165" s="657">
        <f>'WK3 - Notional GI Yr1 YIELD'!$E115</f>
        <v>0</v>
      </c>
      <c r="Q165" s="3"/>
      <c r="R165" s="212"/>
      <c r="S165" s="699" t="str">
        <f t="shared" si="115"/>
        <v>.</v>
      </c>
      <c r="T165" s="700" t="str">
        <f t="shared" si="98"/>
        <v>.</v>
      </c>
      <c r="U165" s="700" t="str">
        <f t="shared" si="99"/>
        <v>.</v>
      </c>
      <c r="V165" s="700" t="str">
        <f t="shared" si="100"/>
        <v>.</v>
      </c>
      <c r="W165" s="700" t="str">
        <f t="shared" si="101"/>
        <v>.</v>
      </c>
      <c r="X165" s="700" t="str">
        <f t="shared" si="102"/>
        <v>.</v>
      </c>
      <c r="Y165" s="701" t="str">
        <f t="shared" si="103"/>
        <v>.</v>
      </c>
      <c r="Z165" s="3"/>
      <c r="AA165" s="985" t="str">
        <f t="shared" si="83"/>
        <v>.</v>
      </c>
      <c r="AB165" s="702" t="str">
        <f t="shared" si="104"/>
        <v>.</v>
      </c>
      <c r="AC165" s="702" t="str">
        <f t="shared" si="84"/>
        <v>.</v>
      </c>
      <c r="AD165" s="702" t="str">
        <f t="shared" si="105"/>
        <v>.</v>
      </c>
      <c r="AE165" s="702" t="str">
        <f t="shared" si="106"/>
        <v>.</v>
      </c>
      <c r="AF165" s="702" t="str">
        <f t="shared" si="107"/>
        <v>.</v>
      </c>
      <c r="AG165" s="986" t="str">
        <f t="shared" si="108"/>
        <v>.</v>
      </c>
      <c r="AH165" s="3"/>
      <c r="AI165" s="699" t="str">
        <f>IF(S165=".",".",SUM($S165:S165))</f>
        <v>.</v>
      </c>
      <c r="AJ165" s="700" t="str">
        <f>IF(T165=".",".",SUM($S165:T165))</f>
        <v>.</v>
      </c>
      <c r="AK165" s="700" t="str">
        <f>IF(U165=".",".",SUM($S165:U165))</f>
        <v>.</v>
      </c>
      <c r="AL165" s="700" t="str">
        <f>IF(V165=".",".",SUM($S165:V165))</f>
        <v>.</v>
      </c>
      <c r="AM165" s="700" t="str">
        <f>IF(W165=".",".",SUM($S165:W165))</f>
        <v>.</v>
      </c>
      <c r="AN165" s="700" t="str">
        <f>IF(X165=".",".",SUM($S165:X165))</f>
        <v>.</v>
      </c>
      <c r="AO165" s="701" t="str">
        <f>IF(Y165=".",".",SUM($S165:Y165))</f>
        <v>.</v>
      </c>
      <c r="AP165" s="3"/>
      <c r="AQ165" s="985" t="str">
        <f t="shared" si="116"/>
        <v>.</v>
      </c>
      <c r="AR165" s="702" t="str">
        <f t="shared" si="109"/>
        <v>.</v>
      </c>
      <c r="AS165" s="702" t="str">
        <f t="shared" si="110"/>
        <v>.</v>
      </c>
      <c r="AT165" s="702" t="str">
        <f t="shared" si="111"/>
        <v>.</v>
      </c>
      <c r="AU165" s="702" t="str">
        <f t="shared" si="112"/>
        <v>.</v>
      </c>
      <c r="AV165" s="702" t="str">
        <f t="shared" si="113"/>
        <v>.</v>
      </c>
      <c r="AW165" s="986" t="str">
        <f t="shared" si="114"/>
        <v>.</v>
      </c>
      <c r="AX165" s="214"/>
      <c r="AY165" s="3"/>
      <c r="AZ165" s="3"/>
      <c r="BA165" s="3"/>
      <c r="BB165" s="3"/>
    </row>
    <row r="166" spans="1:54" ht="12" x14ac:dyDescent="0.25">
      <c r="A166" s="3"/>
      <c r="B166" s="212"/>
      <c r="C166" s="278" t="s">
        <v>819</v>
      </c>
      <c r="D166" s="279" t="str">
        <f>IF('WK2 - Notional General Income'!D116="","",'WK2 - Notional General Income'!D116)</f>
        <v/>
      </c>
      <c r="E166" s="557" t="str">
        <f>IF('WK2 - Notional General Income'!M116=".",".",'WK2 - Notional General Income'!M116/'WK2 - Notional General Income'!E116)</f>
        <v>.</v>
      </c>
      <c r="F166" s="557" t="str">
        <f>IF('WK3 - Notional GI Yr1 YIELD'!M116=".",".",'WK3 - Notional GI Yr1 YIELD'!M116/'WK3 - Notional GI Yr1 YIELD'!E116)</f>
        <v>.</v>
      </c>
      <c r="G166" s="578"/>
      <c r="H166" s="578"/>
      <c r="I166" s="578"/>
      <c r="J166" s="578"/>
      <c r="K166" s="578"/>
      <c r="L166" s="578"/>
      <c r="M166" s="220"/>
      <c r="N166" s="3"/>
      <c r="O166" s="655">
        <f>'WK2 - Notional General Income'!$E116</f>
        <v>0</v>
      </c>
      <c r="P166" s="657">
        <f>'WK3 - Notional GI Yr1 YIELD'!$E116</f>
        <v>0</v>
      </c>
      <c r="Q166" s="3"/>
      <c r="R166" s="212"/>
      <c r="S166" s="699" t="str">
        <f t="shared" si="115"/>
        <v>.</v>
      </c>
      <c r="T166" s="700" t="str">
        <f t="shared" si="98"/>
        <v>.</v>
      </c>
      <c r="U166" s="700" t="str">
        <f t="shared" si="99"/>
        <v>.</v>
      </c>
      <c r="V166" s="700" t="str">
        <f t="shared" si="100"/>
        <v>.</v>
      </c>
      <c r="W166" s="700" t="str">
        <f t="shared" si="101"/>
        <v>.</v>
      </c>
      <c r="X166" s="700" t="str">
        <f t="shared" si="102"/>
        <v>.</v>
      </c>
      <c r="Y166" s="701" t="str">
        <f t="shared" si="103"/>
        <v>.</v>
      </c>
      <c r="Z166" s="3"/>
      <c r="AA166" s="985" t="str">
        <f t="shared" si="83"/>
        <v>.</v>
      </c>
      <c r="AB166" s="702" t="str">
        <f t="shared" si="104"/>
        <v>.</v>
      </c>
      <c r="AC166" s="702" t="str">
        <f t="shared" si="84"/>
        <v>.</v>
      </c>
      <c r="AD166" s="702" t="str">
        <f t="shared" si="105"/>
        <v>.</v>
      </c>
      <c r="AE166" s="702" t="str">
        <f t="shared" si="106"/>
        <v>.</v>
      </c>
      <c r="AF166" s="702" t="str">
        <f t="shared" si="107"/>
        <v>.</v>
      </c>
      <c r="AG166" s="986" t="str">
        <f t="shared" si="108"/>
        <v>.</v>
      </c>
      <c r="AH166" s="3"/>
      <c r="AI166" s="699" t="str">
        <f>IF(S166=".",".",SUM($S166:S166))</f>
        <v>.</v>
      </c>
      <c r="AJ166" s="700" t="str">
        <f>IF(T166=".",".",SUM($S166:T166))</f>
        <v>.</v>
      </c>
      <c r="AK166" s="700" t="str">
        <f>IF(U166=".",".",SUM($S166:U166))</f>
        <v>.</v>
      </c>
      <c r="AL166" s="700" t="str">
        <f>IF(V166=".",".",SUM($S166:V166))</f>
        <v>.</v>
      </c>
      <c r="AM166" s="700" t="str">
        <f>IF(W166=".",".",SUM($S166:W166))</f>
        <v>.</v>
      </c>
      <c r="AN166" s="700" t="str">
        <f>IF(X166=".",".",SUM($S166:X166))</f>
        <v>.</v>
      </c>
      <c r="AO166" s="701" t="str">
        <f>IF(Y166=".",".",SUM($S166:Y166))</f>
        <v>.</v>
      </c>
      <c r="AP166" s="3"/>
      <c r="AQ166" s="985" t="str">
        <f t="shared" si="116"/>
        <v>.</v>
      </c>
      <c r="AR166" s="702" t="str">
        <f t="shared" si="109"/>
        <v>.</v>
      </c>
      <c r="AS166" s="702" t="str">
        <f t="shared" si="110"/>
        <v>.</v>
      </c>
      <c r="AT166" s="702" t="str">
        <f t="shared" si="111"/>
        <v>.</v>
      </c>
      <c r="AU166" s="702" t="str">
        <f t="shared" si="112"/>
        <v>.</v>
      </c>
      <c r="AV166" s="702" t="str">
        <f t="shared" si="113"/>
        <v>.</v>
      </c>
      <c r="AW166" s="986" t="str">
        <f t="shared" si="114"/>
        <v>.</v>
      </c>
      <c r="AX166" s="214"/>
      <c r="AY166" s="3"/>
      <c r="AZ166" s="3"/>
      <c r="BA166" s="3"/>
      <c r="BB166" s="3"/>
    </row>
    <row r="167" spans="1:54" ht="12" x14ac:dyDescent="0.25">
      <c r="A167" s="3"/>
      <c r="B167" s="212"/>
      <c r="C167" s="278" t="s">
        <v>819</v>
      </c>
      <c r="D167" s="279" t="str">
        <f>IF('WK2 - Notional General Income'!D117="","",'WK2 - Notional General Income'!D117)</f>
        <v/>
      </c>
      <c r="E167" s="557" t="str">
        <f>IF('WK2 - Notional General Income'!M117=".",".",'WK2 - Notional General Income'!M117/'WK2 - Notional General Income'!E117)</f>
        <v>.</v>
      </c>
      <c r="F167" s="557" t="str">
        <f>IF('WK3 - Notional GI Yr1 YIELD'!M117=".",".",'WK3 - Notional GI Yr1 YIELD'!M117/'WK3 - Notional GI Yr1 YIELD'!E117)</f>
        <v>.</v>
      </c>
      <c r="G167" s="578"/>
      <c r="H167" s="578"/>
      <c r="I167" s="578"/>
      <c r="J167" s="578"/>
      <c r="K167" s="578"/>
      <c r="L167" s="578"/>
      <c r="M167" s="220"/>
      <c r="N167" s="3"/>
      <c r="O167" s="655">
        <f>'WK2 - Notional General Income'!$E117</f>
        <v>0</v>
      </c>
      <c r="P167" s="657">
        <f>'WK3 - Notional GI Yr1 YIELD'!$E117</f>
        <v>0</v>
      </c>
      <c r="Q167" s="3"/>
      <c r="R167" s="212"/>
      <c r="S167" s="699" t="str">
        <f t="shared" si="115"/>
        <v>.</v>
      </c>
      <c r="T167" s="700" t="str">
        <f t="shared" si="98"/>
        <v>.</v>
      </c>
      <c r="U167" s="700" t="str">
        <f t="shared" si="99"/>
        <v>.</v>
      </c>
      <c r="V167" s="700" t="str">
        <f t="shared" si="100"/>
        <v>.</v>
      </c>
      <c r="W167" s="700" t="str">
        <f t="shared" si="101"/>
        <v>.</v>
      </c>
      <c r="X167" s="700" t="str">
        <f t="shared" si="102"/>
        <v>.</v>
      </c>
      <c r="Y167" s="701" t="str">
        <f t="shared" si="103"/>
        <v>.</v>
      </c>
      <c r="Z167" s="3"/>
      <c r="AA167" s="985" t="str">
        <f t="shared" si="83"/>
        <v>.</v>
      </c>
      <c r="AB167" s="702" t="str">
        <f t="shared" si="104"/>
        <v>.</v>
      </c>
      <c r="AC167" s="702" t="str">
        <f t="shared" si="84"/>
        <v>.</v>
      </c>
      <c r="AD167" s="702" t="str">
        <f t="shared" si="105"/>
        <v>.</v>
      </c>
      <c r="AE167" s="702" t="str">
        <f t="shared" si="106"/>
        <v>.</v>
      </c>
      <c r="AF167" s="702" t="str">
        <f t="shared" si="107"/>
        <v>.</v>
      </c>
      <c r="AG167" s="986" t="str">
        <f t="shared" si="108"/>
        <v>.</v>
      </c>
      <c r="AH167" s="3"/>
      <c r="AI167" s="699" t="str">
        <f>IF(S167=".",".",SUM($S167:S167))</f>
        <v>.</v>
      </c>
      <c r="AJ167" s="700" t="str">
        <f>IF(T167=".",".",SUM($S167:T167))</f>
        <v>.</v>
      </c>
      <c r="AK167" s="700" t="str">
        <f>IF(U167=".",".",SUM($S167:U167))</f>
        <v>.</v>
      </c>
      <c r="AL167" s="700" t="str">
        <f>IF(V167=".",".",SUM($S167:V167))</f>
        <v>.</v>
      </c>
      <c r="AM167" s="700" t="str">
        <f>IF(W167=".",".",SUM($S167:W167))</f>
        <v>.</v>
      </c>
      <c r="AN167" s="700" t="str">
        <f>IF(X167=".",".",SUM($S167:X167))</f>
        <v>.</v>
      </c>
      <c r="AO167" s="701" t="str">
        <f>IF(Y167=".",".",SUM($S167:Y167))</f>
        <v>.</v>
      </c>
      <c r="AP167" s="3"/>
      <c r="AQ167" s="985" t="str">
        <f t="shared" si="116"/>
        <v>.</v>
      </c>
      <c r="AR167" s="702" t="str">
        <f t="shared" si="109"/>
        <v>.</v>
      </c>
      <c r="AS167" s="702" t="str">
        <f t="shared" si="110"/>
        <v>.</v>
      </c>
      <c r="AT167" s="702" t="str">
        <f t="shared" si="111"/>
        <v>.</v>
      </c>
      <c r="AU167" s="702" t="str">
        <f t="shared" si="112"/>
        <v>.</v>
      </c>
      <c r="AV167" s="702" t="str">
        <f t="shared" si="113"/>
        <v>.</v>
      </c>
      <c r="AW167" s="986" t="str">
        <f t="shared" si="114"/>
        <v>.</v>
      </c>
      <c r="AX167" s="214"/>
      <c r="AY167" s="3"/>
      <c r="AZ167" s="3"/>
      <c r="BA167" s="3"/>
      <c r="BB167" s="3"/>
    </row>
    <row r="168" spans="1:54" ht="12" x14ac:dyDescent="0.25">
      <c r="A168" s="3"/>
      <c r="B168" s="212"/>
      <c r="C168" s="278" t="s">
        <v>819</v>
      </c>
      <c r="D168" s="279" t="str">
        <f>IF('WK2 - Notional General Income'!D118="","",'WK2 - Notional General Income'!D118)</f>
        <v/>
      </c>
      <c r="E168" s="557" t="str">
        <f>IF('WK2 - Notional General Income'!M118=".",".",'WK2 - Notional General Income'!M118/'WK2 - Notional General Income'!E118)</f>
        <v>.</v>
      </c>
      <c r="F168" s="557" t="str">
        <f>IF('WK3 - Notional GI Yr1 YIELD'!M118=".",".",'WK3 - Notional GI Yr1 YIELD'!M118/'WK3 - Notional GI Yr1 YIELD'!E118)</f>
        <v>.</v>
      </c>
      <c r="G168" s="578"/>
      <c r="H168" s="578"/>
      <c r="I168" s="578"/>
      <c r="J168" s="578"/>
      <c r="K168" s="578"/>
      <c r="L168" s="578"/>
      <c r="M168" s="220"/>
      <c r="N168" s="3"/>
      <c r="O168" s="655">
        <f>'WK2 - Notional General Income'!$E118</f>
        <v>0</v>
      </c>
      <c r="P168" s="657">
        <f>'WK3 - Notional GI Yr1 YIELD'!$E118</f>
        <v>0</v>
      </c>
      <c r="Q168" s="3"/>
      <c r="R168" s="212"/>
      <c r="S168" s="699" t="str">
        <f t="shared" si="115"/>
        <v>.</v>
      </c>
      <c r="T168" s="700" t="str">
        <f t="shared" si="98"/>
        <v>.</v>
      </c>
      <c r="U168" s="700" t="str">
        <f t="shared" si="99"/>
        <v>.</v>
      </c>
      <c r="V168" s="700" t="str">
        <f t="shared" si="100"/>
        <v>.</v>
      </c>
      <c r="W168" s="700" t="str">
        <f t="shared" si="101"/>
        <v>.</v>
      </c>
      <c r="X168" s="700" t="str">
        <f t="shared" si="102"/>
        <v>.</v>
      </c>
      <c r="Y168" s="701" t="str">
        <f t="shared" si="103"/>
        <v>.</v>
      </c>
      <c r="Z168" s="3"/>
      <c r="AA168" s="985" t="str">
        <f t="shared" si="83"/>
        <v>.</v>
      </c>
      <c r="AB168" s="702" t="str">
        <f t="shared" si="104"/>
        <v>.</v>
      </c>
      <c r="AC168" s="702" t="str">
        <f t="shared" si="84"/>
        <v>.</v>
      </c>
      <c r="AD168" s="702" t="str">
        <f t="shared" si="105"/>
        <v>.</v>
      </c>
      <c r="AE168" s="702" t="str">
        <f t="shared" si="106"/>
        <v>.</v>
      </c>
      <c r="AF168" s="702" t="str">
        <f t="shared" si="107"/>
        <v>.</v>
      </c>
      <c r="AG168" s="986" t="str">
        <f t="shared" si="108"/>
        <v>.</v>
      </c>
      <c r="AH168" s="3"/>
      <c r="AI168" s="699" t="str">
        <f>IF(S168=".",".",SUM($S168:S168))</f>
        <v>.</v>
      </c>
      <c r="AJ168" s="700" t="str">
        <f>IF(T168=".",".",SUM($S168:T168))</f>
        <v>.</v>
      </c>
      <c r="AK168" s="700" t="str">
        <f>IF(U168=".",".",SUM($S168:U168))</f>
        <v>.</v>
      </c>
      <c r="AL168" s="700" t="str">
        <f>IF(V168=".",".",SUM($S168:V168))</f>
        <v>.</v>
      </c>
      <c r="AM168" s="700" t="str">
        <f>IF(W168=".",".",SUM($S168:W168))</f>
        <v>.</v>
      </c>
      <c r="AN168" s="700" t="str">
        <f>IF(X168=".",".",SUM($S168:X168))</f>
        <v>.</v>
      </c>
      <c r="AO168" s="701" t="str">
        <f>IF(Y168=".",".",SUM($S168:Y168))</f>
        <v>.</v>
      </c>
      <c r="AP168" s="3"/>
      <c r="AQ168" s="985" t="str">
        <f t="shared" si="116"/>
        <v>.</v>
      </c>
      <c r="AR168" s="702" t="str">
        <f t="shared" si="109"/>
        <v>.</v>
      </c>
      <c r="AS168" s="702" t="str">
        <f t="shared" si="110"/>
        <v>.</v>
      </c>
      <c r="AT168" s="702" t="str">
        <f t="shared" si="111"/>
        <v>.</v>
      </c>
      <c r="AU168" s="702" t="str">
        <f t="shared" si="112"/>
        <v>.</v>
      </c>
      <c r="AV168" s="702" t="str">
        <f t="shared" si="113"/>
        <v>.</v>
      </c>
      <c r="AW168" s="986" t="str">
        <f t="shared" si="114"/>
        <v>.</v>
      </c>
      <c r="AX168" s="214"/>
      <c r="AY168" s="3"/>
      <c r="AZ168" s="3"/>
      <c r="BA168" s="3"/>
      <c r="BB168" s="3"/>
    </row>
    <row r="169" spans="1:54" ht="12" x14ac:dyDescent="0.25">
      <c r="A169" s="3"/>
      <c r="B169" s="212"/>
      <c r="C169" s="278" t="s">
        <v>819</v>
      </c>
      <c r="D169" s="279" t="str">
        <f>IF('WK2 - Notional General Income'!D119="","",'WK2 - Notional General Income'!D119)</f>
        <v/>
      </c>
      <c r="E169" s="557" t="str">
        <f>IF('WK2 - Notional General Income'!M119=".",".",'WK2 - Notional General Income'!M119/'WK2 - Notional General Income'!E119)</f>
        <v>.</v>
      </c>
      <c r="F169" s="557" t="str">
        <f>IF('WK3 - Notional GI Yr1 YIELD'!M119=".",".",'WK3 - Notional GI Yr1 YIELD'!M119/'WK3 - Notional GI Yr1 YIELD'!E119)</f>
        <v>.</v>
      </c>
      <c r="G169" s="578"/>
      <c r="H169" s="578"/>
      <c r="I169" s="578"/>
      <c r="J169" s="578"/>
      <c r="K169" s="578"/>
      <c r="L169" s="578"/>
      <c r="M169" s="220"/>
      <c r="N169" s="3"/>
      <c r="O169" s="655">
        <f>'WK2 - Notional General Income'!$E119</f>
        <v>0</v>
      </c>
      <c r="P169" s="657">
        <f>'WK3 - Notional GI Yr1 YIELD'!$E119</f>
        <v>0</v>
      </c>
      <c r="Q169" s="3"/>
      <c r="R169" s="212"/>
      <c r="S169" s="699" t="str">
        <f t="shared" si="115"/>
        <v>.</v>
      </c>
      <c r="T169" s="700" t="str">
        <f t="shared" si="98"/>
        <v>.</v>
      </c>
      <c r="U169" s="700" t="str">
        <f t="shared" si="99"/>
        <v>.</v>
      </c>
      <c r="V169" s="700" t="str">
        <f t="shared" si="100"/>
        <v>.</v>
      </c>
      <c r="W169" s="700" t="str">
        <f t="shared" si="101"/>
        <v>.</v>
      </c>
      <c r="X169" s="700" t="str">
        <f t="shared" si="102"/>
        <v>.</v>
      </c>
      <c r="Y169" s="701" t="str">
        <f t="shared" si="103"/>
        <v>.</v>
      </c>
      <c r="Z169" s="3"/>
      <c r="AA169" s="985" t="str">
        <f t="shared" si="83"/>
        <v>.</v>
      </c>
      <c r="AB169" s="702" t="str">
        <f t="shared" si="104"/>
        <v>.</v>
      </c>
      <c r="AC169" s="702" t="str">
        <f t="shared" si="84"/>
        <v>.</v>
      </c>
      <c r="AD169" s="702" t="str">
        <f t="shared" si="105"/>
        <v>.</v>
      </c>
      <c r="AE169" s="702" t="str">
        <f t="shared" si="106"/>
        <v>.</v>
      </c>
      <c r="AF169" s="702" t="str">
        <f t="shared" si="107"/>
        <v>.</v>
      </c>
      <c r="AG169" s="986" t="str">
        <f t="shared" si="108"/>
        <v>.</v>
      </c>
      <c r="AH169" s="3"/>
      <c r="AI169" s="699" t="str">
        <f>IF(S169=".",".",SUM($S169:S169))</f>
        <v>.</v>
      </c>
      <c r="AJ169" s="700" t="str">
        <f>IF(T169=".",".",SUM($S169:T169))</f>
        <v>.</v>
      </c>
      <c r="AK169" s="700" t="str">
        <f>IF(U169=".",".",SUM($S169:U169))</f>
        <v>.</v>
      </c>
      <c r="AL169" s="700" t="str">
        <f>IF(V169=".",".",SUM($S169:V169))</f>
        <v>.</v>
      </c>
      <c r="AM169" s="700" t="str">
        <f>IF(W169=".",".",SUM($S169:W169))</f>
        <v>.</v>
      </c>
      <c r="AN169" s="700" t="str">
        <f>IF(X169=".",".",SUM($S169:X169))</f>
        <v>.</v>
      </c>
      <c r="AO169" s="701" t="str">
        <f>IF(Y169=".",".",SUM($S169:Y169))</f>
        <v>.</v>
      </c>
      <c r="AP169" s="3"/>
      <c r="AQ169" s="985" t="str">
        <f t="shared" si="116"/>
        <v>.</v>
      </c>
      <c r="AR169" s="702" t="str">
        <f t="shared" si="109"/>
        <v>.</v>
      </c>
      <c r="AS169" s="702" t="str">
        <f t="shared" si="110"/>
        <v>.</v>
      </c>
      <c r="AT169" s="702" t="str">
        <f t="shared" si="111"/>
        <v>.</v>
      </c>
      <c r="AU169" s="702" t="str">
        <f t="shared" si="112"/>
        <v>.</v>
      </c>
      <c r="AV169" s="702" t="str">
        <f t="shared" si="113"/>
        <v>.</v>
      </c>
      <c r="AW169" s="986" t="str">
        <f t="shared" si="114"/>
        <v>.</v>
      </c>
      <c r="AX169" s="214"/>
      <c r="AY169" s="3"/>
      <c r="AZ169" s="3"/>
      <c r="BA169" s="3"/>
      <c r="BB169" s="3"/>
    </row>
    <row r="170" spans="1:54" ht="12" x14ac:dyDescent="0.25">
      <c r="A170" s="3"/>
      <c r="B170" s="212"/>
      <c r="C170" s="278" t="s">
        <v>819</v>
      </c>
      <c r="D170" s="279" t="str">
        <f>IF('WK2 - Notional General Income'!D120="","",'WK2 - Notional General Income'!D120)</f>
        <v/>
      </c>
      <c r="E170" s="557" t="str">
        <f>IF('WK2 - Notional General Income'!M120=".",".",'WK2 - Notional General Income'!M120/'WK2 - Notional General Income'!E120)</f>
        <v>.</v>
      </c>
      <c r="F170" s="557" t="str">
        <f>IF('WK3 - Notional GI Yr1 YIELD'!M120=".",".",'WK3 - Notional GI Yr1 YIELD'!M120/'WK3 - Notional GI Yr1 YIELD'!E120)</f>
        <v>.</v>
      </c>
      <c r="G170" s="578"/>
      <c r="H170" s="578"/>
      <c r="I170" s="578"/>
      <c r="J170" s="578"/>
      <c r="K170" s="578"/>
      <c r="L170" s="578"/>
      <c r="M170" s="220"/>
      <c r="N170" s="3"/>
      <c r="O170" s="655">
        <f>'WK2 - Notional General Income'!$E120</f>
        <v>0</v>
      </c>
      <c r="P170" s="657">
        <f>'WK3 - Notional GI Yr1 YIELD'!$E120</f>
        <v>0</v>
      </c>
      <c r="Q170" s="3"/>
      <c r="R170" s="212"/>
      <c r="S170" s="699" t="str">
        <f t="shared" si="115"/>
        <v>.</v>
      </c>
      <c r="T170" s="700" t="str">
        <f t="shared" si="98"/>
        <v>.</v>
      </c>
      <c r="U170" s="700" t="str">
        <f t="shared" si="99"/>
        <v>.</v>
      </c>
      <c r="V170" s="700" t="str">
        <f t="shared" si="100"/>
        <v>.</v>
      </c>
      <c r="W170" s="700" t="str">
        <f t="shared" si="101"/>
        <v>.</v>
      </c>
      <c r="X170" s="700" t="str">
        <f t="shared" si="102"/>
        <v>.</v>
      </c>
      <c r="Y170" s="701" t="str">
        <f t="shared" si="103"/>
        <v>.</v>
      </c>
      <c r="Z170" s="3"/>
      <c r="AA170" s="985" t="str">
        <f t="shared" si="83"/>
        <v>.</v>
      </c>
      <c r="AB170" s="702" t="str">
        <f t="shared" si="104"/>
        <v>.</v>
      </c>
      <c r="AC170" s="702" t="str">
        <f t="shared" si="84"/>
        <v>.</v>
      </c>
      <c r="AD170" s="702" t="str">
        <f t="shared" si="105"/>
        <v>.</v>
      </c>
      <c r="AE170" s="702" t="str">
        <f t="shared" si="106"/>
        <v>.</v>
      </c>
      <c r="AF170" s="702" t="str">
        <f t="shared" si="107"/>
        <v>.</v>
      </c>
      <c r="AG170" s="986" t="str">
        <f t="shared" si="108"/>
        <v>.</v>
      </c>
      <c r="AH170" s="3"/>
      <c r="AI170" s="699" t="str">
        <f>IF(S170=".",".",SUM($S170:S170))</f>
        <v>.</v>
      </c>
      <c r="AJ170" s="700" t="str">
        <f>IF(T170=".",".",SUM($S170:T170))</f>
        <v>.</v>
      </c>
      <c r="AK170" s="700" t="str">
        <f>IF(U170=".",".",SUM($S170:U170))</f>
        <v>.</v>
      </c>
      <c r="AL170" s="700" t="str">
        <f>IF(V170=".",".",SUM($S170:V170))</f>
        <v>.</v>
      </c>
      <c r="AM170" s="700" t="str">
        <f>IF(W170=".",".",SUM($S170:W170))</f>
        <v>.</v>
      </c>
      <c r="AN170" s="700" t="str">
        <f>IF(X170=".",".",SUM($S170:X170))</f>
        <v>.</v>
      </c>
      <c r="AO170" s="701" t="str">
        <f>IF(Y170=".",".",SUM($S170:Y170))</f>
        <v>.</v>
      </c>
      <c r="AP170" s="3"/>
      <c r="AQ170" s="985" t="str">
        <f t="shared" si="116"/>
        <v>.</v>
      </c>
      <c r="AR170" s="702" t="str">
        <f t="shared" si="109"/>
        <v>.</v>
      </c>
      <c r="AS170" s="702" t="str">
        <f t="shared" si="110"/>
        <v>.</v>
      </c>
      <c r="AT170" s="702" t="str">
        <f t="shared" si="111"/>
        <v>.</v>
      </c>
      <c r="AU170" s="702" t="str">
        <f t="shared" si="112"/>
        <v>.</v>
      </c>
      <c r="AV170" s="702" t="str">
        <f t="shared" si="113"/>
        <v>.</v>
      </c>
      <c r="AW170" s="986" t="str">
        <f t="shared" si="114"/>
        <v>.</v>
      </c>
      <c r="AX170" s="214"/>
      <c r="AY170" s="3"/>
      <c r="AZ170" s="3"/>
      <c r="BA170" s="3"/>
      <c r="BB170" s="3"/>
    </row>
    <row r="171" spans="1:54" ht="12" x14ac:dyDescent="0.25">
      <c r="A171" s="3"/>
      <c r="B171" s="212"/>
      <c r="C171" s="278" t="s">
        <v>819</v>
      </c>
      <c r="D171" s="279" t="str">
        <f>IF('WK2 - Notional General Income'!D121="","",'WK2 - Notional General Income'!D121)</f>
        <v/>
      </c>
      <c r="E171" s="557" t="str">
        <f>IF('WK2 - Notional General Income'!M121=".",".",'WK2 - Notional General Income'!M121/'WK2 - Notional General Income'!E121)</f>
        <v>.</v>
      </c>
      <c r="F171" s="557" t="str">
        <f>IF('WK3 - Notional GI Yr1 YIELD'!M121=".",".",'WK3 - Notional GI Yr1 YIELD'!M121/'WK3 - Notional GI Yr1 YIELD'!E121)</f>
        <v>.</v>
      </c>
      <c r="G171" s="578"/>
      <c r="H171" s="578"/>
      <c r="I171" s="578"/>
      <c r="J171" s="578"/>
      <c r="K171" s="578"/>
      <c r="L171" s="578"/>
      <c r="M171" s="220"/>
      <c r="N171" s="3"/>
      <c r="O171" s="655">
        <f>'WK2 - Notional General Income'!$E121</f>
        <v>0</v>
      </c>
      <c r="P171" s="657">
        <f>'WK3 - Notional GI Yr1 YIELD'!$E121</f>
        <v>0</v>
      </c>
      <c r="Q171" s="3"/>
      <c r="R171" s="212"/>
      <c r="S171" s="699" t="str">
        <f t="shared" si="115"/>
        <v>.</v>
      </c>
      <c r="T171" s="700" t="str">
        <f t="shared" si="98"/>
        <v>.</v>
      </c>
      <c r="U171" s="700" t="str">
        <f t="shared" si="99"/>
        <v>.</v>
      </c>
      <c r="V171" s="700" t="str">
        <f t="shared" si="100"/>
        <v>.</v>
      </c>
      <c r="W171" s="700" t="str">
        <f t="shared" si="101"/>
        <v>.</v>
      </c>
      <c r="X171" s="700" t="str">
        <f t="shared" si="102"/>
        <v>.</v>
      </c>
      <c r="Y171" s="701" t="str">
        <f t="shared" si="103"/>
        <v>.</v>
      </c>
      <c r="Z171" s="3"/>
      <c r="AA171" s="985" t="str">
        <f t="shared" si="83"/>
        <v>.</v>
      </c>
      <c r="AB171" s="702" t="str">
        <f t="shared" si="104"/>
        <v>.</v>
      </c>
      <c r="AC171" s="702" t="str">
        <f t="shared" si="84"/>
        <v>.</v>
      </c>
      <c r="AD171" s="702" t="str">
        <f t="shared" si="105"/>
        <v>.</v>
      </c>
      <c r="AE171" s="702" t="str">
        <f t="shared" si="106"/>
        <v>.</v>
      </c>
      <c r="AF171" s="702" t="str">
        <f t="shared" si="107"/>
        <v>.</v>
      </c>
      <c r="AG171" s="986" t="str">
        <f t="shared" si="108"/>
        <v>.</v>
      </c>
      <c r="AH171" s="3"/>
      <c r="AI171" s="699" t="str">
        <f>IF(S171=".",".",SUM($S171:S171))</f>
        <v>.</v>
      </c>
      <c r="AJ171" s="700" t="str">
        <f>IF(T171=".",".",SUM($S171:T171))</f>
        <v>.</v>
      </c>
      <c r="AK171" s="700" t="str">
        <f>IF(U171=".",".",SUM($S171:U171))</f>
        <v>.</v>
      </c>
      <c r="AL171" s="700" t="str">
        <f>IF(V171=".",".",SUM($S171:V171))</f>
        <v>.</v>
      </c>
      <c r="AM171" s="700" t="str">
        <f>IF(W171=".",".",SUM($S171:W171))</f>
        <v>.</v>
      </c>
      <c r="AN171" s="700" t="str">
        <f>IF(X171=".",".",SUM($S171:X171))</f>
        <v>.</v>
      </c>
      <c r="AO171" s="701" t="str">
        <f>IF(Y171=".",".",SUM($S171:Y171))</f>
        <v>.</v>
      </c>
      <c r="AP171" s="3"/>
      <c r="AQ171" s="985" t="str">
        <f t="shared" si="116"/>
        <v>.</v>
      </c>
      <c r="AR171" s="702" t="str">
        <f t="shared" si="109"/>
        <v>.</v>
      </c>
      <c r="AS171" s="702" t="str">
        <f t="shared" si="110"/>
        <v>.</v>
      </c>
      <c r="AT171" s="702" t="str">
        <f t="shared" si="111"/>
        <v>.</v>
      </c>
      <c r="AU171" s="702" t="str">
        <f t="shared" si="112"/>
        <v>.</v>
      </c>
      <c r="AV171" s="702" t="str">
        <f t="shared" si="113"/>
        <v>.</v>
      </c>
      <c r="AW171" s="986" t="str">
        <f t="shared" si="114"/>
        <v>.</v>
      </c>
      <c r="AX171" s="214"/>
      <c r="AY171" s="3"/>
      <c r="AZ171" s="3"/>
      <c r="BA171" s="3"/>
      <c r="BB171" s="3"/>
    </row>
    <row r="172" spans="1:54" ht="12" x14ac:dyDescent="0.25">
      <c r="A172" s="3"/>
      <c r="B172" s="212"/>
      <c r="C172" s="278" t="s">
        <v>819</v>
      </c>
      <c r="D172" s="279" t="str">
        <f>IF('WK2 - Notional General Income'!D122="","",'WK2 - Notional General Income'!D122)</f>
        <v/>
      </c>
      <c r="E172" s="557" t="str">
        <f>IF('WK2 - Notional General Income'!M122=".",".",'WK2 - Notional General Income'!M122/'WK2 - Notional General Income'!E122)</f>
        <v>.</v>
      </c>
      <c r="F172" s="557" t="str">
        <f>IF('WK3 - Notional GI Yr1 YIELD'!M122=".",".",'WK3 - Notional GI Yr1 YIELD'!M122/'WK3 - Notional GI Yr1 YIELD'!E122)</f>
        <v>.</v>
      </c>
      <c r="G172" s="578"/>
      <c r="H172" s="578"/>
      <c r="I172" s="578"/>
      <c r="J172" s="578"/>
      <c r="K172" s="578"/>
      <c r="L172" s="578"/>
      <c r="M172" s="220"/>
      <c r="N172" s="3"/>
      <c r="O172" s="655">
        <f>'WK2 - Notional General Income'!$E122</f>
        <v>0</v>
      </c>
      <c r="P172" s="657">
        <f>'WK3 - Notional GI Yr1 YIELD'!$E122</f>
        <v>0</v>
      </c>
      <c r="Q172" s="3"/>
      <c r="R172" s="212"/>
      <c r="S172" s="699" t="str">
        <f t="shared" si="115"/>
        <v>.</v>
      </c>
      <c r="T172" s="700" t="str">
        <f t="shared" si="98"/>
        <v>.</v>
      </c>
      <c r="U172" s="700" t="str">
        <f t="shared" si="99"/>
        <v>.</v>
      </c>
      <c r="V172" s="700" t="str">
        <f t="shared" si="100"/>
        <v>.</v>
      </c>
      <c r="W172" s="700" t="str">
        <f t="shared" si="101"/>
        <v>.</v>
      </c>
      <c r="X172" s="700" t="str">
        <f t="shared" si="102"/>
        <v>.</v>
      </c>
      <c r="Y172" s="701" t="str">
        <f t="shared" si="103"/>
        <v>.</v>
      </c>
      <c r="Z172" s="3"/>
      <c r="AA172" s="985" t="str">
        <f t="shared" si="83"/>
        <v>.</v>
      </c>
      <c r="AB172" s="702" t="str">
        <f t="shared" si="104"/>
        <v>.</v>
      </c>
      <c r="AC172" s="702" t="str">
        <f t="shared" si="84"/>
        <v>.</v>
      </c>
      <c r="AD172" s="702" t="str">
        <f t="shared" si="105"/>
        <v>.</v>
      </c>
      <c r="AE172" s="702" t="str">
        <f t="shared" si="106"/>
        <v>.</v>
      </c>
      <c r="AF172" s="702" t="str">
        <f t="shared" si="107"/>
        <v>.</v>
      </c>
      <c r="AG172" s="986" t="str">
        <f t="shared" si="108"/>
        <v>.</v>
      </c>
      <c r="AH172" s="3"/>
      <c r="AI172" s="699" t="str">
        <f>IF(S172=".",".",SUM($S172:S172))</f>
        <v>.</v>
      </c>
      <c r="AJ172" s="700" t="str">
        <f>IF(T172=".",".",SUM($S172:T172))</f>
        <v>.</v>
      </c>
      <c r="AK172" s="700" t="str">
        <f>IF(U172=".",".",SUM($S172:U172))</f>
        <v>.</v>
      </c>
      <c r="AL172" s="700" t="str">
        <f>IF(V172=".",".",SUM($S172:V172))</f>
        <v>.</v>
      </c>
      <c r="AM172" s="700" t="str">
        <f>IF(W172=".",".",SUM($S172:W172))</f>
        <v>.</v>
      </c>
      <c r="AN172" s="700" t="str">
        <f>IF(X172=".",".",SUM($S172:X172))</f>
        <v>.</v>
      </c>
      <c r="AO172" s="701" t="str">
        <f>IF(Y172=".",".",SUM($S172:Y172))</f>
        <v>.</v>
      </c>
      <c r="AP172" s="3"/>
      <c r="AQ172" s="985" t="str">
        <f t="shared" si="116"/>
        <v>.</v>
      </c>
      <c r="AR172" s="702" t="str">
        <f t="shared" si="109"/>
        <v>.</v>
      </c>
      <c r="AS172" s="702" t="str">
        <f t="shared" si="110"/>
        <v>.</v>
      </c>
      <c r="AT172" s="702" t="str">
        <f t="shared" si="111"/>
        <v>.</v>
      </c>
      <c r="AU172" s="702" t="str">
        <f t="shared" si="112"/>
        <v>.</v>
      </c>
      <c r="AV172" s="702" t="str">
        <f t="shared" si="113"/>
        <v>.</v>
      </c>
      <c r="AW172" s="986" t="str">
        <f t="shared" si="114"/>
        <v>.</v>
      </c>
      <c r="AX172" s="214"/>
      <c r="AY172" s="3"/>
      <c r="AZ172" s="3"/>
      <c r="BA172" s="3"/>
      <c r="BB172" s="3"/>
    </row>
    <row r="173" spans="1:54" ht="12" x14ac:dyDescent="0.25">
      <c r="A173" s="3"/>
      <c r="B173" s="212"/>
      <c r="C173" s="139" t="s">
        <v>819</v>
      </c>
      <c r="D173" s="141" t="str">
        <f>IF('WK2 - Notional General Income'!D123="","",'WK2 - Notional General Income'!D123)</f>
        <v/>
      </c>
      <c r="E173" s="558" t="str">
        <f>IF('WK2 - Notional General Income'!M123=".",".",'WK2 - Notional General Income'!M123/'WK2 - Notional General Income'!E123)</f>
        <v>.</v>
      </c>
      <c r="F173" s="558" t="str">
        <f>IF('WK3 - Notional GI Yr1 YIELD'!M123=".",".",'WK3 - Notional GI Yr1 YIELD'!M123/'WK3 - Notional GI Yr1 YIELD'!E123)</f>
        <v>.</v>
      </c>
      <c r="G173" s="163"/>
      <c r="H173" s="163"/>
      <c r="I173" s="163"/>
      <c r="J173" s="163"/>
      <c r="K173" s="163"/>
      <c r="L173" s="163"/>
      <c r="M173" s="220"/>
      <c r="N173" s="3"/>
      <c r="O173" s="655">
        <f>'WK2 - Notional General Income'!$E123</f>
        <v>0</v>
      </c>
      <c r="P173" s="657">
        <f>'WK3 - Notional GI Yr1 YIELD'!$E123</f>
        <v>0</v>
      </c>
      <c r="Q173" s="3"/>
      <c r="R173" s="212"/>
      <c r="S173" s="699" t="str">
        <f t="shared" si="115"/>
        <v>.</v>
      </c>
      <c r="T173" s="700" t="str">
        <f t="shared" si="98"/>
        <v>.</v>
      </c>
      <c r="U173" s="700" t="str">
        <f t="shared" si="99"/>
        <v>.</v>
      </c>
      <c r="V173" s="700" t="str">
        <f t="shared" si="100"/>
        <v>.</v>
      </c>
      <c r="W173" s="700" t="str">
        <f t="shared" si="101"/>
        <v>.</v>
      </c>
      <c r="X173" s="700" t="str">
        <f t="shared" si="102"/>
        <v>.</v>
      </c>
      <c r="Y173" s="701" t="str">
        <f t="shared" si="103"/>
        <v>.</v>
      </c>
      <c r="Z173" s="3"/>
      <c r="AA173" s="985" t="str">
        <f t="shared" si="83"/>
        <v>.</v>
      </c>
      <c r="AB173" s="702" t="str">
        <f t="shared" si="104"/>
        <v>.</v>
      </c>
      <c r="AC173" s="702" t="str">
        <f t="shared" si="84"/>
        <v>.</v>
      </c>
      <c r="AD173" s="702" t="str">
        <f t="shared" si="105"/>
        <v>.</v>
      </c>
      <c r="AE173" s="702" t="str">
        <f t="shared" si="106"/>
        <v>.</v>
      </c>
      <c r="AF173" s="702" t="str">
        <f t="shared" si="107"/>
        <v>.</v>
      </c>
      <c r="AG173" s="986" t="str">
        <f t="shared" si="108"/>
        <v>.</v>
      </c>
      <c r="AH173" s="3"/>
      <c r="AI173" s="699" t="str">
        <f>IF(S173=".",".",SUM($S173:S173))</f>
        <v>.</v>
      </c>
      <c r="AJ173" s="700" t="str">
        <f>IF(T173=".",".",SUM($S173:T173))</f>
        <v>.</v>
      </c>
      <c r="AK173" s="700" t="str">
        <f>IF(U173=".",".",SUM($S173:U173))</f>
        <v>.</v>
      </c>
      <c r="AL173" s="700" t="str">
        <f>IF(V173=".",".",SUM($S173:V173))</f>
        <v>.</v>
      </c>
      <c r="AM173" s="700" t="str">
        <f>IF(W173=".",".",SUM($S173:W173))</f>
        <v>.</v>
      </c>
      <c r="AN173" s="700" t="str">
        <f>IF(X173=".",".",SUM($S173:X173))</f>
        <v>.</v>
      </c>
      <c r="AO173" s="701" t="str">
        <f>IF(Y173=".",".",SUM($S173:Y173))</f>
        <v>.</v>
      </c>
      <c r="AP173" s="3"/>
      <c r="AQ173" s="985" t="str">
        <f t="shared" si="116"/>
        <v>.</v>
      </c>
      <c r="AR173" s="702" t="str">
        <f t="shared" si="109"/>
        <v>.</v>
      </c>
      <c r="AS173" s="702" t="str">
        <f t="shared" si="110"/>
        <v>.</v>
      </c>
      <c r="AT173" s="702" t="str">
        <f t="shared" si="111"/>
        <v>.</v>
      </c>
      <c r="AU173" s="702" t="str">
        <f t="shared" si="112"/>
        <v>.</v>
      </c>
      <c r="AV173" s="702" t="str">
        <f t="shared" si="113"/>
        <v>.</v>
      </c>
      <c r="AW173" s="986" t="str">
        <f t="shared" si="114"/>
        <v>.</v>
      </c>
      <c r="AX173" s="214"/>
      <c r="AY173" s="3"/>
      <c r="AZ173" s="3"/>
      <c r="BA173" s="3"/>
      <c r="BB173" s="3"/>
    </row>
    <row r="174" spans="1:54" s="26" customFormat="1" ht="12" x14ac:dyDescent="0.25">
      <c r="A174" s="3"/>
      <c r="B174" s="212"/>
      <c r="C174" s="148"/>
      <c r="D174" s="148" t="s">
        <v>820</v>
      </c>
      <c r="E174" s="559">
        <f>IF($O174=0,".",SUMPRODUCT(E129:E173,$O129:$O173)/$O174)</f>
        <v>3440.6532788065088</v>
      </c>
      <c r="F174" s="140">
        <f t="shared" ref="F174:L174" si="117">IF($P174=0,".",SUMPRODUCT(F129:F173,$P129:$P173)/$P174)</f>
        <v>3733.1133079888627</v>
      </c>
      <c r="G174" s="140">
        <f t="shared" si="117"/>
        <v>4013.0968060880268</v>
      </c>
      <c r="H174" s="140">
        <f t="shared" si="117"/>
        <v>4273.9480984837492</v>
      </c>
      <c r="I174" s="140">
        <f t="shared" si="117"/>
        <v>4509.015243900355</v>
      </c>
      <c r="J174" s="140">
        <f t="shared" si="117"/>
        <v>4621.740624997864</v>
      </c>
      <c r="K174" s="140">
        <f t="shared" si="117"/>
        <v>4737.2841406228099</v>
      </c>
      <c r="L174" s="140">
        <f t="shared" si="117"/>
        <v>4855.7162441383807</v>
      </c>
      <c r="M174" s="220"/>
      <c r="N174" s="2"/>
      <c r="O174" s="713">
        <f>SUM(O129:O153)</f>
        <v>2638</v>
      </c>
      <c r="P174" s="714">
        <f>SUM(P129:P153)</f>
        <v>2638</v>
      </c>
      <c r="Q174" s="2"/>
      <c r="R174" s="221"/>
      <c r="S174" s="706">
        <f t="shared" si="115"/>
        <v>292.46002918235399</v>
      </c>
      <c r="T174" s="707">
        <f t="shared" si="98"/>
        <v>279.98349809916408</v>
      </c>
      <c r="U174" s="707">
        <f t="shared" ref="U174:Y174" si="118">IF(H174=".",".",H174-G174)</f>
        <v>260.85129239572234</v>
      </c>
      <c r="V174" s="707">
        <f t="shared" si="118"/>
        <v>235.06714541660585</v>
      </c>
      <c r="W174" s="707">
        <f t="shared" si="118"/>
        <v>112.72538109750894</v>
      </c>
      <c r="X174" s="707">
        <f t="shared" si="118"/>
        <v>115.54351562494594</v>
      </c>
      <c r="Y174" s="708">
        <f t="shared" si="118"/>
        <v>118.43210351557082</v>
      </c>
      <c r="Z174" s="2"/>
      <c r="AA174" s="990">
        <f t="shared" si="83"/>
        <v>8.5001308031770639E-2</v>
      </c>
      <c r="AB174" s="991">
        <f t="shared" si="104"/>
        <v>7.4999999999999734E-2</v>
      </c>
      <c r="AC174" s="991">
        <f t="shared" si="84"/>
        <v>6.5000000000000169E-2</v>
      </c>
      <c r="AD174" s="991">
        <f t="shared" si="105"/>
        <v>5.4999999999999938E-2</v>
      </c>
      <c r="AE174" s="991">
        <f t="shared" si="106"/>
        <v>2.4999999999999911E-2</v>
      </c>
      <c r="AF174" s="991">
        <f t="shared" si="107"/>
        <v>2.4999999999999911E-2</v>
      </c>
      <c r="AG174" s="992">
        <f t="shared" si="108"/>
        <v>2.5000000000000133E-2</v>
      </c>
      <c r="AH174" s="2"/>
      <c r="AI174" s="706">
        <f>IF(S174=".",".",SUM($S174:S174))</f>
        <v>292.46002918235399</v>
      </c>
      <c r="AJ174" s="707">
        <f>IF(T174=".",".",SUM($S174:T174))</f>
        <v>572.44352728151807</v>
      </c>
      <c r="AK174" s="707">
        <f>IF(U174=".",".",SUM($S174:U174))</f>
        <v>833.29481967724041</v>
      </c>
      <c r="AL174" s="707">
        <f>IF(V174=".",".",SUM($S174:V174))</f>
        <v>1068.3619650938463</v>
      </c>
      <c r="AM174" s="707">
        <f>IF(W174=".",".",SUM($S174:W174))</f>
        <v>1181.0873461913552</v>
      </c>
      <c r="AN174" s="707">
        <f>IF(X174=".",".",SUM($S174:X174))</f>
        <v>1296.6308618163011</v>
      </c>
      <c r="AO174" s="708">
        <f>IF(Y174=".",".",SUM($S174:Y174))</f>
        <v>1415.062965331872</v>
      </c>
      <c r="AP174" s="3"/>
      <c r="AQ174" s="990">
        <f t="shared" si="116"/>
        <v>8.5001308031770639E-2</v>
      </c>
      <c r="AR174" s="991">
        <f t="shared" si="109"/>
        <v>0.16637640613415328</v>
      </c>
      <c r="AS174" s="991">
        <f t="shared" si="110"/>
        <v>0.24219087253287341</v>
      </c>
      <c r="AT174" s="991">
        <f t="shared" si="111"/>
        <v>0.31051137052218136</v>
      </c>
      <c r="AU174" s="991">
        <f t="shared" si="112"/>
        <v>0.34327415478523604</v>
      </c>
      <c r="AV174" s="991">
        <f t="shared" si="113"/>
        <v>0.37685600865486668</v>
      </c>
      <c r="AW174" s="992">
        <f t="shared" si="114"/>
        <v>0.41127740887123854</v>
      </c>
      <c r="AX174" s="229"/>
      <c r="AY174" s="2"/>
      <c r="AZ174" s="2"/>
      <c r="BA174" s="2"/>
      <c r="BB174" s="2"/>
    </row>
    <row r="175" spans="1:54" ht="12" x14ac:dyDescent="0.25">
      <c r="A175" s="3"/>
      <c r="B175" s="212"/>
      <c r="C175" s="1197" t="s">
        <v>722</v>
      </c>
      <c r="D175" s="1242" t="str">
        <f>IF('WK2 - Notional General Income'!D66="","",'WK2 - Notional General Income'!D66)</f>
        <v>Farmland</v>
      </c>
      <c r="E175" s="1243">
        <f>IF('WK2 - Notional General Income'!M66=".",".",'WK2 - Notional General Income'!M66/'WK2 - Notional General Income'!E66)</f>
        <v>2032.1048904952077</v>
      </c>
      <c r="F175" s="1243">
        <f>IF('WK3 - Notional GI Yr1 YIELD'!M66=".",".",'WK3 - Notional GI Yr1 YIELD'!M66/'WK3 - Notional GI Yr1 YIELD'!E66)</f>
        <v>2204.8512777156552</v>
      </c>
      <c r="G175" s="1214">
        <f>+F175*1.075+0.01</f>
        <v>2370.2251235443296</v>
      </c>
      <c r="H175" s="1214">
        <f>+G175*1.065-0.01</f>
        <v>2524.2797565747105</v>
      </c>
      <c r="I175" s="1214">
        <f>+H175*1.055</f>
        <v>2663.1151431863195</v>
      </c>
      <c r="J175" s="1214">
        <f>+I175*1.025</f>
        <v>2729.6930217659774</v>
      </c>
      <c r="K175" s="1214">
        <f t="shared" ref="K175:L175" si="119">+J175*1.025</f>
        <v>2797.9353473101264</v>
      </c>
      <c r="L175" s="1214">
        <f t="shared" si="119"/>
        <v>2867.8837309928795</v>
      </c>
      <c r="M175" s="220"/>
      <c r="N175" s="3"/>
      <c r="O175" s="1244">
        <f>'WK2 - Notional General Income'!$E66</f>
        <v>313</v>
      </c>
      <c r="P175" s="1176">
        <f>'WK3 - Notional GI Yr1 YIELD'!$E66</f>
        <v>313</v>
      </c>
      <c r="Q175" s="3"/>
      <c r="R175" s="212"/>
      <c r="S175" s="1239">
        <f t="shared" si="115"/>
        <v>172.74638722044756</v>
      </c>
      <c r="T175" s="1172">
        <f t="shared" si="98"/>
        <v>165.37384582867435</v>
      </c>
      <c r="U175" s="1172">
        <f t="shared" si="99"/>
        <v>154.05463303038096</v>
      </c>
      <c r="V175" s="1172">
        <f t="shared" si="100"/>
        <v>138.83538661160901</v>
      </c>
      <c r="W175" s="1172">
        <f t="shared" si="101"/>
        <v>66.577878579657863</v>
      </c>
      <c r="X175" s="1172">
        <f t="shared" si="102"/>
        <v>68.242325544149026</v>
      </c>
      <c r="Y175" s="1173">
        <f t="shared" si="103"/>
        <v>69.948383682753047</v>
      </c>
      <c r="Z175" s="3"/>
      <c r="AA175" s="985">
        <f t="shared" ref="AA175:AA216" si="120">IFERROR(F175/E175-1,".")</f>
        <v>8.5008597749277826E-2</v>
      </c>
      <c r="AB175" s="702">
        <f t="shared" ref="AB175:AB216" si="121">IFERROR(G175/F175-1,".")</f>
        <v>7.5004535453298438E-2</v>
      </c>
      <c r="AC175" s="702">
        <f t="shared" ref="AC175:AC216" si="122">IFERROR(H175/G175-1,".")</f>
        <v>6.4995780991475849E-2</v>
      </c>
      <c r="AD175" s="702">
        <f t="shared" si="105"/>
        <v>5.4999999999999938E-2</v>
      </c>
      <c r="AE175" s="702">
        <f t="shared" si="106"/>
        <v>2.4999999999999911E-2</v>
      </c>
      <c r="AF175" s="702">
        <f t="shared" si="107"/>
        <v>2.4999999999999911E-2</v>
      </c>
      <c r="AG175" s="986">
        <f t="shared" si="108"/>
        <v>2.4999999999999911E-2</v>
      </c>
      <c r="AH175" s="3"/>
      <c r="AI175" s="1239">
        <f>IF(S175=".",".",SUM($S175:S175))</f>
        <v>172.74638722044756</v>
      </c>
      <c r="AJ175" s="1172">
        <f>IF(T175=".",".",SUM($S175:T175))</f>
        <v>338.12023304912191</v>
      </c>
      <c r="AK175" s="1172">
        <f>IF(U175=".",".",SUM($S175:U175))</f>
        <v>492.17486607950286</v>
      </c>
      <c r="AL175" s="1172">
        <f>IF(V175=".",".",SUM($S175:V175))</f>
        <v>631.01025269111187</v>
      </c>
      <c r="AM175" s="1172">
        <f>IF(W175=".",".",SUM($S175:W175))</f>
        <v>697.58813127076974</v>
      </c>
      <c r="AN175" s="1172">
        <f>IF(X175=".",".",SUM($S175:X175))</f>
        <v>765.83045681491876</v>
      </c>
      <c r="AO175" s="1173">
        <f>IF(Y175=".",".",SUM($S175:Y175))</f>
        <v>835.77884049767181</v>
      </c>
      <c r="AP175" s="3"/>
      <c r="AQ175" s="985">
        <f t="shared" si="116"/>
        <v>8.5008597749277826E-2</v>
      </c>
      <c r="AR175" s="702">
        <f t="shared" si="109"/>
        <v>0.1663891635862973</v>
      </c>
      <c r="AS175" s="702">
        <f t="shared" si="110"/>
        <v>0.24219953821358287</v>
      </c>
      <c r="AT175" s="702">
        <f t="shared" si="111"/>
        <v>0.31052051281532989</v>
      </c>
      <c r="AU175" s="702">
        <f t="shared" si="112"/>
        <v>0.34328352563571318</v>
      </c>
      <c r="AV175" s="702">
        <f t="shared" si="113"/>
        <v>0.37686561377660577</v>
      </c>
      <c r="AW175" s="986">
        <f t="shared" si="114"/>
        <v>0.41128725412102085</v>
      </c>
      <c r="AX175" s="214"/>
      <c r="AY175" s="3"/>
      <c r="AZ175" s="3"/>
      <c r="BA175" s="3"/>
      <c r="BB175" s="3"/>
    </row>
    <row r="176" spans="1:54" ht="12" x14ac:dyDescent="0.25">
      <c r="A176" s="3"/>
      <c r="B176" s="212"/>
      <c r="C176" s="278" t="s">
        <v>722</v>
      </c>
      <c r="D176" s="279" t="str">
        <f>IF('WK2 - Notional General Income'!D67="","",'WK2 - Notional General Income'!D67)</f>
        <v/>
      </c>
      <c r="E176" s="557" t="str">
        <f>IF('WK2 - Notional General Income'!M67=".",".",'WK2 - Notional General Income'!M67/'WK2 - Notional General Income'!E67)</f>
        <v>.</v>
      </c>
      <c r="F176" s="557" t="str">
        <f>IF('WK3 - Notional GI Yr1 YIELD'!M67=".",".",'WK3 - Notional GI Yr1 YIELD'!M67/'WK3 - Notional GI Yr1 YIELD'!E67)</f>
        <v>.</v>
      </c>
      <c r="G176" s="578"/>
      <c r="H176" s="578"/>
      <c r="I176" s="578"/>
      <c r="J176" s="578"/>
      <c r="K176" s="578"/>
      <c r="L176" s="578"/>
      <c r="M176" s="220"/>
      <c r="N176" s="3"/>
      <c r="O176" s="655">
        <f>'WK2 - Notional General Income'!$E67</f>
        <v>0</v>
      </c>
      <c r="P176" s="657">
        <f>'WK3 - Notional GI Yr1 YIELD'!$E67</f>
        <v>0</v>
      </c>
      <c r="Q176" s="3"/>
      <c r="R176" s="212"/>
      <c r="S176" s="699" t="str">
        <f t="shared" si="115"/>
        <v>.</v>
      </c>
      <c r="T176" s="700" t="str">
        <f t="shared" si="98"/>
        <v>.</v>
      </c>
      <c r="U176" s="700" t="str">
        <f t="shared" si="99"/>
        <v>.</v>
      </c>
      <c r="V176" s="700" t="str">
        <f t="shared" si="100"/>
        <v>.</v>
      </c>
      <c r="W176" s="700" t="str">
        <f t="shared" si="101"/>
        <v>.</v>
      </c>
      <c r="X176" s="700" t="str">
        <f t="shared" si="102"/>
        <v>.</v>
      </c>
      <c r="Y176" s="701" t="str">
        <f t="shared" si="103"/>
        <v>.</v>
      </c>
      <c r="Z176" s="3"/>
      <c r="AA176" s="985" t="str">
        <f t="shared" si="120"/>
        <v>.</v>
      </c>
      <c r="AB176" s="702" t="str">
        <f t="shared" si="121"/>
        <v>.</v>
      </c>
      <c r="AC176" s="702" t="str">
        <f t="shared" si="122"/>
        <v>.</v>
      </c>
      <c r="AD176" s="702" t="str">
        <f t="shared" si="105"/>
        <v>.</v>
      </c>
      <c r="AE176" s="702" t="str">
        <f t="shared" si="106"/>
        <v>.</v>
      </c>
      <c r="AF176" s="702" t="str">
        <f t="shared" si="107"/>
        <v>.</v>
      </c>
      <c r="AG176" s="986" t="str">
        <f t="shared" si="108"/>
        <v>.</v>
      </c>
      <c r="AH176" s="3"/>
      <c r="AI176" s="699" t="str">
        <f>IF(S176=".",".",SUM($S176:S176))</f>
        <v>.</v>
      </c>
      <c r="AJ176" s="700" t="str">
        <f>IF(T176=".",".",SUM($S176:T176))</f>
        <v>.</v>
      </c>
      <c r="AK176" s="700" t="str">
        <f>IF(U176=".",".",SUM($S176:U176))</f>
        <v>.</v>
      </c>
      <c r="AL176" s="700" t="str">
        <f>IF(V176=".",".",SUM($S176:V176))</f>
        <v>.</v>
      </c>
      <c r="AM176" s="700" t="str">
        <f>IF(W176=".",".",SUM($S176:W176))</f>
        <v>.</v>
      </c>
      <c r="AN176" s="700" t="str">
        <f>IF(X176=".",".",SUM($S176:X176))</f>
        <v>.</v>
      </c>
      <c r="AO176" s="701" t="str">
        <f>IF(Y176=".",".",SUM($S176:Y176))</f>
        <v>.</v>
      </c>
      <c r="AP176" s="3"/>
      <c r="AQ176" s="985" t="str">
        <f t="shared" si="116"/>
        <v>.</v>
      </c>
      <c r="AR176" s="702" t="str">
        <f t="shared" si="109"/>
        <v>.</v>
      </c>
      <c r="AS176" s="702" t="str">
        <f t="shared" si="110"/>
        <v>.</v>
      </c>
      <c r="AT176" s="702" t="str">
        <f t="shared" si="111"/>
        <v>.</v>
      </c>
      <c r="AU176" s="702" t="str">
        <f t="shared" si="112"/>
        <v>.</v>
      </c>
      <c r="AV176" s="702" t="str">
        <f t="shared" si="113"/>
        <v>.</v>
      </c>
      <c r="AW176" s="986" t="str">
        <f t="shared" si="114"/>
        <v>.</v>
      </c>
      <c r="AX176" s="214"/>
      <c r="AY176" s="3"/>
      <c r="AZ176" s="3"/>
      <c r="BA176" s="3"/>
      <c r="BB176" s="3"/>
    </row>
    <row r="177" spans="1:54" ht="12" x14ac:dyDescent="0.25">
      <c r="A177" s="3"/>
      <c r="B177" s="212"/>
      <c r="C177" s="278" t="s">
        <v>722</v>
      </c>
      <c r="D177" s="279" t="str">
        <f>IF('WK2 - Notional General Income'!D68="","",'WK2 - Notional General Income'!D68)</f>
        <v/>
      </c>
      <c r="E177" s="557" t="str">
        <f>IF('WK2 - Notional General Income'!M68=".",".",'WK2 - Notional General Income'!M68/'WK2 - Notional General Income'!E68)</f>
        <v>.</v>
      </c>
      <c r="F177" s="557" t="str">
        <f>IF('WK3 - Notional GI Yr1 YIELD'!M68=".",".",'WK3 - Notional GI Yr1 YIELD'!M68/'WK3 - Notional GI Yr1 YIELD'!E68)</f>
        <v>.</v>
      </c>
      <c r="G177" s="578"/>
      <c r="H177" s="578"/>
      <c r="I177" s="578"/>
      <c r="J177" s="578"/>
      <c r="K177" s="578"/>
      <c r="L177" s="578"/>
      <c r="M177" s="220"/>
      <c r="N177" s="3"/>
      <c r="O177" s="655">
        <f>'WK2 - Notional General Income'!$E68</f>
        <v>0</v>
      </c>
      <c r="P177" s="657">
        <f>'WK3 - Notional GI Yr1 YIELD'!$E68</f>
        <v>0</v>
      </c>
      <c r="Q177" s="3"/>
      <c r="R177" s="212"/>
      <c r="S177" s="699" t="str">
        <f t="shared" si="115"/>
        <v>.</v>
      </c>
      <c r="T177" s="700" t="str">
        <f t="shared" si="98"/>
        <v>.</v>
      </c>
      <c r="U177" s="700" t="str">
        <f t="shared" si="99"/>
        <v>.</v>
      </c>
      <c r="V177" s="700" t="str">
        <f t="shared" si="100"/>
        <v>.</v>
      </c>
      <c r="W177" s="700" t="str">
        <f t="shared" si="101"/>
        <v>.</v>
      </c>
      <c r="X177" s="700" t="str">
        <f t="shared" si="102"/>
        <v>.</v>
      </c>
      <c r="Y177" s="701" t="str">
        <f t="shared" si="103"/>
        <v>.</v>
      </c>
      <c r="Z177" s="3"/>
      <c r="AA177" s="985" t="str">
        <f t="shared" si="120"/>
        <v>.</v>
      </c>
      <c r="AB177" s="702" t="str">
        <f t="shared" si="121"/>
        <v>.</v>
      </c>
      <c r="AC177" s="702" t="str">
        <f t="shared" si="122"/>
        <v>.</v>
      </c>
      <c r="AD177" s="702" t="str">
        <f t="shared" si="105"/>
        <v>.</v>
      </c>
      <c r="AE177" s="702" t="str">
        <f t="shared" si="106"/>
        <v>.</v>
      </c>
      <c r="AF177" s="702" t="str">
        <f t="shared" si="107"/>
        <v>.</v>
      </c>
      <c r="AG177" s="986" t="str">
        <f t="shared" si="108"/>
        <v>.</v>
      </c>
      <c r="AH177" s="3"/>
      <c r="AI177" s="699" t="str">
        <f>IF(S177=".",".",SUM($S177:S177))</f>
        <v>.</v>
      </c>
      <c r="AJ177" s="700" t="str">
        <f>IF(T177=".",".",SUM($S177:T177))</f>
        <v>.</v>
      </c>
      <c r="AK177" s="700" t="str">
        <f>IF(U177=".",".",SUM($S177:U177))</f>
        <v>.</v>
      </c>
      <c r="AL177" s="700" t="str">
        <f>IF(V177=".",".",SUM($S177:V177))</f>
        <v>.</v>
      </c>
      <c r="AM177" s="700" t="str">
        <f>IF(W177=".",".",SUM($S177:W177))</f>
        <v>.</v>
      </c>
      <c r="AN177" s="700" t="str">
        <f>IF(X177=".",".",SUM($S177:X177))</f>
        <v>.</v>
      </c>
      <c r="AO177" s="701" t="str">
        <f>IF(Y177=".",".",SUM($S177:Y177))</f>
        <v>.</v>
      </c>
      <c r="AP177" s="3"/>
      <c r="AQ177" s="985" t="str">
        <f t="shared" si="116"/>
        <v>.</v>
      </c>
      <c r="AR177" s="702" t="str">
        <f t="shared" si="109"/>
        <v>.</v>
      </c>
      <c r="AS177" s="702" t="str">
        <f t="shared" si="110"/>
        <v>.</v>
      </c>
      <c r="AT177" s="702" t="str">
        <f t="shared" si="111"/>
        <v>.</v>
      </c>
      <c r="AU177" s="702" t="str">
        <f t="shared" si="112"/>
        <v>.</v>
      </c>
      <c r="AV177" s="702" t="str">
        <f t="shared" si="113"/>
        <v>.</v>
      </c>
      <c r="AW177" s="986" t="str">
        <f t="shared" si="114"/>
        <v>.</v>
      </c>
      <c r="AX177" s="214"/>
      <c r="AY177" s="3"/>
      <c r="AZ177" s="3"/>
      <c r="BA177" s="3"/>
      <c r="BB177" s="3"/>
    </row>
    <row r="178" spans="1:54" ht="12" x14ac:dyDescent="0.25">
      <c r="A178" s="3"/>
      <c r="B178" s="212"/>
      <c r="C178" s="278" t="s">
        <v>722</v>
      </c>
      <c r="D178" s="279" t="str">
        <f>IF('WK2 - Notional General Income'!D69="","",'WK2 - Notional General Income'!D69)</f>
        <v/>
      </c>
      <c r="E178" s="557" t="str">
        <f>IF('WK2 - Notional General Income'!M69=".",".",'WK2 - Notional General Income'!M69/'WK2 - Notional General Income'!E69)</f>
        <v>.</v>
      </c>
      <c r="F178" s="557" t="str">
        <f>IF('WK3 - Notional GI Yr1 YIELD'!M69=".",".",'WK3 - Notional GI Yr1 YIELD'!M69/'WK3 - Notional GI Yr1 YIELD'!E69)</f>
        <v>.</v>
      </c>
      <c r="G178" s="578"/>
      <c r="H178" s="578"/>
      <c r="I178" s="578"/>
      <c r="J178" s="578"/>
      <c r="K178" s="578"/>
      <c r="L178" s="578"/>
      <c r="M178" s="220"/>
      <c r="N178" s="3"/>
      <c r="O178" s="655">
        <f>'WK2 - Notional General Income'!$E69</f>
        <v>0</v>
      </c>
      <c r="P178" s="657">
        <f>'WK3 - Notional GI Yr1 YIELD'!$E69</f>
        <v>0</v>
      </c>
      <c r="Q178" s="3"/>
      <c r="R178" s="212"/>
      <c r="S178" s="699" t="str">
        <f t="shared" si="115"/>
        <v>.</v>
      </c>
      <c r="T178" s="700" t="str">
        <f t="shared" si="98"/>
        <v>.</v>
      </c>
      <c r="U178" s="700" t="str">
        <f t="shared" si="99"/>
        <v>.</v>
      </c>
      <c r="V178" s="700" t="str">
        <f t="shared" si="100"/>
        <v>.</v>
      </c>
      <c r="W178" s="700" t="str">
        <f t="shared" si="101"/>
        <v>.</v>
      </c>
      <c r="X178" s="700" t="str">
        <f t="shared" si="102"/>
        <v>.</v>
      </c>
      <c r="Y178" s="701" t="str">
        <f t="shared" si="103"/>
        <v>.</v>
      </c>
      <c r="Z178" s="3"/>
      <c r="AA178" s="985" t="str">
        <f t="shared" si="120"/>
        <v>.</v>
      </c>
      <c r="AB178" s="702" t="str">
        <f t="shared" si="121"/>
        <v>.</v>
      </c>
      <c r="AC178" s="702" t="str">
        <f t="shared" si="122"/>
        <v>.</v>
      </c>
      <c r="AD178" s="702" t="str">
        <f t="shared" ref="AD178:AD216" si="123">IFERROR(I178/H178-1,".")</f>
        <v>.</v>
      </c>
      <c r="AE178" s="702" t="str">
        <f t="shared" ref="AE178:AE216" si="124">IFERROR(J178/I178-1,".")</f>
        <v>.</v>
      </c>
      <c r="AF178" s="702" t="str">
        <f t="shared" ref="AF178:AF216" si="125">IFERROR(K178/J178-1,".")</f>
        <v>.</v>
      </c>
      <c r="AG178" s="986" t="str">
        <f t="shared" si="108"/>
        <v>.</v>
      </c>
      <c r="AH178" s="3"/>
      <c r="AI178" s="699" t="str">
        <f>IF(S178=".",".",SUM($S178:S178))</f>
        <v>.</v>
      </c>
      <c r="AJ178" s="700" t="str">
        <f>IF(T178=".",".",SUM($S178:T178))</f>
        <v>.</v>
      </c>
      <c r="AK178" s="700" t="str">
        <f>IF(U178=".",".",SUM($S178:U178))</f>
        <v>.</v>
      </c>
      <c r="AL178" s="700" t="str">
        <f>IF(V178=".",".",SUM($S178:V178))</f>
        <v>.</v>
      </c>
      <c r="AM178" s="700" t="str">
        <f>IF(W178=".",".",SUM($S178:W178))</f>
        <v>.</v>
      </c>
      <c r="AN178" s="700" t="str">
        <f>IF(X178=".",".",SUM($S178:X178))</f>
        <v>.</v>
      </c>
      <c r="AO178" s="701" t="str">
        <f>IF(Y178=".",".",SUM($S178:Y178))</f>
        <v>.</v>
      </c>
      <c r="AP178" s="3"/>
      <c r="AQ178" s="985" t="str">
        <f t="shared" si="116"/>
        <v>.</v>
      </c>
      <c r="AR178" s="702" t="str">
        <f t="shared" si="109"/>
        <v>.</v>
      </c>
      <c r="AS178" s="702" t="str">
        <f t="shared" si="110"/>
        <v>.</v>
      </c>
      <c r="AT178" s="702" t="str">
        <f t="shared" si="111"/>
        <v>.</v>
      </c>
      <c r="AU178" s="702" t="str">
        <f t="shared" si="112"/>
        <v>.</v>
      </c>
      <c r="AV178" s="702" t="str">
        <f t="shared" si="113"/>
        <v>.</v>
      </c>
      <c r="AW178" s="986" t="str">
        <f t="shared" si="114"/>
        <v>.</v>
      </c>
      <c r="AX178" s="214"/>
      <c r="AY178" s="3"/>
      <c r="AZ178" s="3"/>
      <c r="BA178" s="3"/>
      <c r="BB178" s="3"/>
    </row>
    <row r="179" spans="1:54" ht="12" x14ac:dyDescent="0.25">
      <c r="A179" s="3"/>
      <c r="B179" s="212"/>
      <c r="C179" s="278" t="s">
        <v>722</v>
      </c>
      <c r="D179" s="279" t="str">
        <f>IF('WK2 - Notional General Income'!D70="","",'WK2 - Notional General Income'!D70)</f>
        <v/>
      </c>
      <c r="E179" s="557" t="str">
        <f>IF('WK2 - Notional General Income'!M70=".",".",'WK2 - Notional General Income'!M70/'WK2 - Notional General Income'!E70)</f>
        <v>.</v>
      </c>
      <c r="F179" s="557" t="str">
        <f>IF('WK3 - Notional GI Yr1 YIELD'!M70=".",".",'WK3 - Notional GI Yr1 YIELD'!M70/'WK3 - Notional GI Yr1 YIELD'!E70)</f>
        <v>.</v>
      </c>
      <c r="G179" s="578"/>
      <c r="H179" s="578"/>
      <c r="I179" s="578"/>
      <c r="J179" s="578"/>
      <c r="K179" s="578"/>
      <c r="L179" s="578"/>
      <c r="M179" s="220"/>
      <c r="N179" s="3"/>
      <c r="O179" s="655">
        <f>'WK2 - Notional General Income'!$E70</f>
        <v>0</v>
      </c>
      <c r="P179" s="657">
        <f>'WK3 - Notional GI Yr1 YIELD'!$E70</f>
        <v>0</v>
      </c>
      <c r="Q179" s="3"/>
      <c r="R179" s="212"/>
      <c r="S179" s="699" t="str">
        <f t="shared" si="115"/>
        <v>.</v>
      </c>
      <c r="T179" s="700" t="str">
        <f t="shared" si="98"/>
        <v>.</v>
      </c>
      <c r="U179" s="700" t="str">
        <f t="shared" si="99"/>
        <v>.</v>
      </c>
      <c r="V179" s="700" t="str">
        <f t="shared" si="100"/>
        <v>.</v>
      </c>
      <c r="W179" s="700" t="str">
        <f t="shared" si="101"/>
        <v>.</v>
      </c>
      <c r="X179" s="700" t="str">
        <f t="shared" si="102"/>
        <v>.</v>
      </c>
      <c r="Y179" s="701" t="str">
        <f t="shared" si="103"/>
        <v>.</v>
      </c>
      <c r="Z179" s="3"/>
      <c r="AA179" s="985" t="str">
        <f t="shared" si="120"/>
        <v>.</v>
      </c>
      <c r="AB179" s="702" t="str">
        <f t="shared" si="121"/>
        <v>.</v>
      </c>
      <c r="AC179" s="702" t="str">
        <f t="shared" si="122"/>
        <v>.</v>
      </c>
      <c r="AD179" s="702" t="str">
        <f t="shared" si="123"/>
        <v>.</v>
      </c>
      <c r="AE179" s="702" t="str">
        <f t="shared" si="124"/>
        <v>.</v>
      </c>
      <c r="AF179" s="702" t="str">
        <f t="shared" si="125"/>
        <v>.</v>
      </c>
      <c r="AG179" s="986" t="str">
        <f t="shared" si="108"/>
        <v>.</v>
      </c>
      <c r="AH179" s="3"/>
      <c r="AI179" s="699" t="str">
        <f>IF(S179=".",".",SUM($S179:S179))</f>
        <v>.</v>
      </c>
      <c r="AJ179" s="700" t="str">
        <f>IF(T179=".",".",SUM($S179:T179))</f>
        <v>.</v>
      </c>
      <c r="AK179" s="700" t="str">
        <f>IF(U179=".",".",SUM($S179:U179))</f>
        <v>.</v>
      </c>
      <c r="AL179" s="700" t="str">
        <f>IF(V179=".",".",SUM($S179:V179))</f>
        <v>.</v>
      </c>
      <c r="AM179" s="700" t="str">
        <f>IF(W179=".",".",SUM($S179:W179))</f>
        <v>.</v>
      </c>
      <c r="AN179" s="700" t="str">
        <f>IF(X179=".",".",SUM($S179:X179))</f>
        <v>.</v>
      </c>
      <c r="AO179" s="701" t="str">
        <f>IF(Y179=".",".",SUM($S179:Y179))</f>
        <v>.</v>
      </c>
      <c r="AP179" s="3"/>
      <c r="AQ179" s="985" t="str">
        <f t="shared" si="116"/>
        <v>.</v>
      </c>
      <c r="AR179" s="702" t="str">
        <f t="shared" si="109"/>
        <v>.</v>
      </c>
      <c r="AS179" s="702" t="str">
        <f t="shared" si="110"/>
        <v>.</v>
      </c>
      <c r="AT179" s="702" t="str">
        <f t="shared" si="111"/>
        <v>.</v>
      </c>
      <c r="AU179" s="702" t="str">
        <f t="shared" si="112"/>
        <v>.</v>
      </c>
      <c r="AV179" s="702" t="str">
        <f t="shared" si="113"/>
        <v>.</v>
      </c>
      <c r="AW179" s="986" t="str">
        <f t="shared" si="114"/>
        <v>.</v>
      </c>
      <c r="AX179" s="214"/>
      <c r="AY179" s="3"/>
      <c r="AZ179" s="3"/>
      <c r="BA179" s="3"/>
      <c r="BB179" s="3"/>
    </row>
    <row r="180" spans="1:54" ht="12" x14ac:dyDescent="0.25">
      <c r="A180" s="3"/>
      <c r="B180" s="212"/>
      <c r="C180" s="278" t="s">
        <v>722</v>
      </c>
      <c r="D180" s="279" t="str">
        <f>IF('WK2 - Notional General Income'!D71="","",'WK2 - Notional General Income'!D71)</f>
        <v/>
      </c>
      <c r="E180" s="557" t="str">
        <f>IF('WK2 - Notional General Income'!M71=".",".",'WK2 - Notional General Income'!M71/'WK2 - Notional General Income'!E71)</f>
        <v>.</v>
      </c>
      <c r="F180" s="557" t="str">
        <f>IF('WK3 - Notional GI Yr1 YIELD'!M71=".",".",'WK3 - Notional GI Yr1 YIELD'!M71/'WK3 - Notional GI Yr1 YIELD'!E71)</f>
        <v>.</v>
      </c>
      <c r="G180" s="578"/>
      <c r="H180" s="578"/>
      <c r="I180" s="578"/>
      <c r="J180" s="578"/>
      <c r="K180" s="578"/>
      <c r="L180" s="578"/>
      <c r="M180" s="220"/>
      <c r="N180" s="3"/>
      <c r="O180" s="655">
        <f>'WK2 - Notional General Income'!$E71</f>
        <v>0</v>
      </c>
      <c r="P180" s="657">
        <f>'WK3 - Notional GI Yr1 YIELD'!$E71</f>
        <v>0</v>
      </c>
      <c r="Q180" s="3"/>
      <c r="R180" s="212"/>
      <c r="S180" s="699" t="str">
        <f t="shared" si="115"/>
        <v>.</v>
      </c>
      <c r="T180" s="700" t="str">
        <f t="shared" si="98"/>
        <v>.</v>
      </c>
      <c r="U180" s="700" t="str">
        <f t="shared" si="99"/>
        <v>.</v>
      </c>
      <c r="V180" s="700" t="str">
        <f t="shared" si="100"/>
        <v>.</v>
      </c>
      <c r="W180" s="700" t="str">
        <f t="shared" si="101"/>
        <v>.</v>
      </c>
      <c r="X180" s="700" t="str">
        <f t="shared" si="102"/>
        <v>.</v>
      </c>
      <c r="Y180" s="701" t="str">
        <f t="shared" si="103"/>
        <v>.</v>
      </c>
      <c r="Z180" s="3"/>
      <c r="AA180" s="985" t="str">
        <f t="shared" si="120"/>
        <v>.</v>
      </c>
      <c r="AB180" s="702" t="str">
        <f t="shared" si="121"/>
        <v>.</v>
      </c>
      <c r="AC180" s="702" t="str">
        <f t="shared" si="122"/>
        <v>.</v>
      </c>
      <c r="AD180" s="702" t="str">
        <f t="shared" si="123"/>
        <v>.</v>
      </c>
      <c r="AE180" s="702" t="str">
        <f t="shared" si="124"/>
        <v>.</v>
      </c>
      <c r="AF180" s="702" t="str">
        <f t="shared" si="125"/>
        <v>.</v>
      </c>
      <c r="AG180" s="986" t="str">
        <f t="shared" si="108"/>
        <v>.</v>
      </c>
      <c r="AH180" s="3"/>
      <c r="AI180" s="699" t="str">
        <f>IF(S180=".",".",SUM($S180:S180))</f>
        <v>.</v>
      </c>
      <c r="AJ180" s="700" t="str">
        <f>IF(T180=".",".",SUM($S180:T180))</f>
        <v>.</v>
      </c>
      <c r="AK180" s="700" t="str">
        <f>IF(U180=".",".",SUM($S180:U180))</f>
        <v>.</v>
      </c>
      <c r="AL180" s="700" t="str">
        <f>IF(V180=".",".",SUM($S180:V180))</f>
        <v>.</v>
      </c>
      <c r="AM180" s="700" t="str">
        <f>IF(W180=".",".",SUM($S180:W180))</f>
        <v>.</v>
      </c>
      <c r="AN180" s="700" t="str">
        <f>IF(X180=".",".",SUM($S180:X180))</f>
        <v>.</v>
      </c>
      <c r="AO180" s="701" t="str">
        <f>IF(Y180=".",".",SUM($S180:Y180))</f>
        <v>.</v>
      </c>
      <c r="AP180" s="3"/>
      <c r="AQ180" s="985" t="str">
        <f t="shared" si="116"/>
        <v>.</v>
      </c>
      <c r="AR180" s="702" t="str">
        <f t="shared" si="109"/>
        <v>.</v>
      </c>
      <c r="AS180" s="702" t="str">
        <f t="shared" si="110"/>
        <v>.</v>
      </c>
      <c r="AT180" s="702" t="str">
        <f t="shared" si="111"/>
        <v>.</v>
      </c>
      <c r="AU180" s="702" t="str">
        <f t="shared" si="112"/>
        <v>.</v>
      </c>
      <c r="AV180" s="702" t="str">
        <f t="shared" si="113"/>
        <v>.</v>
      </c>
      <c r="AW180" s="986" t="str">
        <f t="shared" si="114"/>
        <v>.</v>
      </c>
      <c r="AX180" s="214"/>
      <c r="AY180" s="3"/>
      <c r="AZ180" s="3"/>
      <c r="BA180" s="3"/>
      <c r="BB180" s="3"/>
    </row>
    <row r="181" spans="1:54" ht="12" x14ac:dyDescent="0.25">
      <c r="A181" s="3"/>
      <c r="B181" s="212"/>
      <c r="C181" s="278" t="s">
        <v>722</v>
      </c>
      <c r="D181" s="279" t="str">
        <f>IF('WK2 - Notional General Income'!D72="","",'WK2 - Notional General Income'!D72)</f>
        <v/>
      </c>
      <c r="E181" s="557" t="str">
        <f>IF('WK2 - Notional General Income'!M72=".",".",'WK2 - Notional General Income'!M72/'WK2 - Notional General Income'!E72)</f>
        <v>.</v>
      </c>
      <c r="F181" s="557" t="str">
        <f>IF('WK3 - Notional GI Yr1 YIELD'!M72=".",".",'WK3 - Notional GI Yr1 YIELD'!M72/'WK3 - Notional GI Yr1 YIELD'!E72)</f>
        <v>.</v>
      </c>
      <c r="G181" s="578"/>
      <c r="H181" s="578"/>
      <c r="I181" s="578"/>
      <c r="J181" s="578"/>
      <c r="K181" s="578"/>
      <c r="L181" s="578"/>
      <c r="M181" s="220"/>
      <c r="N181" s="3"/>
      <c r="O181" s="655">
        <f>'WK2 - Notional General Income'!$E72</f>
        <v>0</v>
      </c>
      <c r="P181" s="657">
        <f>'WK3 - Notional GI Yr1 YIELD'!$E72</f>
        <v>0</v>
      </c>
      <c r="Q181" s="3"/>
      <c r="R181" s="212"/>
      <c r="S181" s="699" t="str">
        <f t="shared" si="115"/>
        <v>.</v>
      </c>
      <c r="T181" s="700" t="str">
        <f t="shared" si="98"/>
        <v>.</v>
      </c>
      <c r="U181" s="700" t="str">
        <f t="shared" si="99"/>
        <v>.</v>
      </c>
      <c r="V181" s="700" t="str">
        <f t="shared" si="100"/>
        <v>.</v>
      </c>
      <c r="W181" s="700" t="str">
        <f t="shared" si="101"/>
        <v>.</v>
      </c>
      <c r="X181" s="700" t="str">
        <f t="shared" si="102"/>
        <v>.</v>
      </c>
      <c r="Y181" s="701" t="str">
        <f t="shared" si="103"/>
        <v>.</v>
      </c>
      <c r="Z181" s="3"/>
      <c r="AA181" s="985" t="str">
        <f t="shared" si="120"/>
        <v>.</v>
      </c>
      <c r="AB181" s="702" t="str">
        <f t="shared" si="121"/>
        <v>.</v>
      </c>
      <c r="AC181" s="702" t="str">
        <f t="shared" si="122"/>
        <v>.</v>
      </c>
      <c r="AD181" s="702" t="str">
        <f t="shared" si="123"/>
        <v>.</v>
      </c>
      <c r="AE181" s="702" t="str">
        <f t="shared" si="124"/>
        <v>.</v>
      </c>
      <c r="AF181" s="702" t="str">
        <f t="shared" si="125"/>
        <v>.</v>
      </c>
      <c r="AG181" s="986" t="str">
        <f t="shared" si="108"/>
        <v>.</v>
      </c>
      <c r="AH181" s="3"/>
      <c r="AI181" s="699" t="str">
        <f>IF(S181=".",".",SUM($S181:S181))</f>
        <v>.</v>
      </c>
      <c r="AJ181" s="700" t="str">
        <f>IF(T181=".",".",SUM($S181:T181))</f>
        <v>.</v>
      </c>
      <c r="AK181" s="700" t="str">
        <f>IF(U181=".",".",SUM($S181:U181))</f>
        <v>.</v>
      </c>
      <c r="AL181" s="700" t="str">
        <f>IF(V181=".",".",SUM($S181:V181))</f>
        <v>.</v>
      </c>
      <c r="AM181" s="700" t="str">
        <f>IF(W181=".",".",SUM($S181:W181))</f>
        <v>.</v>
      </c>
      <c r="AN181" s="700" t="str">
        <f>IF(X181=".",".",SUM($S181:X181))</f>
        <v>.</v>
      </c>
      <c r="AO181" s="701" t="str">
        <f>IF(Y181=".",".",SUM($S181:Y181))</f>
        <v>.</v>
      </c>
      <c r="AP181" s="3"/>
      <c r="AQ181" s="985" t="str">
        <f t="shared" si="116"/>
        <v>.</v>
      </c>
      <c r="AR181" s="702" t="str">
        <f t="shared" si="109"/>
        <v>.</v>
      </c>
      <c r="AS181" s="702" t="str">
        <f t="shared" si="110"/>
        <v>.</v>
      </c>
      <c r="AT181" s="702" t="str">
        <f t="shared" si="111"/>
        <v>.</v>
      </c>
      <c r="AU181" s="702" t="str">
        <f t="shared" si="112"/>
        <v>.</v>
      </c>
      <c r="AV181" s="702" t="str">
        <f t="shared" si="113"/>
        <v>.</v>
      </c>
      <c r="AW181" s="986" t="str">
        <f t="shared" si="114"/>
        <v>.</v>
      </c>
      <c r="AX181" s="214"/>
      <c r="AY181" s="3"/>
      <c r="AZ181" s="3"/>
      <c r="BA181" s="3"/>
      <c r="BB181" s="3"/>
    </row>
    <row r="182" spans="1:54" ht="12" x14ac:dyDescent="0.25">
      <c r="A182" s="3"/>
      <c r="B182" s="212"/>
      <c r="C182" s="278" t="s">
        <v>722</v>
      </c>
      <c r="D182" s="279" t="str">
        <f>IF('WK2 - Notional General Income'!D73="","",'WK2 - Notional General Income'!D73)</f>
        <v/>
      </c>
      <c r="E182" s="557" t="str">
        <f>IF('WK2 - Notional General Income'!M73=".",".",'WK2 - Notional General Income'!M73/'WK2 - Notional General Income'!E73)</f>
        <v>.</v>
      </c>
      <c r="F182" s="557" t="str">
        <f>IF('WK3 - Notional GI Yr1 YIELD'!M73=".",".",'WK3 - Notional GI Yr1 YIELD'!M73/'WK3 - Notional GI Yr1 YIELD'!E73)</f>
        <v>.</v>
      </c>
      <c r="G182" s="578"/>
      <c r="H182" s="578"/>
      <c r="I182" s="578"/>
      <c r="J182" s="578"/>
      <c r="K182" s="578"/>
      <c r="L182" s="578"/>
      <c r="M182" s="220"/>
      <c r="N182" s="3"/>
      <c r="O182" s="655">
        <f>'WK2 - Notional General Income'!$E73</f>
        <v>0</v>
      </c>
      <c r="P182" s="657">
        <f>'WK3 - Notional GI Yr1 YIELD'!$E73</f>
        <v>0</v>
      </c>
      <c r="Q182" s="3"/>
      <c r="R182" s="212"/>
      <c r="S182" s="699" t="str">
        <f t="shared" si="115"/>
        <v>.</v>
      </c>
      <c r="T182" s="700" t="str">
        <f t="shared" si="98"/>
        <v>.</v>
      </c>
      <c r="U182" s="700" t="str">
        <f t="shared" si="99"/>
        <v>.</v>
      </c>
      <c r="V182" s="700" t="str">
        <f t="shared" si="100"/>
        <v>.</v>
      </c>
      <c r="W182" s="700" t="str">
        <f t="shared" si="101"/>
        <v>.</v>
      </c>
      <c r="X182" s="700" t="str">
        <f t="shared" si="102"/>
        <v>.</v>
      </c>
      <c r="Y182" s="701" t="str">
        <f t="shared" si="103"/>
        <v>.</v>
      </c>
      <c r="Z182" s="3"/>
      <c r="AA182" s="985" t="str">
        <f t="shared" si="120"/>
        <v>.</v>
      </c>
      <c r="AB182" s="702" t="str">
        <f t="shared" si="121"/>
        <v>.</v>
      </c>
      <c r="AC182" s="702" t="str">
        <f t="shared" si="122"/>
        <v>.</v>
      </c>
      <c r="AD182" s="702" t="str">
        <f t="shared" si="123"/>
        <v>.</v>
      </c>
      <c r="AE182" s="702" t="str">
        <f t="shared" si="124"/>
        <v>.</v>
      </c>
      <c r="AF182" s="702" t="str">
        <f t="shared" si="125"/>
        <v>.</v>
      </c>
      <c r="AG182" s="986" t="str">
        <f t="shared" si="108"/>
        <v>.</v>
      </c>
      <c r="AH182" s="3"/>
      <c r="AI182" s="699" t="str">
        <f>IF(S182=".",".",SUM($S182:S182))</f>
        <v>.</v>
      </c>
      <c r="AJ182" s="700" t="str">
        <f>IF(T182=".",".",SUM($S182:T182))</f>
        <v>.</v>
      </c>
      <c r="AK182" s="700" t="str">
        <f>IF(U182=".",".",SUM($S182:U182))</f>
        <v>.</v>
      </c>
      <c r="AL182" s="700" t="str">
        <f>IF(V182=".",".",SUM($S182:V182))</f>
        <v>.</v>
      </c>
      <c r="AM182" s="700" t="str">
        <f>IF(W182=".",".",SUM($S182:W182))</f>
        <v>.</v>
      </c>
      <c r="AN182" s="700" t="str">
        <f>IF(X182=".",".",SUM($S182:X182))</f>
        <v>.</v>
      </c>
      <c r="AO182" s="701" t="str">
        <f>IF(Y182=".",".",SUM($S182:Y182))</f>
        <v>.</v>
      </c>
      <c r="AP182" s="3"/>
      <c r="AQ182" s="985" t="str">
        <f t="shared" si="116"/>
        <v>.</v>
      </c>
      <c r="AR182" s="702" t="str">
        <f t="shared" si="109"/>
        <v>.</v>
      </c>
      <c r="AS182" s="702" t="str">
        <f t="shared" si="110"/>
        <v>.</v>
      </c>
      <c r="AT182" s="702" t="str">
        <f t="shared" si="111"/>
        <v>.</v>
      </c>
      <c r="AU182" s="702" t="str">
        <f t="shared" si="112"/>
        <v>.</v>
      </c>
      <c r="AV182" s="702" t="str">
        <f t="shared" si="113"/>
        <v>.</v>
      </c>
      <c r="AW182" s="986" t="str">
        <f t="shared" si="114"/>
        <v>.</v>
      </c>
      <c r="AX182" s="214"/>
      <c r="AY182" s="3"/>
      <c r="AZ182" s="3"/>
      <c r="BA182" s="3"/>
      <c r="BB182" s="3"/>
    </row>
    <row r="183" spans="1:54" ht="12" x14ac:dyDescent="0.25">
      <c r="A183" s="3"/>
      <c r="B183" s="212"/>
      <c r="C183" s="278" t="s">
        <v>722</v>
      </c>
      <c r="D183" s="279" t="str">
        <f>IF('WK2 - Notional General Income'!D74="","",'WK2 - Notional General Income'!D74)</f>
        <v/>
      </c>
      <c r="E183" s="557" t="str">
        <f>IF('WK2 - Notional General Income'!M74=".",".",'WK2 - Notional General Income'!M74/'WK2 - Notional General Income'!E74)</f>
        <v>.</v>
      </c>
      <c r="F183" s="557" t="str">
        <f>IF('WK3 - Notional GI Yr1 YIELD'!M74=".",".",'WK3 - Notional GI Yr1 YIELD'!M74/'WK3 - Notional GI Yr1 YIELD'!E74)</f>
        <v>.</v>
      </c>
      <c r="G183" s="578"/>
      <c r="H183" s="578"/>
      <c r="I183" s="578"/>
      <c r="J183" s="578"/>
      <c r="K183" s="578"/>
      <c r="L183" s="578"/>
      <c r="M183" s="220"/>
      <c r="N183" s="3"/>
      <c r="O183" s="655">
        <f>'WK2 - Notional General Income'!$E74</f>
        <v>0</v>
      </c>
      <c r="P183" s="657">
        <f>'WK3 - Notional GI Yr1 YIELD'!$E74</f>
        <v>0</v>
      </c>
      <c r="Q183" s="3"/>
      <c r="R183" s="212"/>
      <c r="S183" s="699" t="str">
        <f t="shared" si="115"/>
        <v>.</v>
      </c>
      <c r="T183" s="700" t="str">
        <f t="shared" si="98"/>
        <v>.</v>
      </c>
      <c r="U183" s="700" t="str">
        <f t="shared" si="99"/>
        <v>.</v>
      </c>
      <c r="V183" s="700" t="str">
        <f t="shared" si="100"/>
        <v>.</v>
      </c>
      <c r="W183" s="700" t="str">
        <f t="shared" si="101"/>
        <v>.</v>
      </c>
      <c r="X183" s="700" t="str">
        <f t="shared" si="102"/>
        <v>.</v>
      </c>
      <c r="Y183" s="701" t="str">
        <f t="shared" si="103"/>
        <v>.</v>
      </c>
      <c r="Z183" s="3"/>
      <c r="AA183" s="985" t="str">
        <f t="shared" si="120"/>
        <v>.</v>
      </c>
      <c r="AB183" s="702" t="str">
        <f t="shared" si="121"/>
        <v>.</v>
      </c>
      <c r="AC183" s="702" t="str">
        <f t="shared" si="122"/>
        <v>.</v>
      </c>
      <c r="AD183" s="702" t="str">
        <f t="shared" si="123"/>
        <v>.</v>
      </c>
      <c r="AE183" s="702" t="str">
        <f t="shared" si="124"/>
        <v>.</v>
      </c>
      <c r="AF183" s="702" t="str">
        <f t="shared" si="125"/>
        <v>.</v>
      </c>
      <c r="AG183" s="986" t="str">
        <f t="shared" si="108"/>
        <v>.</v>
      </c>
      <c r="AH183" s="3"/>
      <c r="AI183" s="699" t="str">
        <f>IF(S183=".",".",SUM($S183:S183))</f>
        <v>.</v>
      </c>
      <c r="AJ183" s="700" t="str">
        <f>IF(T183=".",".",SUM($S183:T183))</f>
        <v>.</v>
      </c>
      <c r="AK183" s="700" t="str">
        <f>IF(U183=".",".",SUM($S183:U183))</f>
        <v>.</v>
      </c>
      <c r="AL183" s="700" t="str">
        <f>IF(V183=".",".",SUM($S183:V183))</f>
        <v>.</v>
      </c>
      <c r="AM183" s="700" t="str">
        <f>IF(W183=".",".",SUM($S183:W183))</f>
        <v>.</v>
      </c>
      <c r="AN183" s="700" t="str">
        <f>IF(X183=".",".",SUM($S183:X183))</f>
        <v>.</v>
      </c>
      <c r="AO183" s="701" t="str">
        <f>IF(Y183=".",".",SUM($S183:Y183))</f>
        <v>.</v>
      </c>
      <c r="AP183" s="3"/>
      <c r="AQ183" s="985" t="str">
        <f t="shared" si="116"/>
        <v>.</v>
      </c>
      <c r="AR183" s="702" t="str">
        <f t="shared" si="109"/>
        <v>.</v>
      </c>
      <c r="AS183" s="702" t="str">
        <f t="shared" si="110"/>
        <v>.</v>
      </c>
      <c r="AT183" s="702" t="str">
        <f t="shared" si="111"/>
        <v>.</v>
      </c>
      <c r="AU183" s="702" t="str">
        <f t="shared" si="112"/>
        <v>.</v>
      </c>
      <c r="AV183" s="702" t="str">
        <f t="shared" si="113"/>
        <v>.</v>
      </c>
      <c r="AW183" s="986" t="str">
        <f t="shared" si="114"/>
        <v>.</v>
      </c>
      <c r="AX183" s="214"/>
      <c r="AY183" s="3"/>
      <c r="AZ183" s="3"/>
      <c r="BA183" s="3"/>
      <c r="BB183" s="3"/>
    </row>
    <row r="184" spans="1:54" ht="12.6" thickBot="1" x14ac:dyDescent="0.3">
      <c r="A184" s="3"/>
      <c r="B184" s="212"/>
      <c r="C184" s="278" t="s">
        <v>722</v>
      </c>
      <c r="D184" s="279" t="str">
        <f>IF('WK2 - Notional General Income'!D75="","",'WK2 - Notional General Income'!D75)</f>
        <v/>
      </c>
      <c r="E184" s="557" t="str">
        <f>IF('WK2 - Notional General Income'!M75=".",".",'WK2 - Notional General Income'!M75/'WK2 - Notional General Income'!E75)</f>
        <v>.</v>
      </c>
      <c r="F184" s="557" t="str">
        <f>IF('WK3 - Notional GI Yr1 YIELD'!M75=".",".",'WK3 - Notional GI Yr1 YIELD'!M75/'WK3 - Notional GI Yr1 YIELD'!E75)</f>
        <v>.</v>
      </c>
      <c r="G184" s="578"/>
      <c r="H184" s="578"/>
      <c r="I184" s="578"/>
      <c r="J184" s="578"/>
      <c r="K184" s="578"/>
      <c r="L184" s="578"/>
      <c r="M184" s="220"/>
      <c r="N184" s="3"/>
      <c r="O184" s="711">
        <f>'WK2 - Notional General Income'!$E75</f>
        <v>0</v>
      </c>
      <c r="P184" s="712">
        <f>'WK3 - Notional GI Yr1 YIELD'!$E75</f>
        <v>0</v>
      </c>
      <c r="Q184" s="3"/>
      <c r="R184" s="212"/>
      <c r="S184" s="699" t="str">
        <f t="shared" si="115"/>
        <v>.</v>
      </c>
      <c r="T184" s="700" t="str">
        <f t="shared" si="98"/>
        <v>.</v>
      </c>
      <c r="U184" s="700" t="str">
        <f t="shared" si="99"/>
        <v>.</v>
      </c>
      <c r="V184" s="700" t="str">
        <f t="shared" si="100"/>
        <v>.</v>
      </c>
      <c r="W184" s="700" t="str">
        <f t="shared" si="101"/>
        <v>.</v>
      </c>
      <c r="X184" s="700" t="str">
        <f t="shared" si="102"/>
        <v>.</v>
      </c>
      <c r="Y184" s="701" t="str">
        <f t="shared" si="103"/>
        <v>.</v>
      </c>
      <c r="Z184" s="3"/>
      <c r="AA184" s="985" t="str">
        <f t="shared" si="120"/>
        <v>.</v>
      </c>
      <c r="AB184" s="702" t="str">
        <f t="shared" si="121"/>
        <v>.</v>
      </c>
      <c r="AC184" s="702" t="str">
        <f t="shared" si="122"/>
        <v>.</v>
      </c>
      <c r="AD184" s="702" t="str">
        <f t="shared" si="123"/>
        <v>.</v>
      </c>
      <c r="AE184" s="702" t="str">
        <f t="shared" si="124"/>
        <v>.</v>
      </c>
      <c r="AF184" s="702" t="str">
        <f t="shared" si="125"/>
        <v>.</v>
      </c>
      <c r="AG184" s="986" t="str">
        <f t="shared" si="108"/>
        <v>.</v>
      </c>
      <c r="AH184" s="3"/>
      <c r="AI184" s="699" t="str">
        <f>IF(S184=".",".",SUM($S184:S184))</f>
        <v>.</v>
      </c>
      <c r="AJ184" s="700" t="str">
        <f>IF(T184=".",".",SUM($S184:T184))</f>
        <v>.</v>
      </c>
      <c r="AK184" s="700" t="str">
        <f>IF(U184=".",".",SUM($S184:U184))</f>
        <v>.</v>
      </c>
      <c r="AL184" s="700" t="str">
        <f>IF(V184=".",".",SUM($S184:V184))</f>
        <v>.</v>
      </c>
      <c r="AM184" s="700" t="str">
        <f>IF(W184=".",".",SUM($S184:W184))</f>
        <v>.</v>
      </c>
      <c r="AN184" s="700" t="str">
        <f>IF(X184=".",".",SUM($S184:X184))</f>
        <v>.</v>
      </c>
      <c r="AO184" s="701" t="str">
        <f>IF(Y184=".",".",SUM($S184:Y184))</f>
        <v>.</v>
      </c>
      <c r="AP184" s="3"/>
      <c r="AQ184" s="985" t="str">
        <f t="shared" si="116"/>
        <v>.</v>
      </c>
      <c r="AR184" s="702" t="str">
        <f t="shared" si="109"/>
        <v>.</v>
      </c>
      <c r="AS184" s="702" t="str">
        <f t="shared" si="110"/>
        <v>.</v>
      </c>
      <c r="AT184" s="702" t="str">
        <f t="shared" si="111"/>
        <v>.</v>
      </c>
      <c r="AU184" s="702" t="str">
        <f t="shared" si="112"/>
        <v>.</v>
      </c>
      <c r="AV184" s="702" t="str">
        <f t="shared" si="113"/>
        <v>.</v>
      </c>
      <c r="AW184" s="986" t="str">
        <f t="shared" si="114"/>
        <v>.</v>
      </c>
      <c r="AX184" s="214"/>
      <c r="AY184" s="3"/>
      <c r="AZ184" s="3"/>
      <c r="BA184" s="3"/>
      <c r="BB184" s="3"/>
    </row>
    <row r="185" spans="1:54" ht="12.6" thickTop="1" x14ac:dyDescent="0.25">
      <c r="A185" s="3"/>
      <c r="B185" s="212"/>
      <c r="C185" s="278" t="s">
        <v>819</v>
      </c>
      <c r="D185" s="279" t="str">
        <f>IF('WK2 - Notional General Income'!D124="","",'WK2 - Notional General Income'!D124)</f>
        <v>Cachments - Farmland</v>
      </c>
      <c r="E185" s="557">
        <f>IF('WK2 - Notional General Income'!M124=".",".",'WK2 - Notional General Income'!M124/'WK2 - Notional General Income'!E124)</f>
        <v>101.60165247603835</v>
      </c>
      <c r="F185" s="557">
        <f>IF('WK3 - Notional GI Yr1 YIELD'!M124=".",".",'WK3 - Notional GI Yr1 YIELD'!M124/'WK3 - Notional GI Yr1 YIELD'!E124)</f>
        <v>110.15381589456868</v>
      </c>
      <c r="G185" s="578">
        <f>+F185*1.075</f>
        <v>118.41535208666133</v>
      </c>
      <c r="H185" s="578">
        <f>+G185*1.065</f>
        <v>126.11234997229431</v>
      </c>
      <c r="I185" s="578">
        <f>+H185*1.055</f>
        <v>133.04852922077049</v>
      </c>
      <c r="J185" s="578">
        <f t="shared" ref="J185:L185" si="126">+I185*1.025</f>
        <v>136.37474245128973</v>
      </c>
      <c r="K185" s="578">
        <f t="shared" si="126"/>
        <v>139.78411101257197</v>
      </c>
      <c r="L185" s="578">
        <f t="shared" si="126"/>
        <v>143.27871378788626</v>
      </c>
      <c r="M185" s="220"/>
      <c r="N185" s="3"/>
      <c r="O185" s="655">
        <f>'WK2 - Notional General Income'!$E124</f>
        <v>313</v>
      </c>
      <c r="P185" s="657">
        <f>'WK3 - Notional GI Yr1 YIELD'!$E124</f>
        <v>313</v>
      </c>
      <c r="Q185" s="3"/>
      <c r="R185" s="212"/>
      <c r="S185" s="699">
        <f t="shared" si="115"/>
        <v>8.552163418530327</v>
      </c>
      <c r="T185" s="700">
        <f t="shared" si="98"/>
        <v>8.2615361920926489</v>
      </c>
      <c r="U185" s="700">
        <f t="shared" si="99"/>
        <v>7.6969978856329817</v>
      </c>
      <c r="V185" s="700">
        <f t="shared" si="100"/>
        <v>6.9361792484761793</v>
      </c>
      <c r="W185" s="700">
        <f t="shared" si="101"/>
        <v>3.3262132305192438</v>
      </c>
      <c r="X185" s="700">
        <f t="shared" si="102"/>
        <v>3.4093685612822355</v>
      </c>
      <c r="Y185" s="701">
        <f t="shared" si="103"/>
        <v>3.4946027753142914</v>
      </c>
      <c r="Z185" s="3"/>
      <c r="AA185" s="985">
        <f t="shared" si="120"/>
        <v>8.417346775484047E-2</v>
      </c>
      <c r="AB185" s="702">
        <f t="shared" si="121"/>
        <v>7.4999999999999956E-2</v>
      </c>
      <c r="AC185" s="702">
        <f t="shared" si="122"/>
        <v>6.4999999999999947E-2</v>
      </c>
      <c r="AD185" s="702">
        <f t="shared" si="123"/>
        <v>5.4999999999999938E-2</v>
      </c>
      <c r="AE185" s="702">
        <f t="shared" si="124"/>
        <v>2.4999999999999911E-2</v>
      </c>
      <c r="AF185" s="702">
        <f t="shared" si="125"/>
        <v>2.4999999999999911E-2</v>
      </c>
      <c r="AG185" s="986">
        <f t="shared" si="108"/>
        <v>2.4999999999999911E-2</v>
      </c>
      <c r="AH185" s="3"/>
      <c r="AI185" s="699">
        <f>IF(S185=".",".",SUM($S185:S185))</f>
        <v>8.552163418530327</v>
      </c>
      <c r="AJ185" s="700">
        <f>IF(T185=".",".",SUM($S185:T185))</f>
        <v>16.813699610622976</v>
      </c>
      <c r="AK185" s="700">
        <f>IF(U185=".",".",SUM($S185:U185))</f>
        <v>24.510697496255958</v>
      </c>
      <c r="AL185" s="700">
        <f>IF(V185=".",".",SUM($S185:V185))</f>
        <v>31.446876744732137</v>
      </c>
      <c r="AM185" s="700">
        <f>IF(W185=".",".",SUM($S185:W185))</f>
        <v>34.773089975251381</v>
      </c>
      <c r="AN185" s="700">
        <f>IF(X185=".",".",SUM($S185:X185))</f>
        <v>38.182458536533616</v>
      </c>
      <c r="AO185" s="701">
        <f>IF(Y185=".",".",SUM($S185:Y185))</f>
        <v>41.677061311847908</v>
      </c>
      <c r="AP185" s="3"/>
      <c r="AQ185" s="985">
        <f t="shared" si="116"/>
        <v>8.417346775484047E-2</v>
      </c>
      <c r="AR185" s="702">
        <f t="shared" si="109"/>
        <v>0.16548647783645354</v>
      </c>
      <c r="AS185" s="702">
        <f t="shared" si="110"/>
        <v>0.24124309889582296</v>
      </c>
      <c r="AT185" s="702">
        <f t="shared" si="111"/>
        <v>0.3095114693350931</v>
      </c>
      <c r="AU185" s="702">
        <f t="shared" si="112"/>
        <v>0.34224925606847023</v>
      </c>
      <c r="AV185" s="702">
        <f t="shared" si="113"/>
        <v>0.37580548747018194</v>
      </c>
      <c r="AW185" s="986">
        <f t="shared" si="114"/>
        <v>0.41020062465693652</v>
      </c>
      <c r="AX185" s="214"/>
      <c r="AY185" s="3"/>
      <c r="AZ185" s="3"/>
      <c r="BA185" s="3"/>
      <c r="BB185" s="3"/>
    </row>
    <row r="186" spans="1:54" ht="12" x14ac:dyDescent="0.25">
      <c r="A186" s="3"/>
      <c r="B186" s="212"/>
      <c r="C186" s="278" t="s">
        <v>819</v>
      </c>
      <c r="D186" s="279" t="str">
        <f>IF('WK2 - Notional General Income'!D125="","",'WK2 - Notional General Income'!D125)</f>
        <v/>
      </c>
      <c r="E186" s="557" t="str">
        <f>IF('WK2 - Notional General Income'!M125=".",".",'WK2 - Notional General Income'!M125/'WK2 - Notional General Income'!E125)</f>
        <v>.</v>
      </c>
      <c r="F186" s="557" t="str">
        <f>IF('WK3 - Notional GI Yr1 YIELD'!M125=".",".",'WK3 - Notional GI Yr1 YIELD'!M125/'WK3 - Notional GI Yr1 YIELD'!E125)</f>
        <v>.</v>
      </c>
      <c r="G186" s="578"/>
      <c r="H186" s="578"/>
      <c r="I186" s="578"/>
      <c r="J186" s="578"/>
      <c r="K186" s="578"/>
      <c r="L186" s="578"/>
      <c r="M186" s="220"/>
      <c r="N186" s="3"/>
      <c r="O186" s="655">
        <f>'WK2 - Notional General Income'!$E125</f>
        <v>0</v>
      </c>
      <c r="P186" s="657">
        <f>'WK3 - Notional GI Yr1 YIELD'!$E125</f>
        <v>0</v>
      </c>
      <c r="Q186" s="3"/>
      <c r="R186" s="212"/>
      <c r="S186" s="699" t="str">
        <f t="shared" si="115"/>
        <v>.</v>
      </c>
      <c r="T186" s="700" t="str">
        <f t="shared" si="98"/>
        <v>.</v>
      </c>
      <c r="U186" s="700" t="str">
        <f t="shared" si="99"/>
        <v>.</v>
      </c>
      <c r="V186" s="700" t="str">
        <f t="shared" si="100"/>
        <v>.</v>
      </c>
      <c r="W186" s="700" t="str">
        <f t="shared" si="101"/>
        <v>.</v>
      </c>
      <c r="X186" s="700" t="str">
        <f t="shared" si="102"/>
        <v>.</v>
      </c>
      <c r="Y186" s="701" t="str">
        <f t="shared" si="103"/>
        <v>.</v>
      </c>
      <c r="Z186" s="3"/>
      <c r="AA186" s="985" t="str">
        <f t="shared" si="120"/>
        <v>.</v>
      </c>
      <c r="AB186" s="702" t="str">
        <f t="shared" si="121"/>
        <v>.</v>
      </c>
      <c r="AC186" s="702" t="str">
        <f t="shared" si="122"/>
        <v>.</v>
      </c>
      <c r="AD186" s="702" t="str">
        <f t="shared" si="123"/>
        <v>.</v>
      </c>
      <c r="AE186" s="702" t="str">
        <f t="shared" si="124"/>
        <v>.</v>
      </c>
      <c r="AF186" s="702" t="str">
        <f t="shared" si="125"/>
        <v>.</v>
      </c>
      <c r="AG186" s="986" t="str">
        <f t="shared" si="108"/>
        <v>.</v>
      </c>
      <c r="AH186" s="3"/>
      <c r="AI186" s="699" t="str">
        <f>IF(S186=".",".",SUM($S186:S186))</f>
        <v>.</v>
      </c>
      <c r="AJ186" s="700" t="str">
        <f>IF(T186=".",".",SUM($S186:T186))</f>
        <v>.</v>
      </c>
      <c r="AK186" s="700" t="str">
        <f>IF(U186=".",".",SUM($S186:U186))</f>
        <v>.</v>
      </c>
      <c r="AL186" s="700" t="str">
        <f>IF(V186=".",".",SUM($S186:V186))</f>
        <v>.</v>
      </c>
      <c r="AM186" s="700" t="str">
        <f>IF(W186=".",".",SUM($S186:W186))</f>
        <v>.</v>
      </c>
      <c r="AN186" s="700" t="str">
        <f>IF(X186=".",".",SUM($S186:X186))</f>
        <v>.</v>
      </c>
      <c r="AO186" s="701" t="str">
        <f>IF(Y186=".",".",SUM($S186:Y186))</f>
        <v>.</v>
      </c>
      <c r="AP186" s="3"/>
      <c r="AQ186" s="985" t="str">
        <f t="shared" si="116"/>
        <v>.</v>
      </c>
      <c r="AR186" s="702" t="str">
        <f t="shared" si="109"/>
        <v>.</v>
      </c>
      <c r="AS186" s="702" t="str">
        <f t="shared" si="110"/>
        <v>.</v>
      </c>
      <c r="AT186" s="702" t="str">
        <f t="shared" si="111"/>
        <v>.</v>
      </c>
      <c r="AU186" s="702" t="str">
        <f t="shared" si="112"/>
        <v>.</v>
      </c>
      <c r="AV186" s="702" t="str">
        <f t="shared" si="113"/>
        <v>.</v>
      </c>
      <c r="AW186" s="986" t="str">
        <f t="shared" si="114"/>
        <v>.</v>
      </c>
      <c r="AX186" s="214"/>
      <c r="AY186" s="3"/>
      <c r="AZ186" s="3"/>
      <c r="BA186" s="3"/>
      <c r="BB186" s="3"/>
    </row>
    <row r="187" spans="1:54" ht="12" x14ac:dyDescent="0.25">
      <c r="A187" s="3"/>
      <c r="B187" s="212"/>
      <c r="C187" s="278" t="s">
        <v>819</v>
      </c>
      <c r="D187" s="279" t="str">
        <f>IF('WK2 - Notional General Income'!D126="","",'WK2 - Notional General Income'!D126)</f>
        <v/>
      </c>
      <c r="E187" s="557" t="str">
        <f>IF('WK2 - Notional General Income'!M126=".",".",'WK2 - Notional General Income'!M126/'WK2 - Notional General Income'!E126)</f>
        <v>.</v>
      </c>
      <c r="F187" s="557" t="str">
        <f>IF('WK3 - Notional GI Yr1 YIELD'!M126=".",".",'WK3 - Notional GI Yr1 YIELD'!M126/'WK3 - Notional GI Yr1 YIELD'!E126)</f>
        <v>.</v>
      </c>
      <c r="G187" s="578"/>
      <c r="H187" s="578"/>
      <c r="I187" s="578"/>
      <c r="J187" s="578"/>
      <c r="K187" s="578"/>
      <c r="L187" s="578"/>
      <c r="M187" s="220"/>
      <c r="N187" s="3"/>
      <c r="O187" s="655">
        <f>'WK2 - Notional General Income'!$E126</f>
        <v>0</v>
      </c>
      <c r="P187" s="657">
        <f>'WK3 - Notional GI Yr1 YIELD'!$E126</f>
        <v>0</v>
      </c>
      <c r="Q187" s="3"/>
      <c r="R187" s="212"/>
      <c r="S187" s="699" t="str">
        <f t="shared" si="115"/>
        <v>.</v>
      </c>
      <c r="T187" s="700" t="str">
        <f t="shared" si="98"/>
        <v>.</v>
      </c>
      <c r="U187" s="700" t="str">
        <f t="shared" si="99"/>
        <v>.</v>
      </c>
      <c r="V187" s="700" t="str">
        <f t="shared" si="100"/>
        <v>.</v>
      </c>
      <c r="W187" s="700" t="str">
        <f t="shared" si="101"/>
        <v>.</v>
      </c>
      <c r="X187" s="700" t="str">
        <f t="shared" si="102"/>
        <v>.</v>
      </c>
      <c r="Y187" s="701" t="str">
        <f t="shared" si="103"/>
        <v>.</v>
      </c>
      <c r="Z187" s="3"/>
      <c r="AA187" s="985" t="str">
        <f t="shared" si="120"/>
        <v>.</v>
      </c>
      <c r="AB187" s="702" t="str">
        <f t="shared" si="121"/>
        <v>.</v>
      </c>
      <c r="AC187" s="702" t="str">
        <f t="shared" si="122"/>
        <v>.</v>
      </c>
      <c r="AD187" s="702" t="str">
        <f t="shared" si="123"/>
        <v>.</v>
      </c>
      <c r="AE187" s="702" t="str">
        <f t="shared" si="124"/>
        <v>.</v>
      </c>
      <c r="AF187" s="702" t="str">
        <f t="shared" si="125"/>
        <v>.</v>
      </c>
      <c r="AG187" s="986" t="str">
        <f t="shared" si="108"/>
        <v>.</v>
      </c>
      <c r="AH187" s="3"/>
      <c r="AI187" s="699" t="str">
        <f>IF(S187=".",".",SUM($S187:S187))</f>
        <v>.</v>
      </c>
      <c r="AJ187" s="700" t="str">
        <f>IF(T187=".",".",SUM($S187:T187))</f>
        <v>.</v>
      </c>
      <c r="AK187" s="700" t="str">
        <f>IF(U187=".",".",SUM($S187:U187))</f>
        <v>.</v>
      </c>
      <c r="AL187" s="700" t="str">
        <f>IF(V187=".",".",SUM($S187:V187))</f>
        <v>.</v>
      </c>
      <c r="AM187" s="700" t="str">
        <f>IF(W187=".",".",SUM($S187:W187))</f>
        <v>.</v>
      </c>
      <c r="AN187" s="700" t="str">
        <f>IF(X187=".",".",SUM($S187:X187))</f>
        <v>.</v>
      </c>
      <c r="AO187" s="701" t="str">
        <f>IF(Y187=".",".",SUM($S187:Y187))</f>
        <v>.</v>
      </c>
      <c r="AP187" s="3"/>
      <c r="AQ187" s="985" t="str">
        <f t="shared" si="116"/>
        <v>.</v>
      </c>
      <c r="AR187" s="702" t="str">
        <f t="shared" si="109"/>
        <v>.</v>
      </c>
      <c r="AS187" s="702" t="str">
        <f t="shared" si="110"/>
        <v>.</v>
      </c>
      <c r="AT187" s="702" t="str">
        <f t="shared" si="111"/>
        <v>.</v>
      </c>
      <c r="AU187" s="702" t="str">
        <f t="shared" si="112"/>
        <v>.</v>
      </c>
      <c r="AV187" s="702" t="str">
        <f t="shared" si="113"/>
        <v>.</v>
      </c>
      <c r="AW187" s="986" t="str">
        <f t="shared" si="114"/>
        <v>.</v>
      </c>
      <c r="AX187" s="214"/>
      <c r="AY187" s="3"/>
      <c r="AZ187" s="3"/>
      <c r="BA187" s="3"/>
      <c r="BB187" s="3"/>
    </row>
    <row r="188" spans="1:54" ht="12" x14ac:dyDescent="0.25">
      <c r="A188" s="3"/>
      <c r="B188" s="212"/>
      <c r="C188" s="278" t="s">
        <v>819</v>
      </c>
      <c r="D188" s="279" t="str">
        <f>IF('WK2 - Notional General Income'!D127="","",'WK2 - Notional General Income'!D127)</f>
        <v/>
      </c>
      <c r="E188" s="557" t="str">
        <f>IF('WK2 - Notional General Income'!M127=".",".",'WK2 - Notional General Income'!M127/'WK2 - Notional General Income'!E127)</f>
        <v>.</v>
      </c>
      <c r="F188" s="557" t="str">
        <f>IF('WK3 - Notional GI Yr1 YIELD'!M127=".",".",'WK3 - Notional GI Yr1 YIELD'!M127/'WK3 - Notional GI Yr1 YIELD'!E127)</f>
        <v>.</v>
      </c>
      <c r="G188" s="578"/>
      <c r="H188" s="578"/>
      <c r="I188" s="578"/>
      <c r="J188" s="578"/>
      <c r="K188" s="578"/>
      <c r="L188" s="578"/>
      <c r="M188" s="220"/>
      <c r="N188" s="3"/>
      <c r="O188" s="655">
        <f>'WK2 - Notional General Income'!$E127</f>
        <v>0</v>
      </c>
      <c r="P188" s="657">
        <f>'WK3 - Notional GI Yr1 YIELD'!$E127</f>
        <v>0</v>
      </c>
      <c r="Q188" s="3"/>
      <c r="R188" s="212"/>
      <c r="S188" s="699" t="str">
        <f t="shared" si="115"/>
        <v>.</v>
      </c>
      <c r="T188" s="700" t="str">
        <f t="shared" si="98"/>
        <v>.</v>
      </c>
      <c r="U188" s="700" t="str">
        <f t="shared" si="99"/>
        <v>.</v>
      </c>
      <c r="V188" s="700" t="str">
        <f t="shared" si="100"/>
        <v>.</v>
      </c>
      <c r="W188" s="700" t="str">
        <f t="shared" si="101"/>
        <v>.</v>
      </c>
      <c r="X188" s="700" t="str">
        <f t="shared" si="102"/>
        <v>.</v>
      </c>
      <c r="Y188" s="701" t="str">
        <f t="shared" si="103"/>
        <v>.</v>
      </c>
      <c r="Z188" s="3"/>
      <c r="AA188" s="985" t="str">
        <f t="shared" si="120"/>
        <v>.</v>
      </c>
      <c r="AB188" s="702" t="str">
        <f t="shared" si="121"/>
        <v>.</v>
      </c>
      <c r="AC188" s="702" t="str">
        <f t="shared" si="122"/>
        <v>.</v>
      </c>
      <c r="AD188" s="702" t="str">
        <f t="shared" si="123"/>
        <v>.</v>
      </c>
      <c r="AE188" s="702" t="str">
        <f t="shared" si="124"/>
        <v>.</v>
      </c>
      <c r="AF188" s="702" t="str">
        <f t="shared" si="125"/>
        <v>.</v>
      </c>
      <c r="AG188" s="986" t="str">
        <f t="shared" si="108"/>
        <v>.</v>
      </c>
      <c r="AH188" s="3"/>
      <c r="AI188" s="699" t="str">
        <f>IF(S188=".",".",SUM($S188:S188))</f>
        <v>.</v>
      </c>
      <c r="AJ188" s="700" t="str">
        <f>IF(T188=".",".",SUM($S188:T188))</f>
        <v>.</v>
      </c>
      <c r="AK188" s="700" t="str">
        <f>IF(U188=".",".",SUM($S188:U188))</f>
        <v>.</v>
      </c>
      <c r="AL188" s="700" t="str">
        <f>IF(V188=".",".",SUM($S188:V188))</f>
        <v>.</v>
      </c>
      <c r="AM188" s="700" t="str">
        <f>IF(W188=".",".",SUM($S188:W188))</f>
        <v>.</v>
      </c>
      <c r="AN188" s="700" t="str">
        <f>IF(X188=".",".",SUM($S188:X188))</f>
        <v>.</v>
      </c>
      <c r="AO188" s="701" t="str">
        <f>IF(Y188=".",".",SUM($S188:Y188))</f>
        <v>.</v>
      </c>
      <c r="AP188" s="3"/>
      <c r="AQ188" s="985" t="str">
        <f t="shared" si="116"/>
        <v>.</v>
      </c>
      <c r="AR188" s="702" t="str">
        <f t="shared" si="109"/>
        <v>.</v>
      </c>
      <c r="AS188" s="702" t="str">
        <f t="shared" si="110"/>
        <v>.</v>
      </c>
      <c r="AT188" s="702" t="str">
        <f t="shared" si="111"/>
        <v>.</v>
      </c>
      <c r="AU188" s="702" t="str">
        <f t="shared" si="112"/>
        <v>.</v>
      </c>
      <c r="AV188" s="702" t="str">
        <f t="shared" si="113"/>
        <v>.</v>
      </c>
      <c r="AW188" s="986" t="str">
        <f t="shared" si="114"/>
        <v>.</v>
      </c>
      <c r="AX188" s="214"/>
      <c r="AY188" s="3"/>
      <c r="AZ188" s="3"/>
      <c r="BA188" s="3"/>
      <c r="BB188" s="3"/>
    </row>
    <row r="189" spans="1:54" ht="12" x14ac:dyDescent="0.25">
      <c r="A189" s="3"/>
      <c r="B189" s="212"/>
      <c r="C189" s="278" t="s">
        <v>819</v>
      </c>
      <c r="D189" s="279" t="str">
        <f>IF('WK2 - Notional General Income'!D128="","",'WK2 - Notional General Income'!D128)</f>
        <v/>
      </c>
      <c r="E189" s="557" t="str">
        <f>IF('WK2 - Notional General Income'!M128=".",".",'WK2 - Notional General Income'!M128/'WK2 - Notional General Income'!E128)</f>
        <v>.</v>
      </c>
      <c r="F189" s="557" t="str">
        <f>IF('WK3 - Notional GI Yr1 YIELD'!M128=".",".",'WK3 - Notional GI Yr1 YIELD'!M128/'WK3 - Notional GI Yr1 YIELD'!E128)</f>
        <v>.</v>
      </c>
      <c r="G189" s="578"/>
      <c r="H189" s="578"/>
      <c r="I189" s="578"/>
      <c r="J189" s="578"/>
      <c r="K189" s="578"/>
      <c r="L189" s="578"/>
      <c r="M189" s="220"/>
      <c r="N189" s="3"/>
      <c r="O189" s="655">
        <f>'WK2 - Notional General Income'!$E128</f>
        <v>0</v>
      </c>
      <c r="P189" s="657">
        <f>'WK3 - Notional GI Yr1 YIELD'!$E128</f>
        <v>0</v>
      </c>
      <c r="Q189" s="3"/>
      <c r="R189" s="212"/>
      <c r="S189" s="699" t="str">
        <f t="shared" si="115"/>
        <v>.</v>
      </c>
      <c r="T189" s="700" t="str">
        <f t="shared" si="98"/>
        <v>.</v>
      </c>
      <c r="U189" s="700" t="str">
        <f t="shared" si="99"/>
        <v>.</v>
      </c>
      <c r="V189" s="700" t="str">
        <f t="shared" si="100"/>
        <v>.</v>
      </c>
      <c r="W189" s="700" t="str">
        <f t="shared" si="101"/>
        <v>.</v>
      </c>
      <c r="X189" s="700" t="str">
        <f t="shared" si="102"/>
        <v>.</v>
      </c>
      <c r="Y189" s="701" t="str">
        <f t="shared" si="103"/>
        <v>.</v>
      </c>
      <c r="Z189" s="3"/>
      <c r="AA189" s="985" t="str">
        <f t="shared" si="120"/>
        <v>.</v>
      </c>
      <c r="AB189" s="702" t="str">
        <f t="shared" si="121"/>
        <v>.</v>
      </c>
      <c r="AC189" s="702" t="str">
        <f t="shared" si="122"/>
        <v>.</v>
      </c>
      <c r="AD189" s="702" t="str">
        <f t="shared" si="123"/>
        <v>.</v>
      </c>
      <c r="AE189" s="702" t="str">
        <f t="shared" si="124"/>
        <v>.</v>
      </c>
      <c r="AF189" s="702" t="str">
        <f t="shared" si="125"/>
        <v>.</v>
      </c>
      <c r="AG189" s="986" t="str">
        <f t="shared" si="108"/>
        <v>.</v>
      </c>
      <c r="AH189" s="3"/>
      <c r="AI189" s="699" t="str">
        <f>IF(S189=".",".",SUM($S189:S189))</f>
        <v>.</v>
      </c>
      <c r="AJ189" s="700" t="str">
        <f>IF(T189=".",".",SUM($S189:T189))</f>
        <v>.</v>
      </c>
      <c r="AK189" s="700" t="str">
        <f>IF(U189=".",".",SUM($S189:U189))</f>
        <v>.</v>
      </c>
      <c r="AL189" s="700" t="str">
        <f>IF(V189=".",".",SUM($S189:V189))</f>
        <v>.</v>
      </c>
      <c r="AM189" s="700" t="str">
        <f>IF(W189=".",".",SUM($S189:W189))</f>
        <v>.</v>
      </c>
      <c r="AN189" s="700" t="str">
        <f>IF(X189=".",".",SUM($S189:X189))</f>
        <v>.</v>
      </c>
      <c r="AO189" s="701" t="str">
        <f>IF(Y189=".",".",SUM($S189:Y189))</f>
        <v>.</v>
      </c>
      <c r="AP189" s="3"/>
      <c r="AQ189" s="985" t="str">
        <f t="shared" si="116"/>
        <v>.</v>
      </c>
      <c r="AR189" s="702" t="str">
        <f t="shared" si="109"/>
        <v>.</v>
      </c>
      <c r="AS189" s="702" t="str">
        <f t="shared" si="110"/>
        <v>.</v>
      </c>
      <c r="AT189" s="702" t="str">
        <f t="shared" si="111"/>
        <v>.</v>
      </c>
      <c r="AU189" s="702" t="str">
        <f t="shared" si="112"/>
        <v>.</v>
      </c>
      <c r="AV189" s="702" t="str">
        <f t="shared" si="113"/>
        <v>.</v>
      </c>
      <c r="AW189" s="986" t="str">
        <f t="shared" si="114"/>
        <v>.</v>
      </c>
      <c r="AX189" s="214"/>
      <c r="AY189" s="3"/>
      <c r="AZ189" s="3"/>
      <c r="BA189" s="3"/>
      <c r="BB189" s="3"/>
    </row>
    <row r="190" spans="1:54" ht="12" x14ac:dyDescent="0.25">
      <c r="A190" s="3"/>
      <c r="B190" s="212"/>
      <c r="C190" s="278" t="s">
        <v>819</v>
      </c>
      <c r="D190" s="279" t="str">
        <f>IF('WK2 - Notional General Income'!D129="","",'WK2 - Notional General Income'!D129)</f>
        <v/>
      </c>
      <c r="E190" s="557" t="str">
        <f>IF('WK2 - Notional General Income'!M129=".",".",'WK2 - Notional General Income'!M129/'WK2 - Notional General Income'!E129)</f>
        <v>.</v>
      </c>
      <c r="F190" s="557" t="str">
        <f>IF('WK3 - Notional GI Yr1 YIELD'!M129=".",".",'WK3 - Notional GI Yr1 YIELD'!M129/'WK3 - Notional GI Yr1 YIELD'!E129)</f>
        <v>.</v>
      </c>
      <c r="G190" s="578"/>
      <c r="H190" s="578"/>
      <c r="I190" s="578"/>
      <c r="J190" s="578"/>
      <c r="K190" s="578"/>
      <c r="L190" s="578"/>
      <c r="M190" s="220"/>
      <c r="N190" s="3"/>
      <c r="O190" s="655">
        <f>'WK2 - Notional General Income'!$E129</f>
        <v>0</v>
      </c>
      <c r="P190" s="657">
        <f>'WK3 - Notional GI Yr1 YIELD'!$E129</f>
        <v>0</v>
      </c>
      <c r="Q190" s="3"/>
      <c r="R190" s="212"/>
      <c r="S190" s="699" t="str">
        <f t="shared" si="115"/>
        <v>.</v>
      </c>
      <c r="T190" s="700" t="str">
        <f t="shared" si="98"/>
        <v>.</v>
      </c>
      <c r="U190" s="700" t="str">
        <f t="shared" si="99"/>
        <v>.</v>
      </c>
      <c r="V190" s="700" t="str">
        <f t="shared" si="100"/>
        <v>.</v>
      </c>
      <c r="W190" s="700" t="str">
        <f t="shared" si="101"/>
        <v>.</v>
      </c>
      <c r="X190" s="700" t="str">
        <f t="shared" si="102"/>
        <v>.</v>
      </c>
      <c r="Y190" s="701" t="str">
        <f t="shared" si="103"/>
        <v>.</v>
      </c>
      <c r="Z190" s="3"/>
      <c r="AA190" s="985" t="str">
        <f t="shared" si="120"/>
        <v>.</v>
      </c>
      <c r="AB190" s="702" t="str">
        <f t="shared" si="121"/>
        <v>.</v>
      </c>
      <c r="AC190" s="702" t="str">
        <f t="shared" si="122"/>
        <v>.</v>
      </c>
      <c r="AD190" s="702" t="str">
        <f t="shared" si="123"/>
        <v>.</v>
      </c>
      <c r="AE190" s="702" t="str">
        <f t="shared" si="124"/>
        <v>.</v>
      </c>
      <c r="AF190" s="702" t="str">
        <f t="shared" si="125"/>
        <v>.</v>
      </c>
      <c r="AG190" s="986" t="str">
        <f t="shared" si="108"/>
        <v>.</v>
      </c>
      <c r="AH190" s="3"/>
      <c r="AI190" s="699" t="str">
        <f>IF(S190=".",".",SUM($S190:S190))</f>
        <v>.</v>
      </c>
      <c r="AJ190" s="700" t="str">
        <f>IF(T190=".",".",SUM($S190:T190))</f>
        <v>.</v>
      </c>
      <c r="AK190" s="700" t="str">
        <f>IF(U190=".",".",SUM($S190:U190))</f>
        <v>.</v>
      </c>
      <c r="AL190" s="700" t="str">
        <f>IF(V190=".",".",SUM($S190:V190))</f>
        <v>.</v>
      </c>
      <c r="AM190" s="700" t="str">
        <f>IF(W190=".",".",SUM($S190:W190))</f>
        <v>.</v>
      </c>
      <c r="AN190" s="700" t="str">
        <f>IF(X190=".",".",SUM($S190:X190))</f>
        <v>.</v>
      </c>
      <c r="AO190" s="701" t="str">
        <f>IF(Y190=".",".",SUM($S190:Y190))</f>
        <v>.</v>
      </c>
      <c r="AP190" s="3"/>
      <c r="AQ190" s="985" t="str">
        <f t="shared" si="116"/>
        <v>.</v>
      </c>
      <c r="AR190" s="702" t="str">
        <f t="shared" si="109"/>
        <v>.</v>
      </c>
      <c r="AS190" s="702" t="str">
        <f t="shared" si="110"/>
        <v>.</v>
      </c>
      <c r="AT190" s="702" t="str">
        <f t="shared" si="111"/>
        <v>.</v>
      </c>
      <c r="AU190" s="702" t="str">
        <f t="shared" si="112"/>
        <v>.</v>
      </c>
      <c r="AV190" s="702" t="str">
        <f t="shared" si="113"/>
        <v>.</v>
      </c>
      <c r="AW190" s="986" t="str">
        <f t="shared" si="114"/>
        <v>.</v>
      </c>
      <c r="AX190" s="214"/>
      <c r="AY190" s="3"/>
      <c r="AZ190" s="3"/>
      <c r="BA190" s="3"/>
      <c r="BB190" s="3"/>
    </row>
    <row r="191" spans="1:54" ht="12" x14ac:dyDescent="0.25">
      <c r="A191" s="3"/>
      <c r="B191" s="212"/>
      <c r="C191" s="278" t="s">
        <v>819</v>
      </c>
      <c r="D191" s="279" t="str">
        <f>IF('WK2 - Notional General Income'!D130="","",'WK2 - Notional General Income'!D130)</f>
        <v/>
      </c>
      <c r="E191" s="557" t="str">
        <f>IF('WK2 - Notional General Income'!M130=".",".",'WK2 - Notional General Income'!M130/'WK2 - Notional General Income'!E130)</f>
        <v>.</v>
      </c>
      <c r="F191" s="557" t="str">
        <f>IF('WK3 - Notional GI Yr1 YIELD'!M130=".",".",'WK3 - Notional GI Yr1 YIELD'!M130/'WK3 - Notional GI Yr1 YIELD'!E130)</f>
        <v>.</v>
      </c>
      <c r="G191" s="578"/>
      <c r="H191" s="578"/>
      <c r="I191" s="578"/>
      <c r="J191" s="578"/>
      <c r="K191" s="578"/>
      <c r="L191" s="578"/>
      <c r="M191" s="220"/>
      <c r="N191" s="3"/>
      <c r="O191" s="655">
        <f>'WK2 - Notional General Income'!$E130</f>
        <v>0</v>
      </c>
      <c r="P191" s="657">
        <f>'WK3 - Notional GI Yr1 YIELD'!$E130</f>
        <v>0</v>
      </c>
      <c r="Q191" s="3"/>
      <c r="R191" s="212"/>
      <c r="S191" s="699" t="str">
        <f t="shared" si="115"/>
        <v>.</v>
      </c>
      <c r="T191" s="700" t="str">
        <f t="shared" si="98"/>
        <v>.</v>
      </c>
      <c r="U191" s="700" t="str">
        <f t="shared" si="99"/>
        <v>.</v>
      </c>
      <c r="V191" s="700" t="str">
        <f t="shared" si="100"/>
        <v>.</v>
      </c>
      <c r="W191" s="700" t="str">
        <f t="shared" si="101"/>
        <v>.</v>
      </c>
      <c r="X191" s="700" t="str">
        <f t="shared" si="102"/>
        <v>.</v>
      </c>
      <c r="Y191" s="701" t="str">
        <f t="shared" si="103"/>
        <v>.</v>
      </c>
      <c r="Z191" s="3"/>
      <c r="AA191" s="985" t="str">
        <f t="shared" si="120"/>
        <v>.</v>
      </c>
      <c r="AB191" s="702" t="str">
        <f t="shared" si="121"/>
        <v>.</v>
      </c>
      <c r="AC191" s="702" t="str">
        <f t="shared" si="122"/>
        <v>.</v>
      </c>
      <c r="AD191" s="702" t="str">
        <f t="shared" si="123"/>
        <v>.</v>
      </c>
      <c r="AE191" s="702" t="str">
        <f t="shared" si="124"/>
        <v>.</v>
      </c>
      <c r="AF191" s="702" t="str">
        <f t="shared" si="125"/>
        <v>.</v>
      </c>
      <c r="AG191" s="986" t="str">
        <f t="shared" si="108"/>
        <v>.</v>
      </c>
      <c r="AH191" s="3"/>
      <c r="AI191" s="699" t="str">
        <f>IF(S191=".",".",SUM($S191:S191))</f>
        <v>.</v>
      </c>
      <c r="AJ191" s="700" t="str">
        <f>IF(T191=".",".",SUM($S191:T191))</f>
        <v>.</v>
      </c>
      <c r="AK191" s="700" t="str">
        <f>IF(U191=".",".",SUM($S191:U191))</f>
        <v>.</v>
      </c>
      <c r="AL191" s="700" t="str">
        <f>IF(V191=".",".",SUM($S191:V191))</f>
        <v>.</v>
      </c>
      <c r="AM191" s="700" t="str">
        <f>IF(W191=".",".",SUM($S191:W191))</f>
        <v>.</v>
      </c>
      <c r="AN191" s="700" t="str">
        <f>IF(X191=".",".",SUM($S191:X191))</f>
        <v>.</v>
      </c>
      <c r="AO191" s="701" t="str">
        <f>IF(Y191=".",".",SUM($S191:Y191))</f>
        <v>.</v>
      </c>
      <c r="AP191" s="3"/>
      <c r="AQ191" s="985" t="str">
        <f t="shared" si="116"/>
        <v>.</v>
      </c>
      <c r="AR191" s="702" t="str">
        <f t="shared" si="109"/>
        <v>.</v>
      </c>
      <c r="AS191" s="702" t="str">
        <f t="shared" si="110"/>
        <v>.</v>
      </c>
      <c r="AT191" s="702" t="str">
        <f t="shared" si="111"/>
        <v>.</v>
      </c>
      <c r="AU191" s="702" t="str">
        <f t="shared" si="112"/>
        <v>.</v>
      </c>
      <c r="AV191" s="702" t="str">
        <f t="shared" si="113"/>
        <v>.</v>
      </c>
      <c r="AW191" s="986" t="str">
        <f t="shared" si="114"/>
        <v>.</v>
      </c>
      <c r="AX191" s="214"/>
      <c r="AY191" s="3"/>
      <c r="AZ191" s="3"/>
      <c r="BA191" s="3"/>
      <c r="BB191" s="3"/>
    </row>
    <row r="192" spans="1:54" ht="12" x14ac:dyDescent="0.25">
      <c r="A192" s="3"/>
      <c r="B192" s="212"/>
      <c r="C192" s="278" t="s">
        <v>819</v>
      </c>
      <c r="D192" s="279" t="str">
        <f>IF('WK2 - Notional General Income'!D131="","",'WK2 - Notional General Income'!D131)</f>
        <v/>
      </c>
      <c r="E192" s="557" t="str">
        <f>IF('WK2 - Notional General Income'!M131=".",".",'WK2 - Notional General Income'!M131/'WK2 - Notional General Income'!E131)</f>
        <v>.</v>
      </c>
      <c r="F192" s="557" t="str">
        <f>IF('WK3 - Notional GI Yr1 YIELD'!M131=".",".",'WK3 - Notional GI Yr1 YIELD'!M131/'WK3 - Notional GI Yr1 YIELD'!E131)</f>
        <v>.</v>
      </c>
      <c r="G192" s="578"/>
      <c r="H192" s="578"/>
      <c r="I192" s="578"/>
      <c r="J192" s="578"/>
      <c r="K192" s="578"/>
      <c r="L192" s="578"/>
      <c r="M192" s="220"/>
      <c r="N192" s="3"/>
      <c r="O192" s="655">
        <f>'WK2 - Notional General Income'!$E131</f>
        <v>0</v>
      </c>
      <c r="P192" s="657">
        <f>'WK3 - Notional GI Yr1 YIELD'!$E131</f>
        <v>0</v>
      </c>
      <c r="Q192" s="3"/>
      <c r="R192" s="212"/>
      <c r="S192" s="699" t="str">
        <f t="shared" si="115"/>
        <v>.</v>
      </c>
      <c r="T192" s="700" t="str">
        <f t="shared" si="98"/>
        <v>.</v>
      </c>
      <c r="U192" s="700" t="str">
        <f t="shared" si="99"/>
        <v>.</v>
      </c>
      <c r="V192" s="700" t="str">
        <f t="shared" si="100"/>
        <v>.</v>
      </c>
      <c r="W192" s="700" t="str">
        <f t="shared" si="101"/>
        <v>.</v>
      </c>
      <c r="X192" s="700" t="str">
        <f t="shared" si="102"/>
        <v>.</v>
      </c>
      <c r="Y192" s="701" t="str">
        <f t="shared" si="103"/>
        <v>.</v>
      </c>
      <c r="Z192" s="3"/>
      <c r="AA192" s="985" t="str">
        <f t="shared" si="120"/>
        <v>.</v>
      </c>
      <c r="AB192" s="702" t="str">
        <f t="shared" si="121"/>
        <v>.</v>
      </c>
      <c r="AC192" s="702" t="str">
        <f t="shared" si="122"/>
        <v>.</v>
      </c>
      <c r="AD192" s="702" t="str">
        <f t="shared" si="123"/>
        <v>.</v>
      </c>
      <c r="AE192" s="702" t="str">
        <f t="shared" si="124"/>
        <v>.</v>
      </c>
      <c r="AF192" s="702" t="str">
        <f t="shared" si="125"/>
        <v>.</v>
      </c>
      <c r="AG192" s="986" t="str">
        <f t="shared" si="108"/>
        <v>.</v>
      </c>
      <c r="AH192" s="3"/>
      <c r="AI192" s="699" t="str">
        <f>IF(S192=".",".",SUM($S192:S192))</f>
        <v>.</v>
      </c>
      <c r="AJ192" s="700" t="str">
        <f>IF(T192=".",".",SUM($S192:T192))</f>
        <v>.</v>
      </c>
      <c r="AK192" s="700" t="str">
        <f>IF(U192=".",".",SUM($S192:U192))</f>
        <v>.</v>
      </c>
      <c r="AL192" s="700" t="str">
        <f>IF(V192=".",".",SUM($S192:V192))</f>
        <v>.</v>
      </c>
      <c r="AM192" s="700" t="str">
        <f>IF(W192=".",".",SUM($S192:W192))</f>
        <v>.</v>
      </c>
      <c r="AN192" s="700" t="str">
        <f>IF(X192=".",".",SUM($S192:X192))</f>
        <v>.</v>
      </c>
      <c r="AO192" s="701" t="str">
        <f>IF(Y192=".",".",SUM($S192:Y192))</f>
        <v>.</v>
      </c>
      <c r="AP192" s="3"/>
      <c r="AQ192" s="985" t="str">
        <f t="shared" si="116"/>
        <v>.</v>
      </c>
      <c r="AR192" s="702" t="str">
        <f t="shared" si="109"/>
        <v>.</v>
      </c>
      <c r="AS192" s="702" t="str">
        <f t="shared" si="110"/>
        <v>.</v>
      </c>
      <c r="AT192" s="702" t="str">
        <f t="shared" si="111"/>
        <v>.</v>
      </c>
      <c r="AU192" s="702" t="str">
        <f t="shared" si="112"/>
        <v>.</v>
      </c>
      <c r="AV192" s="702" t="str">
        <f t="shared" si="113"/>
        <v>.</v>
      </c>
      <c r="AW192" s="986" t="str">
        <f t="shared" si="114"/>
        <v>.</v>
      </c>
      <c r="AX192" s="214"/>
      <c r="AY192" s="3"/>
      <c r="AZ192" s="3"/>
      <c r="BA192" s="3"/>
      <c r="BB192" s="3"/>
    </row>
    <row r="193" spans="1:54" ht="12" x14ac:dyDescent="0.25">
      <c r="A193" s="3"/>
      <c r="B193" s="212"/>
      <c r="C193" s="278" t="s">
        <v>819</v>
      </c>
      <c r="D193" s="279" t="str">
        <f>IF('WK2 - Notional General Income'!D132="","",'WK2 - Notional General Income'!D132)</f>
        <v/>
      </c>
      <c r="E193" s="557" t="str">
        <f>IF('WK2 - Notional General Income'!M132=".",".",'WK2 - Notional General Income'!M132/'WK2 - Notional General Income'!E132)</f>
        <v>.</v>
      </c>
      <c r="F193" s="557" t="str">
        <f>IF('WK3 - Notional GI Yr1 YIELD'!M132=".",".",'WK3 - Notional GI Yr1 YIELD'!M132/'WK3 - Notional GI Yr1 YIELD'!E132)</f>
        <v>.</v>
      </c>
      <c r="G193" s="578"/>
      <c r="H193" s="578"/>
      <c r="I193" s="578"/>
      <c r="J193" s="578"/>
      <c r="K193" s="578"/>
      <c r="L193" s="578"/>
      <c r="M193" s="220"/>
      <c r="N193" s="3"/>
      <c r="O193" s="655">
        <f>'WK2 - Notional General Income'!$E132</f>
        <v>0</v>
      </c>
      <c r="P193" s="657">
        <f>'WK3 - Notional GI Yr1 YIELD'!$E132</f>
        <v>0</v>
      </c>
      <c r="Q193" s="3"/>
      <c r="R193" s="212"/>
      <c r="S193" s="699" t="str">
        <f t="shared" si="115"/>
        <v>.</v>
      </c>
      <c r="T193" s="700" t="str">
        <f t="shared" si="98"/>
        <v>.</v>
      </c>
      <c r="U193" s="700" t="str">
        <f t="shared" si="99"/>
        <v>.</v>
      </c>
      <c r="V193" s="700" t="str">
        <f t="shared" si="100"/>
        <v>.</v>
      </c>
      <c r="W193" s="700" t="str">
        <f t="shared" si="101"/>
        <v>.</v>
      </c>
      <c r="X193" s="700" t="str">
        <f t="shared" si="102"/>
        <v>.</v>
      </c>
      <c r="Y193" s="701" t="str">
        <f t="shared" si="103"/>
        <v>.</v>
      </c>
      <c r="Z193" s="3"/>
      <c r="AA193" s="985" t="str">
        <f t="shared" si="120"/>
        <v>.</v>
      </c>
      <c r="AB193" s="702" t="str">
        <f t="shared" si="121"/>
        <v>.</v>
      </c>
      <c r="AC193" s="702" t="str">
        <f t="shared" si="122"/>
        <v>.</v>
      </c>
      <c r="AD193" s="702" t="str">
        <f t="shared" si="123"/>
        <v>.</v>
      </c>
      <c r="AE193" s="702" t="str">
        <f t="shared" si="124"/>
        <v>.</v>
      </c>
      <c r="AF193" s="702" t="str">
        <f t="shared" si="125"/>
        <v>.</v>
      </c>
      <c r="AG193" s="986" t="str">
        <f t="shared" si="108"/>
        <v>.</v>
      </c>
      <c r="AH193" s="3"/>
      <c r="AI193" s="699" t="str">
        <f>IF(S193=".",".",SUM($S193:S193))</f>
        <v>.</v>
      </c>
      <c r="AJ193" s="700" t="str">
        <f>IF(T193=".",".",SUM($S193:T193))</f>
        <v>.</v>
      </c>
      <c r="AK193" s="700" t="str">
        <f>IF(U193=".",".",SUM($S193:U193))</f>
        <v>.</v>
      </c>
      <c r="AL193" s="700" t="str">
        <f>IF(V193=".",".",SUM($S193:V193))</f>
        <v>.</v>
      </c>
      <c r="AM193" s="700" t="str">
        <f>IF(W193=".",".",SUM($S193:W193))</f>
        <v>.</v>
      </c>
      <c r="AN193" s="700" t="str">
        <f>IF(X193=".",".",SUM($S193:X193))</f>
        <v>.</v>
      </c>
      <c r="AO193" s="701" t="str">
        <f>IF(Y193=".",".",SUM($S193:Y193))</f>
        <v>.</v>
      </c>
      <c r="AP193" s="3"/>
      <c r="AQ193" s="985" t="str">
        <f t="shared" si="116"/>
        <v>.</v>
      </c>
      <c r="AR193" s="702" t="str">
        <f t="shared" si="109"/>
        <v>.</v>
      </c>
      <c r="AS193" s="702" t="str">
        <f t="shared" si="110"/>
        <v>.</v>
      </c>
      <c r="AT193" s="702" t="str">
        <f t="shared" si="111"/>
        <v>.</v>
      </c>
      <c r="AU193" s="702" t="str">
        <f t="shared" si="112"/>
        <v>.</v>
      </c>
      <c r="AV193" s="702" t="str">
        <f t="shared" si="113"/>
        <v>.</v>
      </c>
      <c r="AW193" s="986" t="str">
        <f t="shared" si="114"/>
        <v>.</v>
      </c>
      <c r="AX193" s="214"/>
      <c r="AY193" s="3"/>
      <c r="AZ193" s="3"/>
      <c r="BA193" s="3"/>
      <c r="BB193" s="3"/>
    </row>
    <row r="194" spans="1:54" ht="12" x14ac:dyDescent="0.25">
      <c r="A194" s="3"/>
      <c r="B194" s="212"/>
      <c r="C194" s="139" t="s">
        <v>819</v>
      </c>
      <c r="D194" s="141" t="str">
        <f>IF('WK2 - Notional General Income'!D133="","",'WK2 - Notional General Income'!D133)</f>
        <v/>
      </c>
      <c r="E194" s="558" t="str">
        <f>IF('WK2 - Notional General Income'!M133=".",".",'WK2 - Notional General Income'!M133/'WK2 - Notional General Income'!E133)</f>
        <v>.</v>
      </c>
      <c r="F194" s="558" t="str">
        <f>IF('WK3 - Notional GI Yr1 YIELD'!M133=".",".",'WK3 - Notional GI Yr1 YIELD'!M133/'WK3 - Notional GI Yr1 YIELD'!E133)</f>
        <v>.</v>
      </c>
      <c r="G194" s="163"/>
      <c r="H194" s="163"/>
      <c r="I194" s="163"/>
      <c r="J194" s="163"/>
      <c r="K194" s="163"/>
      <c r="L194" s="163"/>
      <c r="M194" s="220"/>
      <c r="N194" s="3"/>
      <c r="O194" s="655">
        <f>'WK2 - Notional General Income'!$E133</f>
        <v>0</v>
      </c>
      <c r="P194" s="657">
        <f>'WK3 - Notional GI Yr1 YIELD'!$E133</f>
        <v>0</v>
      </c>
      <c r="Q194" s="3"/>
      <c r="R194" s="212"/>
      <c r="S194" s="699" t="str">
        <f t="shared" si="115"/>
        <v>.</v>
      </c>
      <c r="T194" s="700" t="str">
        <f t="shared" si="98"/>
        <v>.</v>
      </c>
      <c r="U194" s="700" t="str">
        <f t="shared" ref="U194:U215" si="127">IF(H194="",".",H194-G194)</f>
        <v>.</v>
      </c>
      <c r="V194" s="700" t="str">
        <f t="shared" ref="V194:V215" si="128">IF(I194="",".",I194-H194)</f>
        <v>.</v>
      </c>
      <c r="W194" s="700" t="str">
        <f t="shared" ref="W194:W215" si="129">IF(J194="",".",J194-I194)</f>
        <v>.</v>
      </c>
      <c r="X194" s="700" t="str">
        <f t="shared" ref="X194:X215" si="130">IF(K194="",".",K194-J194)</f>
        <v>.</v>
      </c>
      <c r="Y194" s="701" t="str">
        <f t="shared" ref="Y194:Y215" si="131">IF(L194="",".",L194-K194)</f>
        <v>.</v>
      </c>
      <c r="Z194" s="3"/>
      <c r="AA194" s="985" t="str">
        <f t="shared" si="120"/>
        <v>.</v>
      </c>
      <c r="AB194" s="702" t="str">
        <f t="shared" si="121"/>
        <v>.</v>
      </c>
      <c r="AC194" s="702" t="str">
        <f t="shared" si="122"/>
        <v>.</v>
      </c>
      <c r="AD194" s="702" t="str">
        <f t="shared" si="123"/>
        <v>.</v>
      </c>
      <c r="AE194" s="702" t="str">
        <f t="shared" si="124"/>
        <v>.</v>
      </c>
      <c r="AF194" s="702" t="str">
        <f t="shared" si="125"/>
        <v>.</v>
      </c>
      <c r="AG194" s="986" t="str">
        <f t="shared" si="108"/>
        <v>.</v>
      </c>
      <c r="AH194" s="3"/>
      <c r="AI194" s="699" t="str">
        <f>IF(S194=".",".",SUM($S194:S194))</f>
        <v>.</v>
      </c>
      <c r="AJ194" s="700" t="str">
        <f>IF(T194=".",".",SUM($S194:T194))</f>
        <v>.</v>
      </c>
      <c r="AK194" s="700" t="str">
        <f>IF(U194=".",".",SUM($S194:U194))</f>
        <v>.</v>
      </c>
      <c r="AL194" s="700" t="str">
        <f>IF(V194=".",".",SUM($S194:V194))</f>
        <v>.</v>
      </c>
      <c r="AM194" s="700" t="str">
        <f>IF(W194=".",".",SUM($S194:W194))</f>
        <v>.</v>
      </c>
      <c r="AN194" s="700" t="str">
        <f>IF(X194=".",".",SUM($S194:X194))</f>
        <v>.</v>
      </c>
      <c r="AO194" s="701" t="str">
        <f>IF(Y194=".",".",SUM($S194:Y194))</f>
        <v>.</v>
      </c>
      <c r="AP194" s="3"/>
      <c r="AQ194" s="985" t="str">
        <f t="shared" si="116"/>
        <v>.</v>
      </c>
      <c r="AR194" s="702" t="str">
        <f t="shared" si="109"/>
        <v>.</v>
      </c>
      <c r="AS194" s="702" t="str">
        <f t="shared" si="110"/>
        <v>.</v>
      </c>
      <c r="AT194" s="702" t="str">
        <f t="shared" si="111"/>
        <v>.</v>
      </c>
      <c r="AU194" s="702" t="str">
        <f t="shared" si="112"/>
        <v>.</v>
      </c>
      <c r="AV194" s="702" t="str">
        <f t="shared" si="113"/>
        <v>.</v>
      </c>
      <c r="AW194" s="986" t="str">
        <f t="shared" si="114"/>
        <v>.</v>
      </c>
      <c r="AX194" s="214"/>
      <c r="AY194" s="3"/>
      <c r="AZ194" s="3"/>
      <c r="BA194" s="3"/>
      <c r="BB194" s="3"/>
    </row>
    <row r="195" spans="1:54" s="26" customFormat="1" ht="12" x14ac:dyDescent="0.25">
      <c r="A195" s="3"/>
      <c r="B195" s="212"/>
      <c r="C195" s="148"/>
      <c r="D195" s="148" t="s">
        <v>820</v>
      </c>
      <c r="E195" s="559">
        <f>IF($O195=0,".",SUMPRODUCT(E175:E194,$O175:$O194)/$O195)</f>
        <v>2133.7065429712461</v>
      </c>
      <c r="F195" s="251">
        <f t="shared" ref="F195:L195" si="132">IF($P195=0,".",SUMPRODUCT(F175:F194,$P175:$P194)/$P195)</f>
        <v>2315.0050936102239</v>
      </c>
      <c r="G195" s="140">
        <f t="shared" si="132"/>
        <v>2488.6404756309907</v>
      </c>
      <c r="H195" s="140">
        <f t="shared" si="132"/>
        <v>2650.3921065470049</v>
      </c>
      <c r="I195" s="140">
        <f t="shared" si="132"/>
        <v>2796.16367240709</v>
      </c>
      <c r="J195" s="140">
        <f t="shared" si="132"/>
        <v>2866.0677642172673</v>
      </c>
      <c r="K195" s="140">
        <f t="shared" si="132"/>
        <v>2937.7194583226983</v>
      </c>
      <c r="L195" s="140">
        <f t="shared" si="132"/>
        <v>3011.1624447807653</v>
      </c>
      <c r="M195" s="220"/>
      <c r="N195" s="2"/>
      <c r="O195" s="713">
        <f>SUM(O175:O184)</f>
        <v>313</v>
      </c>
      <c r="P195" s="714">
        <f>SUM(P175:P184)</f>
        <v>313</v>
      </c>
      <c r="Q195" s="2"/>
      <c r="R195" s="221"/>
      <c r="S195" s="706">
        <f t="shared" si="115"/>
        <v>181.29855063897776</v>
      </c>
      <c r="T195" s="707">
        <f t="shared" si="98"/>
        <v>173.63538202076688</v>
      </c>
      <c r="U195" s="707">
        <f t="shared" ref="U195:Y195" si="133">IF(H195=".",".",H195-G195)</f>
        <v>161.75163091601416</v>
      </c>
      <c r="V195" s="707">
        <f t="shared" si="133"/>
        <v>145.77156586008505</v>
      </c>
      <c r="W195" s="707">
        <f t="shared" si="133"/>
        <v>69.904091810177306</v>
      </c>
      <c r="X195" s="707">
        <f t="shared" si="133"/>
        <v>71.651694105431034</v>
      </c>
      <c r="Y195" s="708">
        <f t="shared" si="133"/>
        <v>73.442986458067026</v>
      </c>
      <c r="Z195" s="2"/>
      <c r="AA195" s="990">
        <f t="shared" si="120"/>
        <v>8.4968830993279232E-2</v>
      </c>
      <c r="AB195" s="991">
        <f t="shared" si="121"/>
        <v>7.5004319644923267E-2</v>
      </c>
      <c r="AC195" s="991">
        <f t="shared" si="122"/>
        <v>6.4995981741799103E-2</v>
      </c>
      <c r="AD195" s="991">
        <f t="shared" si="123"/>
        <v>5.4999999999999938E-2</v>
      </c>
      <c r="AE195" s="991">
        <f t="shared" si="124"/>
        <v>2.4999999999999911E-2</v>
      </c>
      <c r="AF195" s="991">
        <f t="shared" si="125"/>
        <v>2.4999999999999689E-2</v>
      </c>
      <c r="AG195" s="992">
        <f t="shared" si="108"/>
        <v>2.4999999999999911E-2</v>
      </c>
      <c r="AH195" s="2"/>
      <c r="AI195" s="706">
        <f>IF(S195=".",".",SUM($S195:S195))</f>
        <v>181.29855063897776</v>
      </c>
      <c r="AJ195" s="707">
        <f>IF(T195=".",".",SUM($S195:T195))</f>
        <v>354.93393265974464</v>
      </c>
      <c r="AK195" s="707">
        <f>IF(U195=".",".",SUM($S195:U195))</f>
        <v>516.68556357575881</v>
      </c>
      <c r="AL195" s="707">
        <f>IF(V195=".",".",SUM($S195:V195))</f>
        <v>662.45712943584385</v>
      </c>
      <c r="AM195" s="707">
        <f>IF(W195=".",".",SUM($S195:W195))</f>
        <v>732.36122124602116</v>
      </c>
      <c r="AN195" s="707">
        <f>IF(X195=".",".",SUM($S195:X195))</f>
        <v>804.01291535145219</v>
      </c>
      <c r="AO195" s="708">
        <f>IF(Y195=".",".",SUM($S195:Y195))</f>
        <v>877.45590180951922</v>
      </c>
      <c r="AP195" s="3"/>
      <c r="AQ195" s="990">
        <f t="shared" si="116"/>
        <v>8.4968830993279232E-2</v>
      </c>
      <c r="AR195" s="991">
        <f t="shared" si="109"/>
        <v>0.16634617999787782</v>
      </c>
      <c r="AS195" s="991">
        <f t="shared" si="110"/>
        <v>0.24215399501763701</v>
      </c>
      <c r="AT195" s="991">
        <f t="shared" si="111"/>
        <v>0.31047246474360701</v>
      </c>
      <c r="AU195" s="991">
        <f t="shared" si="112"/>
        <v>0.34323427636219717</v>
      </c>
      <c r="AV195" s="991">
        <f t="shared" si="113"/>
        <v>0.37681513327125193</v>
      </c>
      <c r="AW195" s="992">
        <f t="shared" si="114"/>
        <v>0.41123551160303307</v>
      </c>
      <c r="AX195" s="229"/>
      <c r="AY195" s="2"/>
      <c r="AZ195" s="2"/>
      <c r="BA195" s="2"/>
      <c r="BB195" s="2"/>
    </row>
    <row r="196" spans="1:54" ht="12" x14ac:dyDescent="0.25">
      <c r="A196" s="3"/>
      <c r="B196" s="212"/>
      <c r="C196" s="1197" t="s">
        <v>724</v>
      </c>
      <c r="D196" s="1242" t="str">
        <f>IF('WK2 - Notional General Income'!D77="","",'WK2 - Notional General Income'!D77)</f>
        <v/>
      </c>
      <c r="E196" s="1243" t="str">
        <f>IF('WK2 - Notional General Income'!M77=".",".",'WK2 - Notional General Income'!M77/'WK2 - Notional General Income'!E77)</f>
        <v>.</v>
      </c>
      <c r="F196" s="1243" t="str">
        <f>IF('WK3 - Notional GI Yr1 YIELD'!M77=".",".",'WK3 - Notional GI Yr1 YIELD'!M77/'WK3 - Notional GI Yr1 YIELD'!E77)</f>
        <v>.</v>
      </c>
      <c r="G196" s="1214"/>
      <c r="H196" s="1214"/>
      <c r="I196" s="1214"/>
      <c r="J196" s="1214"/>
      <c r="K196" s="1214"/>
      <c r="L196" s="1214"/>
      <c r="M196" s="220"/>
      <c r="N196" s="3"/>
      <c r="O196" s="1244">
        <f>'WK2 - Notional General Income'!$E77</f>
        <v>0</v>
      </c>
      <c r="P196" s="1176">
        <f>'WK3 - Notional GI Yr1 YIELD'!$E77</f>
        <v>0</v>
      </c>
      <c r="Q196" s="3"/>
      <c r="R196" s="212"/>
      <c r="S196" s="1239" t="str">
        <f t="shared" si="115"/>
        <v>.</v>
      </c>
      <c r="T196" s="1172" t="str">
        <f t="shared" si="98"/>
        <v>.</v>
      </c>
      <c r="U196" s="1172" t="str">
        <f t="shared" si="127"/>
        <v>.</v>
      </c>
      <c r="V196" s="1172" t="str">
        <f t="shared" si="128"/>
        <v>.</v>
      </c>
      <c r="W196" s="1172" t="str">
        <f t="shared" si="129"/>
        <v>.</v>
      </c>
      <c r="X196" s="1172" t="str">
        <f t="shared" si="130"/>
        <v>.</v>
      </c>
      <c r="Y196" s="1173" t="str">
        <f t="shared" si="131"/>
        <v>.</v>
      </c>
      <c r="Z196" s="3"/>
      <c r="AA196" s="985" t="str">
        <f t="shared" si="120"/>
        <v>.</v>
      </c>
      <c r="AB196" s="702" t="str">
        <f t="shared" si="121"/>
        <v>.</v>
      </c>
      <c r="AC196" s="702" t="str">
        <f t="shared" si="122"/>
        <v>.</v>
      </c>
      <c r="AD196" s="702" t="str">
        <f t="shared" si="123"/>
        <v>.</v>
      </c>
      <c r="AE196" s="702" t="str">
        <f t="shared" si="124"/>
        <v>.</v>
      </c>
      <c r="AF196" s="702" t="str">
        <f t="shared" si="125"/>
        <v>.</v>
      </c>
      <c r="AG196" s="986" t="str">
        <f t="shared" si="108"/>
        <v>.</v>
      </c>
      <c r="AH196" s="3"/>
      <c r="AI196" s="1239" t="str">
        <f>IF(S196=".",".",SUM($S196:S196))</f>
        <v>.</v>
      </c>
      <c r="AJ196" s="1172" t="str">
        <f>IF(T196=".",".",SUM($S196:T196))</f>
        <v>.</v>
      </c>
      <c r="AK196" s="1172" t="str">
        <f>IF(U196=".",".",SUM($S196:U196))</f>
        <v>.</v>
      </c>
      <c r="AL196" s="1172" t="str">
        <f>IF(V196=".",".",SUM($S196:V196))</f>
        <v>.</v>
      </c>
      <c r="AM196" s="1172" t="str">
        <f>IF(W196=".",".",SUM($S196:W196))</f>
        <v>.</v>
      </c>
      <c r="AN196" s="1172" t="str">
        <f>IF(X196=".",".",SUM($S196:X196))</f>
        <v>.</v>
      </c>
      <c r="AO196" s="1173" t="str">
        <f>IF(Y196=".",".",SUM($S196:Y196))</f>
        <v>.</v>
      </c>
      <c r="AP196" s="3"/>
      <c r="AQ196" s="985" t="str">
        <f t="shared" si="116"/>
        <v>.</v>
      </c>
      <c r="AR196" s="702" t="str">
        <f t="shared" si="109"/>
        <v>.</v>
      </c>
      <c r="AS196" s="702" t="str">
        <f t="shared" si="110"/>
        <v>.</v>
      </c>
      <c r="AT196" s="702" t="str">
        <f t="shared" si="111"/>
        <v>.</v>
      </c>
      <c r="AU196" s="702" t="str">
        <f t="shared" si="112"/>
        <v>.</v>
      </c>
      <c r="AV196" s="702" t="str">
        <f t="shared" si="113"/>
        <v>.</v>
      </c>
      <c r="AW196" s="986" t="str">
        <f t="shared" si="114"/>
        <v>.</v>
      </c>
      <c r="AX196" s="214"/>
      <c r="AY196" s="3"/>
      <c r="AZ196" s="3"/>
      <c r="BA196" s="3"/>
      <c r="BB196" s="3"/>
    </row>
    <row r="197" spans="1:54" ht="12" x14ac:dyDescent="0.25">
      <c r="A197" s="3"/>
      <c r="B197" s="212"/>
      <c r="C197" s="278" t="s">
        <v>724</v>
      </c>
      <c r="D197" s="279" t="str">
        <f>IF('WK2 - Notional General Income'!D78="","",'WK2 - Notional General Income'!D78)</f>
        <v/>
      </c>
      <c r="E197" s="557" t="str">
        <f>IF('WK2 - Notional General Income'!M78=".",".",'WK2 - Notional General Income'!M78/'WK2 - Notional General Income'!E78)</f>
        <v>.</v>
      </c>
      <c r="F197" s="557" t="str">
        <f>IF('WK3 - Notional GI Yr1 YIELD'!M78=".",".",'WK3 - Notional GI Yr1 YIELD'!M78/'WK3 - Notional GI Yr1 YIELD'!E78)</f>
        <v>.</v>
      </c>
      <c r="G197" s="578"/>
      <c r="H197" s="578"/>
      <c r="I197" s="578"/>
      <c r="J197" s="578"/>
      <c r="K197" s="578"/>
      <c r="L197" s="578"/>
      <c r="M197" s="220"/>
      <c r="N197" s="3"/>
      <c r="O197" s="655">
        <f>'WK2 - Notional General Income'!$E78</f>
        <v>0</v>
      </c>
      <c r="P197" s="657">
        <f>'WK3 - Notional GI Yr1 YIELD'!$E78</f>
        <v>0</v>
      </c>
      <c r="Q197" s="3"/>
      <c r="R197" s="212"/>
      <c r="S197" s="699" t="str">
        <f t="shared" si="115"/>
        <v>.</v>
      </c>
      <c r="T197" s="700" t="str">
        <f t="shared" si="98"/>
        <v>.</v>
      </c>
      <c r="U197" s="700" t="str">
        <f t="shared" si="127"/>
        <v>.</v>
      </c>
      <c r="V197" s="700" t="str">
        <f t="shared" si="128"/>
        <v>.</v>
      </c>
      <c r="W197" s="700" t="str">
        <f t="shared" si="129"/>
        <v>.</v>
      </c>
      <c r="X197" s="700" t="str">
        <f t="shared" si="130"/>
        <v>.</v>
      </c>
      <c r="Y197" s="701" t="str">
        <f t="shared" si="131"/>
        <v>.</v>
      </c>
      <c r="Z197" s="3"/>
      <c r="AA197" s="985" t="str">
        <f t="shared" si="120"/>
        <v>.</v>
      </c>
      <c r="AB197" s="702" t="str">
        <f t="shared" si="121"/>
        <v>.</v>
      </c>
      <c r="AC197" s="702" t="str">
        <f t="shared" si="122"/>
        <v>.</v>
      </c>
      <c r="AD197" s="702" t="str">
        <f t="shared" si="123"/>
        <v>.</v>
      </c>
      <c r="AE197" s="702" t="str">
        <f t="shared" si="124"/>
        <v>.</v>
      </c>
      <c r="AF197" s="702" t="str">
        <f t="shared" si="125"/>
        <v>.</v>
      </c>
      <c r="AG197" s="986" t="str">
        <f t="shared" si="108"/>
        <v>.</v>
      </c>
      <c r="AH197" s="3"/>
      <c r="AI197" s="699" t="str">
        <f>IF(S197=".",".",SUM($S197:S197))</f>
        <v>.</v>
      </c>
      <c r="AJ197" s="700" t="str">
        <f>IF(T197=".",".",SUM($S197:T197))</f>
        <v>.</v>
      </c>
      <c r="AK197" s="700" t="str">
        <f>IF(U197=".",".",SUM($S197:U197))</f>
        <v>.</v>
      </c>
      <c r="AL197" s="700" t="str">
        <f>IF(V197=".",".",SUM($S197:V197))</f>
        <v>.</v>
      </c>
      <c r="AM197" s="700" t="str">
        <f>IF(W197=".",".",SUM($S197:W197))</f>
        <v>.</v>
      </c>
      <c r="AN197" s="700" t="str">
        <f>IF(X197=".",".",SUM($S197:X197))</f>
        <v>.</v>
      </c>
      <c r="AO197" s="701" t="str">
        <f>IF(Y197=".",".",SUM($S197:Y197))</f>
        <v>.</v>
      </c>
      <c r="AP197" s="3"/>
      <c r="AQ197" s="985" t="str">
        <f t="shared" si="116"/>
        <v>.</v>
      </c>
      <c r="AR197" s="702" t="str">
        <f t="shared" si="109"/>
        <v>.</v>
      </c>
      <c r="AS197" s="702" t="str">
        <f t="shared" si="110"/>
        <v>.</v>
      </c>
      <c r="AT197" s="702" t="str">
        <f t="shared" si="111"/>
        <v>.</v>
      </c>
      <c r="AU197" s="702" t="str">
        <f t="shared" si="112"/>
        <v>.</v>
      </c>
      <c r="AV197" s="702" t="str">
        <f t="shared" si="113"/>
        <v>.</v>
      </c>
      <c r="AW197" s="986" t="str">
        <f t="shared" si="114"/>
        <v>.</v>
      </c>
      <c r="AX197" s="214"/>
      <c r="AY197" s="3"/>
      <c r="AZ197" s="3"/>
      <c r="BA197" s="3"/>
      <c r="BB197" s="3"/>
    </row>
    <row r="198" spans="1:54" ht="12" x14ac:dyDescent="0.25">
      <c r="A198" s="3"/>
      <c r="B198" s="212"/>
      <c r="C198" s="278" t="s">
        <v>724</v>
      </c>
      <c r="D198" s="279" t="str">
        <f>IF('WK2 - Notional General Income'!D79="","",'WK2 - Notional General Income'!D79)</f>
        <v/>
      </c>
      <c r="E198" s="557" t="str">
        <f>IF('WK2 - Notional General Income'!M79=".",".",'WK2 - Notional General Income'!M79/'WK2 - Notional General Income'!E79)</f>
        <v>.</v>
      </c>
      <c r="F198" s="557" t="str">
        <f>IF('WK3 - Notional GI Yr1 YIELD'!M79=".",".",'WK3 - Notional GI Yr1 YIELD'!M79/'WK3 - Notional GI Yr1 YIELD'!E79)</f>
        <v>.</v>
      </c>
      <c r="G198" s="578"/>
      <c r="H198" s="578"/>
      <c r="I198" s="578"/>
      <c r="J198" s="578"/>
      <c r="K198" s="578"/>
      <c r="L198" s="578"/>
      <c r="M198" s="220"/>
      <c r="N198" s="3"/>
      <c r="O198" s="655">
        <f>'WK2 - Notional General Income'!$E79</f>
        <v>0</v>
      </c>
      <c r="P198" s="657">
        <f>'WK3 - Notional GI Yr1 YIELD'!$E79</f>
        <v>0</v>
      </c>
      <c r="Q198" s="3"/>
      <c r="R198" s="212"/>
      <c r="S198" s="699" t="str">
        <f t="shared" si="115"/>
        <v>.</v>
      </c>
      <c r="T198" s="700" t="str">
        <f t="shared" si="98"/>
        <v>.</v>
      </c>
      <c r="U198" s="700" t="str">
        <f t="shared" si="127"/>
        <v>.</v>
      </c>
      <c r="V198" s="700" t="str">
        <f t="shared" si="128"/>
        <v>.</v>
      </c>
      <c r="W198" s="700" t="str">
        <f t="shared" si="129"/>
        <v>.</v>
      </c>
      <c r="X198" s="700" t="str">
        <f t="shared" si="130"/>
        <v>.</v>
      </c>
      <c r="Y198" s="701" t="str">
        <f t="shared" si="131"/>
        <v>.</v>
      </c>
      <c r="Z198" s="3"/>
      <c r="AA198" s="985" t="str">
        <f t="shared" si="120"/>
        <v>.</v>
      </c>
      <c r="AB198" s="702" t="str">
        <f t="shared" si="121"/>
        <v>.</v>
      </c>
      <c r="AC198" s="702" t="str">
        <f t="shared" si="122"/>
        <v>.</v>
      </c>
      <c r="AD198" s="702" t="str">
        <f t="shared" si="123"/>
        <v>.</v>
      </c>
      <c r="AE198" s="702" t="str">
        <f t="shared" si="124"/>
        <v>.</v>
      </c>
      <c r="AF198" s="702" t="str">
        <f t="shared" si="125"/>
        <v>.</v>
      </c>
      <c r="AG198" s="986" t="str">
        <f t="shared" si="108"/>
        <v>.</v>
      </c>
      <c r="AH198" s="3"/>
      <c r="AI198" s="699" t="str">
        <f>IF(S198=".",".",SUM($S198:S198))</f>
        <v>.</v>
      </c>
      <c r="AJ198" s="700" t="str">
        <f>IF(T198=".",".",SUM($S198:T198))</f>
        <v>.</v>
      </c>
      <c r="AK198" s="700" t="str">
        <f>IF(U198=".",".",SUM($S198:U198))</f>
        <v>.</v>
      </c>
      <c r="AL198" s="700" t="str">
        <f>IF(V198=".",".",SUM($S198:V198))</f>
        <v>.</v>
      </c>
      <c r="AM198" s="700" t="str">
        <f>IF(W198=".",".",SUM($S198:W198))</f>
        <v>.</v>
      </c>
      <c r="AN198" s="700" t="str">
        <f>IF(X198=".",".",SUM($S198:X198))</f>
        <v>.</v>
      </c>
      <c r="AO198" s="701" t="str">
        <f>IF(Y198=".",".",SUM($S198:Y198))</f>
        <v>.</v>
      </c>
      <c r="AP198" s="3"/>
      <c r="AQ198" s="985" t="str">
        <f t="shared" si="116"/>
        <v>.</v>
      </c>
      <c r="AR198" s="702" t="str">
        <f t="shared" si="109"/>
        <v>.</v>
      </c>
      <c r="AS198" s="702" t="str">
        <f t="shared" si="110"/>
        <v>.</v>
      </c>
      <c r="AT198" s="702" t="str">
        <f t="shared" si="111"/>
        <v>.</v>
      </c>
      <c r="AU198" s="702" t="str">
        <f t="shared" si="112"/>
        <v>.</v>
      </c>
      <c r="AV198" s="702" t="str">
        <f t="shared" si="113"/>
        <v>.</v>
      </c>
      <c r="AW198" s="986" t="str">
        <f t="shared" si="114"/>
        <v>.</v>
      </c>
      <c r="AX198" s="214"/>
      <c r="AY198" s="3"/>
      <c r="AZ198" s="3"/>
      <c r="BA198" s="3"/>
      <c r="BB198" s="3"/>
    </row>
    <row r="199" spans="1:54" ht="12" x14ac:dyDescent="0.25">
      <c r="A199" s="3"/>
      <c r="B199" s="212"/>
      <c r="C199" s="278" t="s">
        <v>724</v>
      </c>
      <c r="D199" s="279" t="str">
        <f>IF('WK2 - Notional General Income'!D80="","",'WK2 - Notional General Income'!D80)</f>
        <v/>
      </c>
      <c r="E199" s="557" t="str">
        <f>IF('WK2 - Notional General Income'!M80=".",".",'WK2 - Notional General Income'!M80/'WK2 - Notional General Income'!E80)</f>
        <v>.</v>
      </c>
      <c r="F199" s="557" t="str">
        <f>IF('WK3 - Notional GI Yr1 YIELD'!M80=".",".",'WK3 - Notional GI Yr1 YIELD'!M80/'WK3 - Notional GI Yr1 YIELD'!E80)</f>
        <v>.</v>
      </c>
      <c r="G199" s="578"/>
      <c r="H199" s="578"/>
      <c r="I199" s="578"/>
      <c r="J199" s="578"/>
      <c r="K199" s="578"/>
      <c r="L199" s="578"/>
      <c r="M199" s="220"/>
      <c r="N199" s="3"/>
      <c r="O199" s="655">
        <f>'WK2 - Notional General Income'!$E80</f>
        <v>0</v>
      </c>
      <c r="P199" s="657">
        <f>'WK3 - Notional GI Yr1 YIELD'!$E80</f>
        <v>0</v>
      </c>
      <c r="Q199" s="3"/>
      <c r="R199" s="212"/>
      <c r="S199" s="699" t="str">
        <f t="shared" si="115"/>
        <v>.</v>
      </c>
      <c r="T199" s="700" t="str">
        <f t="shared" si="98"/>
        <v>.</v>
      </c>
      <c r="U199" s="700" t="str">
        <f t="shared" si="127"/>
        <v>.</v>
      </c>
      <c r="V199" s="700" t="str">
        <f t="shared" si="128"/>
        <v>.</v>
      </c>
      <c r="W199" s="700" t="str">
        <f t="shared" si="129"/>
        <v>.</v>
      </c>
      <c r="X199" s="700" t="str">
        <f t="shared" si="130"/>
        <v>.</v>
      </c>
      <c r="Y199" s="701" t="str">
        <f t="shared" si="131"/>
        <v>.</v>
      </c>
      <c r="Z199" s="3"/>
      <c r="AA199" s="985" t="str">
        <f t="shared" si="120"/>
        <v>.</v>
      </c>
      <c r="AB199" s="702" t="str">
        <f t="shared" si="121"/>
        <v>.</v>
      </c>
      <c r="AC199" s="702" t="str">
        <f t="shared" si="122"/>
        <v>.</v>
      </c>
      <c r="AD199" s="702" t="str">
        <f t="shared" si="123"/>
        <v>.</v>
      </c>
      <c r="AE199" s="702" t="str">
        <f t="shared" si="124"/>
        <v>.</v>
      </c>
      <c r="AF199" s="702" t="str">
        <f t="shared" si="125"/>
        <v>.</v>
      </c>
      <c r="AG199" s="986" t="str">
        <f t="shared" si="108"/>
        <v>.</v>
      </c>
      <c r="AH199" s="3"/>
      <c r="AI199" s="699" t="str">
        <f>IF(S199=".",".",SUM($S199:S199))</f>
        <v>.</v>
      </c>
      <c r="AJ199" s="700" t="str">
        <f>IF(T199=".",".",SUM($S199:T199))</f>
        <v>.</v>
      </c>
      <c r="AK199" s="700" t="str">
        <f>IF(U199=".",".",SUM($S199:U199))</f>
        <v>.</v>
      </c>
      <c r="AL199" s="700" t="str">
        <f>IF(V199=".",".",SUM($S199:V199))</f>
        <v>.</v>
      </c>
      <c r="AM199" s="700" t="str">
        <f>IF(W199=".",".",SUM($S199:W199))</f>
        <v>.</v>
      </c>
      <c r="AN199" s="700" t="str">
        <f>IF(X199=".",".",SUM($S199:X199))</f>
        <v>.</v>
      </c>
      <c r="AO199" s="701" t="str">
        <f>IF(Y199=".",".",SUM($S199:Y199))</f>
        <v>.</v>
      </c>
      <c r="AP199" s="3"/>
      <c r="AQ199" s="985" t="str">
        <f t="shared" si="116"/>
        <v>.</v>
      </c>
      <c r="AR199" s="702" t="str">
        <f t="shared" si="109"/>
        <v>.</v>
      </c>
      <c r="AS199" s="702" t="str">
        <f t="shared" si="110"/>
        <v>.</v>
      </c>
      <c r="AT199" s="702" t="str">
        <f t="shared" si="111"/>
        <v>.</v>
      </c>
      <c r="AU199" s="702" t="str">
        <f t="shared" si="112"/>
        <v>.</v>
      </c>
      <c r="AV199" s="702" t="str">
        <f t="shared" si="113"/>
        <v>.</v>
      </c>
      <c r="AW199" s="986" t="str">
        <f t="shared" si="114"/>
        <v>.</v>
      </c>
      <c r="AX199" s="214"/>
      <c r="AY199" s="3"/>
      <c r="AZ199" s="3"/>
      <c r="BA199" s="3"/>
      <c r="BB199" s="3"/>
    </row>
    <row r="200" spans="1:54" ht="12" x14ac:dyDescent="0.25">
      <c r="A200" s="3"/>
      <c r="B200" s="212"/>
      <c r="C200" s="278" t="s">
        <v>724</v>
      </c>
      <c r="D200" s="279" t="str">
        <f>IF('WK2 - Notional General Income'!D81="","",'WK2 - Notional General Income'!D81)</f>
        <v/>
      </c>
      <c r="E200" s="557" t="str">
        <f>IF('WK2 - Notional General Income'!M81=".",".",'WK2 - Notional General Income'!M81/'WK2 - Notional General Income'!E81)</f>
        <v>.</v>
      </c>
      <c r="F200" s="557" t="str">
        <f>IF('WK3 - Notional GI Yr1 YIELD'!M81=".",".",'WK3 - Notional GI Yr1 YIELD'!M81/'WK3 - Notional GI Yr1 YIELD'!E81)</f>
        <v>.</v>
      </c>
      <c r="G200" s="578"/>
      <c r="H200" s="578"/>
      <c r="I200" s="578"/>
      <c r="J200" s="578"/>
      <c r="K200" s="578"/>
      <c r="L200" s="578"/>
      <c r="M200" s="220"/>
      <c r="N200" s="3"/>
      <c r="O200" s="655">
        <f>'WK2 - Notional General Income'!$E81</f>
        <v>0</v>
      </c>
      <c r="P200" s="657">
        <f>'WK3 - Notional GI Yr1 YIELD'!$E81</f>
        <v>0</v>
      </c>
      <c r="Q200" s="3"/>
      <c r="R200" s="212"/>
      <c r="S200" s="699" t="str">
        <f t="shared" si="115"/>
        <v>.</v>
      </c>
      <c r="T200" s="700" t="str">
        <f t="shared" si="98"/>
        <v>.</v>
      </c>
      <c r="U200" s="700" t="str">
        <f t="shared" si="127"/>
        <v>.</v>
      </c>
      <c r="V200" s="700" t="str">
        <f t="shared" si="128"/>
        <v>.</v>
      </c>
      <c r="W200" s="700" t="str">
        <f t="shared" si="129"/>
        <v>.</v>
      </c>
      <c r="X200" s="700" t="str">
        <f t="shared" si="130"/>
        <v>.</v>
      </c>
      <c r="Y200" s="701" t="str">
        <f t="shared" si="131"/>
        <v>.</v>
      </c>
      <c r="Z200" s="3"/>
      <c r="AA200" s="985" t="str">
        <f t="shared" si="120"/>
        <v>.</v>
      </c>
      <c r="AB200" s="702" t="str">
        <f t="shared" si="121"/>
        <v>.</v>
      </c>
      <c r="AC200" s="702" t="str">
        <f t="shared" si="122"/>
        <v>.</v>
      </c>
      <c r="AD200" s="702" t="str">
        <f t="shared" si="123"/>
        <v>.</v>
      </c>
      <c r="AE200" s="702" t="str">
        <f t="shared" si="124"/>
        <v>.</v>
      </c>
      <c r="AF200" s="702" t="str">
        <f t="shared" si="125"/>
        <v>.</v>
      </c>
      <c r="AG200" s="986" t="str">
        <f t="shared" si="108"/>
        <v>.</v>
      </c>
      <c r="AH200" s="3"/>
      <c r="AI200" s="699" t="str">
        <f>IF(S200=".",".",SUM($S200:S200))</f>
        <v>.</v>
      </c>
      <c r="AJ200" s="700" t="str">
        <f>IF(T200=".",".",SUM($S200:T200))</f>
        <v>.</v>
      </c>
      <c r="AK200" s="700" t="str">
        <f>IF(U200=".",".",SUM($S200:U200))</f>
        <v>.</v>
      </c>
      <c r="AL200" s="700" t="str">
        <f>IF(V200=".",".",SUM($S200:V200))</f>
        <v>.</v>
      </c>
      <c r="AM200" s="700" t="str">
        <f>IF(W200=".",".",SUM($S200:W200))</f>
        <v>.</v>
      </c>
      <c r="AN200" s="700" t="str">
        <f>IF(X200=".",".",SUM($S200:X200))</f>
        <v>.</v>
      </c>
      <c r="AO200" s="701" t="str">
        <f>IF(Y200=".",".",SUM($S200:Y200))</f>
        <v>.</v>
      </c>
      <c r="AP200" s="3"/>
      <c r="AQ200" s="985" t="str">
        <f t="shared" si="116"/>
        <v>.</v>
      </c>
      <c r="AR200" s="702" t="str">
        <f t="shared" si="109"/>
        <v>.</v>
      </c>
      <c r="AS200" s="702" t="str">
        <f t="shared" si="110"/>
        <v>.</v>
      </c>
      <c r="AT200" s="702" t="str">
        <f t="shared" si="111"/>
        <v>.</v>
      </c>
      <c r="AU200" s="702" t="str">
        <f t="shared" si="112"/>
        <v>.</v>
      </c>
      <c r="AV200" s="702" t="str">
        <f t="shared" si="113"/>
        <v>.</v>
      </c>
      <c r="AW200" s="986" t="str">
        <f t="shared" si="114"/>
        <v>.</v>
      </c>
      <c r="AX200" s="214"/>
      <c r="AY200" s="3"/>
      <c r="AZ200" s="3"/>
      <c r="BA200" s="3"/>
      <c r="BB200" s="3"/>
    </row>
    <row r="201" spans="1:54" ht="12" x14ac:dyDescent="0.25">
      <c r="A201" s="3"/>
      <c r="B201" s="212"/>
      <c r="C201" s="278" t="s">
        <v>724</v>
      </c>
      <c r="D201" s="279" t="str">
        <f>IF('WK2 - Notional General Income'!D82="","",'WK2 - Notional General Income'!D82)</f>
        <v/>
      </c>
      <c r="E201" s="557" t="str">
        <f>IF('WK2 - Notional General Income'!M82=".",".",'WK2 - Notional General Income'!M82/'WK2 - Notional General Income'!E82)</f>
        <v>.</v>
      </c>
      <c r="F201" s="557" t="str">
        <f>IF('WK3 - Notional GI Yr1 YIELD'!M82=".",".",'WK3 - Notional GI Yr1 YIELD'!M82/'WK3 - Notional GI Yr1 YIELD'!E82)</f>
        <v>.</v>
      </c>
      <c r="G201" s="578"/>
      <c r="H201" s="578"/>
      <c r="I201" s="578"/>
      <c r="J201" s="578"/>
      <c r="K201" s="578"/>
      <c r="L201" s="578"/>
      <c r="M201" s="220"/>
      <c r="N201" s="3"/>
      <c r="O201" s="655">
        <f>'WK2 - Notional General Income'!$E82</f>
        <v>0</v>
      </c>
      <c r="P201" s="657">
        <f>'WK3 - Notional GI Yr1 YIELD'!$E82</f>
        <v>0</v>
      </c>
      <c r="Q201" s="3"/>
      <c r="R201" s="212"/>
      <c r="S201" s="699" t="str">
        <f t="shared" si="115"/>
        <v>.</v>
      </c>
      <c r="T201" s="700" t="str">
        <f t="shared" si="98"/>
        <v>.</v>
      </c>
      <c r="U201" s="700" t="str">
        <f t="shared" si="127"/>
        <v>.</v>
      </c>
      <c r="V201" s="700" t="str">
        <f t="shared" si="128"/>
        <v>.</v>
      </c>
      <c r="W201" s="700" t="str">
        <f t="shared" si="129"/>
        <v>.</v>
      </c>
      <c r="X201" s="700" t="str">
        <f t="shared" si="130"/>
        <v>.</v>
      </c>
      <c r="Y201" s="701" t="str">
        <f t="shared" si="131"/>
        <v>.</v>
      </c>
      <c r="Z201" s="3"/>
      <c r="AA201" s="985" t="str">
        <f t="shared" si="120"/>
        <v>.</v>
      </c>
      <c r="AB201" s="702" t="str">
        <f t="shared" si="121"/>
        <v>.</v>
      </c>
      <c r="AC201" s="702" t="str">
        <f t="shared" si="122"/>
        <v>.</v>
      </c>
      <c r="AD201" s="702" t="str">
        <f t="shared" si="123"/>
        <v>.</v>
      </c>
      <c r="AE201" s="702" t="str">
        <f t="shared" si="124"/>
        <v>.</v>
      </c>
      <c r="AF201" s="702" t="str">
        <f t="shared" si="125"/>
        <v>.</v>
      </c>
      <c r="AG201" s="986" t="str">
        <f t="shared" si="108"/>
        <v>.</v>
      </c>
      <c r="AH201" s="3"/>
      <c r="AI201" s="699" t="str">
        <f>IF(S201=".",".",SUM($S201:S201))</f>
        <v>.</v>
      </c>
      <c r="AJ201" s="700" t="str">
        <f>IF(T201=".",".",SUM($S201:T201))</f>
        <v>.</v>
      </c>
      <c r="AK201" s="700" t="str">
        <f>IF(U201=".",".",SUM($S201:U201))</f>
        <v>.</v>
      </c>
      <c r="AL201" s="700" t="str">
        <f>IF(V201=".",".",SUM($S201:V201))</f>
        <v>.</v>
      </c>
      <c r="AM201" s="700" t="str">
        <f>IF(W201=".",".",SUM($S201:W201))</f>
        <v>.</v>
      </c>
      <c r="AN201" s="700" t="str">
        <f>IF(X201=".",".",SUM($S201:X201))</f>
        <v>.</v>
      </c>
      <c r="AO201" s="701" t="str">
        <f>IF(Y201=".",".",SUM($S201:Y201))</f>
        <v>.</v>
      </c>
      <c r="AP201" s="3"/>
      <c r="AQ201" s="985" t="str">
        <f t="shared" si="116"/>
        <v>.</v>
      </c>
      <c r="AR201" s="702" t="str">
        <f t="shared" si="109"/>
        <v>.</v>
      </c>
      <c r="AS201" s="702" t="str">
        <f t="shared" si="110"/>
        <v>.</v>
      </c>
      <c r="AT201" s="702" t="str">
        <f t="shared" si="111"/>
        <v>.</v>
      </c>
      <c r="AU201" s="702" t="str">
        <f t="shared" si="112"/>
        <v>.</v>
      </c>
      <c r="AV201" s="702" t="str">
        <f t="shared" si="113"/>
        <v>.</v>
      </c>
      <c r="AW201" s="986" t="str">
        <f t="shared" si="114"/>
        <v>.</v>
      </c>
      <c r="AX201" s="214"/>
      <c r="AY201" s="3"/>
      <c r="AZ201" s="3"/>
      <c r="BA201" s="3"/>
      <c r="BB201" s="3"/>
    </row>
    <row r="202" spans="1:54" ht="12" x14ac:dyDescent="0.25">
      <c r="A202" s="3"/>
      <c r="B202" s="212"/>
      <c r="C202" s="278" t="s">
        <v>724</v>
      </c>
      <c r="D202" s="279" t="str">
        <f>IF('WK2 - Notional General Income'!D83="","",'WK2 - Notional General Income'!D83)</f>
        <v/>
      </c>
      <c r="E202" s="557" t="str">
        <f>IF('WK2 - Notional General Income'!M83=".",".",'WK2 - Notional General Income'!M83/'WK2 - Notional General Income'!E83)</f>
        <v>.</v>
      </c>
      <c r="F202" s="557" t="str">
        <f>IF('WK3 - Notional GI Yr1 YIELD'!M83=".",".",'WK3 - Notional GI Yr1 YIELD'!M83/'WK3 - Notional GI Yr1 YIELD'!E83)</f>
        <v>.</v>
      </c>
      <c r="G202" s="578"/>
      <c r="H202" s="578"/>
      <c r="I202" s="578"/>
      <c r="J202" s="578"/>
      <c r="K202" s="578"/>
      <c r="L202" s="578"/>
      <c r="M202" s="220"/>
      <c r="N202" s="3"/>
      <c r="O202" s="655">
        <f>'WK2 - Notional General Income'!$E83</f>
        <v>0</v>
      </c>
      <c r="P202" s="657">
        <f>'WK3 - Notional GI Yr1 YIELD'!$E83</f>
        <v>0</v>
      </c>
      <c r="Q202" s="3"/>
      <c r="R202" s="212"/>
      <c r="S202" s="699" t="str">
        <f t="shared" si="115"/>
        <v>.</v>
      </c>
      <c r="T202" s="700" t="str">
        <f t="shared" si="98"/>
        <v>.</v>
      </c>
      <c r="U202" s="700" t="str">
        <f t="shared" si="127"/>
        <v>.</v>
      </c>
      <c r="V202" s="700" t="str">
        <f t="shared" si="128"/>
        <v>.</v>
      </c>
      <c r="W202" s="700" t="str">
        <f t="shared" si="129"/>
        <v>.</v>
      </c>
      <c r="X202" s="700" t="str">
        <f t="shared" si="130"/>
        <v>.</v>
      </c>
      <c r="Y202" s="701" t="str">
        <f t="shared" si="131"/>
        <v>.</v>
      </c>
      <c r="Z202" s="3"/>
      <c r="AA202" s="985" t="str">
        <f t="shared" si="120"/>
        <v>.</v>
      </c>
      <c r="AB202" s="702" t="str">
        <f t="shared" si="121"/>
        <v>.</v>
      </c>
      <c r="AC202" s="702" t="str">
        <f t="shared" si="122"/>
        <v>.</v>
      </c>
      <c r="AD202" s="702" t="str">
        <f t="shared" si="123"/>
        <v>.</v>
      </c>
      <c r="AE202" s="702" t="str">
        <f t="shared" si="124"/>
        <v>.</v>
      </c>
      <c r="AF202" s="702" t="str">
        <f t="shared" si="125"/>
        <v>.</v>
      </c>
      <c r="AG202" s="986" t="str">
        <f t="shared" si="108"/>
        <v>.</v>
      </c>
      <c r="AH202" s="3"/>
      <c r="AI202" s="699" t="str">
        <f>IF(S202=".",".",SUM($S202:S202))</f>
        <v>.</v>
      </c>
      <c r="AJ202" s="700" t="str">
        <f>IF(T202=".",".",SUM($S202:T202))</f>
        <v>.</v>
      </c>
      <c r="AK202" s="700" t="str">
        <f>IF(U202=".",".",SUM($S202:U202))</f>
        <v>.</v>
      </c>
      <c r="AL202" s="700" t="str">
        <f>IF(V202=".",".",SUM($S202:V202))</f>
        <v>.</v>
      </c>
      <c r="AM202" s="700" t="str">
        <f>IF(W202=".",".",SUM($S202:W202))</f>
        <v>.</v>
      </c>
      <c r="AN202" s="700" t="str">
        <f>IF(X202=".",".",SUM($S202:X202))</f>
        <v>.</v>
      </c>
      <c r="AO202" s="701" t="str">
        <f>IF(Y202=".",".",SUM($S202:Y202))</f>
        <v>.</v>
      </c>
      <c r="AP202" s="3"/>
      <c r="AQ202" s="985" t="str">
        <f t="shared" si="116"/>
        <v>.</v>
      </c>
      <c r="AR202" s="702" t="str">
        <f t="shared" si="109"/>
        <v>.</v>
      </c>
      <c r="AS202" s="702" t="str">
        <f t="shared" si="110"/>
        <v>.</v>
      </c>
      <c r="AT202" s="702" t="str">
        <f t="shared" si="111"/>
        <v>.</v>
      </c>
      <c r="AU202" s="702" t="str">
        <f t="shared" si="112"/>
        <v>.</v>
      </c>
      <c r="AV202" s="702" t="str">
        <f t="shared" si="113"/>
        <v>.</v>
      </c>
      <c r="AW202" s="986" t="str">
        <f t="shared" si="114"/>
        <v>.</v>
      </c>
      <c r="AX202" s="214"/>
      <c r="AY202" s="3"/>
      <c r="AZ202" s="3"/>
      <c r="BA202" s="3"/>
      <c r="BB202" s="3"/>
    </row>
    <row r="203" spans="1:54" ht="12" x14ac:dyDescent="0.25">
      <c r="A203" s="3"/>
      <c r="B203" s="212"/>
      <c r="C203" s="278" t="s">
        <v>724</v>
      </c>
      <c r="D203" s="279" t="str">
        <f>IF('WK2 - Notional General Income'!D84="","",'WK2 - Notional General Income'!D84)</f>
        <v/>
      </c>
      <c r="E203" s="557" t="str">
        <f>IF('WK2 - Notional General Income'!M84=".",".",'WK2 - Notional General Income'!M84/'WK2 - Notional General Income'!E84)</f>
        <v>.</v>
      </c>
      <c r="F203" s="557" t="str">
        <f>IF('WK3 - Notional GI Yr1 YIELD'!M84=".",".",'WK3 - Notional GI Yr1 YIELD'!M84/'WK3 - Notional GI Yr1 YIELD'!E84)</f>
        <v>.</v>
      </c>
      <c r="G203" s="578"/>
      <c r="H203" s="578"/>
      <c r="I203" s="578"/>
      <c r="J203" s="578"/>
      <c r="K203" s="578"/>
      <c r="L203" s="578"/>
      <c r="M203" s="220"/>
      <c r="N203" s="3"/>
      <c r="O203" s="655">
        <f>'WK2 - Notional General Income'!$E84</f>
        <v>0</v>
      </c>
      <c r="P203" s="657">
        <f>'WK3 - Notional GI Yr1 YIELD'!$E84</f>
        <v>0</v>
      </c>
      <c r="Q203" s="3"/>
      <c r="R203" s="212"/>
      <c r="S203" s="699" t="str">
        <f t="shared" si="115"/>
        <v>.</v>
      </c>
      <c r="T203" s="700" t="str">
        <f t="shared" si="98"/>
        <v>.</v>
      </c>
      <c r="U203" s="700" t="str">
        <f t="shared" si="127"/>
        <v>.</v>
      </c>
      <c r="V203" s="700" t="str">
        <f t="shared" si="128"/>
        <v>.</v>
      </c>
      <c r="W203" s="700" t="str">
        <f t="shared" si="129"/>
        <v>.</v>
      </c>
      <c r="X203" s="700" t="str">
        <f t="shared" si="130"/>
        <v>.</v>
      </c>
      <c r="Y203" s="701" t="str">
        <f t="shared" si="131"/>
        <v>.</v>
      </c>
      <c r="Z203" s="3"/>
      <c r="AA203" s="985" t="str">
        <f t="shared" si="120"/>
        <v>.</v>
      </c>
      <c r="AB203" s="702" t="str">
        <f t="shared" si="121"/>
        <v>.</v>
      </c>
      <c r="AC203" s="702" t="str">
        <f t="shared" si="122"/>
        <v>.</v>
      </c>
      <c r="AD203" s="702" t="str">
        <f t="shared" si="123"/>
        <v>.</v>
      </c>
      <c r="AE203" s="702" t="str">
        <f t="shared" si="124"/>
        <v>.</v>
      </c>
      <c r="AF203" s="702" t="str">
        <f t="shared" si="125"/>
        <v>.</v>
      </c>
      <c r="AG203" s="986" t="str">
        <f t="shared" si="108"/>
        <v>.</v>
      </c>
      <c r="AH203" s="3"/>
      <c r="AI203" s="699" t="str">
        <f>IF(S203=".",".",SUM($S203:S203))</f>
        <v>.</v>
      </c>
      <c r="AJ203" s="700" t="str">
        <f>IF(T203=".",".",SUM($S203:T203))</f>
        <v>.</v>
      </c>
      <c r="AK203" s="700" t="str">
        <f>IF(U203=".",".",SUM($S203:U203))</f>
        <v>.</v>
      </c>
      <c r="AL203" s="700" t="str">
        <f>IF(V203=".",".",SUM($S203:V203))</f>
        <v>.</v>
      </c>
      <c r="AM203" s="700" t="str">
        <f>IF(W203=".",".",SUM($S203:W203))</f>
        <v>.</v>
      </c>
      <c r="AN203" s="700" t="str">
        <f>IF(X203=".",".",SUM($S203:X203))</f>
        <v>.</v>
      </c>
      <c r="AO203" s="701" t="str">
        <f>IF(Y203=".",".",SUM($S203:Y203))</f>
        <v>.</v>
      </c>
      <c r="AP203" s="3"/>
      <c r="AQ203" s="985" t="str">
        <f t="shared" si="116"/>
        <v>.</v>
      </c>
      <c r="AR203" s="702" t="str">
        <f t="shared" si="109"/>
        <v>.</v>
      </c>
      <c r="AS203" s="702" t="str">
        <f t="shared" si="110"/>
        <v>.</v>
      </c>
      <c r="AT203" s="702" t="str">
        <f t="shared" si="111"/>
        <v>.</v>
      </c>
      <c r="AU203" s="702" t="str">
        <f t="shared" si="112"/>
        <v>.</v>
      </c>
      <c r="AV203" s="702" t="str">
        <f t="shared" si="113"/>
        <v>.</v>
      </c>
      <c r="AW203" s="986" t="str">
        <f t="shared" si="114"/>
        <v>.</v>
      </c>
      <c r="AX203" s="214"/>
      <c r="AY203" s="3"/>
      <c r="AZ203" s="3"/>
      <c r="BA203" s="3"/>
      <c r="BB203" s="3"/>
    </row>
    <row r="204" spans="1:54" ht="12" x14ac:dyDescent="0.25">
      <c r="A204" s="3"/>
      <c r="B204" s="212"/>
      <c r="C204" s="278" t="s">
        <v>724</v>
      </c>
      <c r="D204" s="279" t="str">
        <f>IF('WK2 - Notional General Income'!D85="","",'WK2 - Notional General Income'!D85)</f>
        <v/>
      </c>
      <c r="E204" s="557" t="str">
        <f>IF('WK2 - Notional General Income'!M85=".",".",'WK2 - Notional General Income'!M85/'WK2 - Notional General Income'!E85)</f>
        <v>.</v>
      </c>
      <c r="F204" s="557" t="str">
        <f>IF('WK3 - Notional GI Yr1 YIELD'!M85=".",".",'WK3 - Notional GI Yr1 YIELD'!M85/'WK3 - Notional GI Yr1 YIELD'!E85)</f>
        <v>.</v>
      </c>
      <c r="G204" s="578"/>
      <c r="H204" s="578"/>
      <c r="I204" s="578"/>
      <c r="J204" s="578"/>
      <c r="K204" s="578"/>
      <c r="L204" s="578"/>
      <c r="M204" s="220"/>
      <c r="N204" s="3"/>
      <c r="O204" s="655">
        <f>'WK2 - Notional General Income'!$E85</f>
        <v>0</v>
      </c>
      <c r="P204" s="657">
        <f>'WK3 - Notional GI Yr1 YIELD'!$E85</f>
        <v>0</v>
      </c>
      <c r="Q204" s="3"/>
      <c r="R204" s="212"/>
      <c r="S204" s="699" t="str">
        <f t="shared" si="115"/>
        <v>.</v>
      </c>
      <c r="T204" s="700" t="str">
        <f t="shared" si="98"/>
        <v>.</v>
      </c>
      <c r="U204" s="700" t="str">
        <f t="shared" si="127"/>
        <v>.</v>
      </c>
      <c r="V204" s="700" t="str">
        <f t="shared" si="128"/>
        <v>.</v>
      </c>
      <c r="W204" s="700" t="str">
        <f t="shared" si="129"/>
        <v>.</v>
      </c>
      <c r="X204" s="700" t="str">
        <f t="shared" si="130"/>
        <v>.</v>
      </c>
      <c r="Y204" s="701" t="str">
        <f t="shared" si="131"/>
        <v>.</v>
      </c>
      <c r="Z204" s="3"/>
      <c r="AA204" s="985" t="str">
        <f t="shared" si="120"/>
        <v>.</v>
      </c>
      <c r="AB204" s="702" t="str">
        <f t="shared" si="121"/>
        <v>.</v>
      </c>
      <c r="AC204" s="702" t="str">
        <f t="shared" si="122"/>
        <v>.</v>
      </c>
      <c r="AD204" s="702" t="str">
        <f t="shared" si="123"/>
        <v>.</v>
      </c>
      <c r="AE204" s="702" t="str">
        <f t="shared" si="124"/>
        <v>.</v>
      </c>
      <c r="AF204" s="702" t="str">
        <f t="shared" si="125"/>
        <v>.</v>
      </c>
      <c r="AG204" s="986" t="str">
        <f t="shared" si="108"/>
        <v>.</v>
      </c>
      <c r="AH204" s="3"/>
      <c r="AI204" s="699" t="str">
        <f>IF(S204=".",".",SUM($S204:S204))</f>
        <v>.</v>
      </c>
      <c r="AJ204" s="700" t="str">
        <f>IF(T204=".",".",SUM($S204:T204))</f>
        <v>.</v>
      </c>
      <c r="AK204" s="700" t="str">
        <f>IF(U204=".",".",SUM($S204:U204))</f>
        <v>.</v>
      </c>
      <c r="AL204" s="700" t="str">
        <f>IF(V204=".",".",SUM($S204:V204))</f>
        <v>.</v>
      </c>
      <c r="AM204" s="700" t="str">
        <f>IF(W204=".",".",SUM($S204:W204))</f>
        <v>.</v>
      </c>
      <c r="AN204" s="700" t="str">
        <f>IF(X204=".",".",SUM($S204:X204))</f>
        <v>.</v>
      </c>
      <c r="AO204" s="701" t="str">
        <f>IF(Y204=".",".",SUM($S204:Y204))</f>
        <v>.</v>
      </c>
      <c r="AP204" s="3"/>
      <c r="AQ204" s="985" t="str">
        <f t="shared" si="116"/>
        <v>.</v>
      </c>
      <c r="AR204" s="702" t="str">
        <f t="shared" si="109"/>
        <v>.</v>
      </c>
      <c r="AS204" s="702" t="str">
        <f t="shared" si="110"/>
        <v>.</v>
      </c>
      <c r="AT204" s="702" t="str">
        <f t="shared" si="111"/>
        <v>.</v>
      </c>
      <c r="AU204" s="702" t="str">
        <f t="shared" si="112"/>
        <v>.</v>
      </c>
      <c r="AV204" s="702" t="str">
        <f t="shared" si="113"/>
        <v>.</v>
      </c>
      <c r="AW204" s="986" t="str">
        <f t="shared" si="114"/>
        <v>.</v>
      </c>
      <c r="AX204" s="214"/>
      <c r="AY204" s="3"/>
      <c r="AZ204" s="3"/>
      <c r="BA204" s="3"/>
      <c r="BB204" s="3"/>
    </row>
    <row r="205" spans="1:54" ht="12.6" thickBot="1" x14ac:dyDescent="0.3">
      <c r="A205" s="3"/>
      <c r="B205" s="212"/>
      <c r="C205" s="278" t="s">
        <v>724</v>
      </c>
      <c r="D205" s="279" t="str">
        <f>IF('WK2 - Notional General Income'!D86="","",'WK2 - Notional General Income'!D86)</f>
        <v/>
      </c>
      <c r="E205" s="557" t="str">
        <f>IF('WK2 - Notional General Income'!M86=".",".",'WK2 - Notional General Income'!M86/'WK2 - Notional General Income'!E86)</f>
        <v>.</v>
      </c>
      <c r="F205" s="557" t="str">
        <f>IF('WK3 - Notional GI Yr1 YIELD'!M86=".",".",'WK3 - Notional GI Yr1 YIELD'!M86/'WK3 - Notional GI Yr1 YIELD'!E86)</f>
        <v>.</v>
      </c>
      <c r="G205" s="578"/>
      <c r="H205" s="578"/>
      <c r="I205" s="578"/>
      <c r="J205" s="578"/>
      <c r="K205" s="578"/>
      <c r="L205" s="578"/>
      <c r="M205" s="220"/>
      <c r="N205" s="3"/>
      <c r="O205" s="711">
        <f>'WK2 - Notional General Income'!$E86</f>
        <v>0</v>
      </c>
      <c r="P205" s="712">
        <f>'WK3 - Notional GI Yr1 YIELD'!$E86</f>
        <v>0</v>
      </c>
      <c r="Q205" s="3"/>
      <c r="R205" s="212"/>
      <c r="S205" s="699" t="str">
        <f t="shared" si="115"/>
        <v>.</v>
      </c>
      <c r="T205" s="700" t="str">
        <f t="shared" si="98"/>
        <v>.</v>
      </c>
      <c r="U205" s="700" t="str">
        <f t="shared" si="127"/>
        <v>.</v>
      </c>
      <c r="V205" s="700" t="str">
        <f t="shared" si="128"/>
        <v>.</v>
      </c>
      <c r="W205" s="700" t="str">
        <f t="shared" si="129"/>
        <v>.</v>
      </c>
      <c r="X205" s="700" t="str">
        <f t="shared" si="130"/>
        <v>.</v>
      </c>
      <c r="Y205" s="701" t="str">
        <f t="shared" si="131"/>
        <v>.</v>
      </c>
      <c r="Z205" s="3"/>
      <c r="AA205" s="985" t="str">
        <f t="shared" si="120"/>
        <v>.</v>
      </c>
      <c r="AB205" s="702" t="str">
        <f t="shared" si="121"/>
        <v>.</v>
      </c>
      <c r="AC205" s="702" t="str">
        <f t="shared" si="122"/>
        <v>.</v>
      </c>
      <c r="AD205" s="702" t="str">
        <f t="shared" si="123"/>
        <v>.</v>
      </c>
      <c r="AE205" s="702" t="str">
        <f t="shared" si="124"/>
        <v>.</v>
      </c>
      <c r="AF205" s="702" t="str">
        <f t="shared" si="125"/>
        <v>.</v>
      </c>
      <c r="AG205" s="986" t="str">
        <f t="shared" si="108"/>
        <v>.</v>
      </c>
      <c r="AH205" s="3"/>
      <c r="AI205" s="699" t="str">
        <f>IF(S205=".",".",SUM($S205:S205))</f>
        <v>.</v>
      </c>
      <c r="AJ205" s="700" t="str">
        <f>IF(T205=".",".",SUM($S205:T205))</f>
        <v>.</v>
      </c>
      <c r="AK205" s="700" t="str">
        <f>IF(U205=".",".",SUM($S205:U205))</f>
        <v>.</v>
      </c>
      <c r="AL205" s="700" t="str">
        <f>IF(V205=".",".",SUM($S205:V205))</f>
        <v>.</v>
      </c>
      <c r="AM205" s="700" t="str">
        <f>IF(W205=".",".",SUM($S205:W205))</f>
        <v>.</v>
      </c>
      <c r="AN205" s="700" t="str">
        <f>IF(X205=".",".",SUM($S205:X205))</f>
        <v>.</v>
      </c>
      <c r="AO205" s="701" t="str">
        <f>IF(Y205=".",".",SUM($S205:Y205))</f>
        <v>.</v>
      </c>
      <c r="AP205" s="3"/>
      <c r="AQ205" s="985" t="str">
        <f t="shared" si="116"/>
        <v>.</v>
      </c>
      <c r="AR205" s="702" t="str">
        <f t="shared" si="109"/>
        <v>.</v>
      </c>
      <c r="AS205" s="702" t="str">
        <f t="shared" si="110"/>
        <v>.</v>
      </c>
      <c r="AT205" s="702" t="str">
        <f t="shared" si="111"/>
        <v>.</v>
      </c>
      <c r="AU205" s="702" t="str">
        <f t="shared" si="112"/>
        <v>.</v>
      </c>
      <c r="AV205" s="702" t="str">
        <f t="shared" si="113"/>
        <v>.</v>
      </c>
      <c r="AW205" s="986" t="str">
        <f t="shared" si="114"/>
        <v>.</v>
      </c>
      <c r="AX205" s="214"/>
      <c r="AY205" s="3"/>
      <c r="AZ205" s="3"/>
      <c r="BA205" s="3"/>
      <c r="BB205" s="3"/>
    </row>
    <row r="206" spans="1:54" ht="12.6" thickTop="1" x14ac:dyDescent="0.25">
      <c r="A206" s="3"/>
      <c r="B206" s="212"/>
      <c r="C206" s="278" t="s">
        <v>819</v>
      </c>
      <c r="D206" s="279" t="str">
        <f>IF('WK2 - Notional General Income'!D134="","",'WK2 - Notional General Income'!D134)</f>
        <v/>
      </c>
      <c r="E206" s="557" t="str">
        <f>IF('WK2 - Notional General Income'!M134=".",".",'WK2 - Notional General Income'!M134/'WK2 - Notional General Income'!E134)</f>
        <v>.</v>
      </c>
      <c r="F206" s="557" t="str">
        <f>IF('WK3 - Notional GI Yr1 YIELD'!M134=".",".",'WK3 - Notional GI Yr1 YIELD'!M134/'WK3 - Notional GI Yr1 YIELD'!E134)</f>
        <v>.</v>
      </c>
      <c r="G206" s="578"/>
      <c r="H206" s="578"/>
      <c r="I206" s="578"/>
      <c r="J206" s="578"/>
      <c r="K206" s="578"/>
      <c r="L206" s="578"/>
      <c r="M206" s="220"/>
      <c r="N206" s="3"/>
      <c r="O206" s="655">
        <f>'WK2 - Notional General Income'!$E134</f>
        <v>0</v>
      </c>
      <c r="P206" s="657">
        <f>'WK3 - Notional GI Yr1 YIELD'!$E134</f>
        <v>0</v>
      </c>
      <c r="Q206" s="3"/>
      <c r="R206" s="212"/>
      <c r="S206" s="699" t="str">
        <f t="shared" si="115"/>
        <v>.</v>
      </c>
      <c r="T206" s="700" t="str">
        <f t="shared" si="98"/>
        <v>.</v>
      </c>
      <c r="U206" s="700" t="str">
        <f t="shared" si="127"/>
        <v>.</v>
      </c>
      <c r="V206" s="700" t="str">
        <f t="shared" si="128"/>
        <v>.</v>
      </c>
      <c r="W206" s="700" t="str">
        <f t="shared" si="129"/>
        <v>.</v>
      </c>
      <c r="X206" s="700" t="str">
        <f t="shared" si="130"/>
        <v>.</v>
      </c>
      <c r="Y206" s="701" t="str">
        <f t="shared" si="131"/>
        <v>.</v>
      </c>
      <c r="Z206" s="3"/>
      <c r="AA206" s="985" t="str">
        <f t="shared" si="120"/>
        <v>.</v>
      </c>
      <c r="AB206" s="702" t="str">
        <f t="shared" si="121"/>
        <v>.</v>
      </c>
      <c r="AC206" s="702" t="str">
        <f t="shared" si="122"/>
        <v>.</v>
      </c>
      <c r="AD206" s="702" t="str">
        <f t="shared" si="123"/>
        <v>.</v>
      </c>
      <c r="AE206" s="702" t="str">
        <f t="shared" si="124"/>
        <v>.</v>
      </c>
      <c r="AF206" s="702" t="str">
        <f t="shared" si="125"/>
        <v>.</v>
      </c>
      <c r="AG206" s="986" t="str">
        <f t="shared" si="108"/>
        <v>.</v>
      </c>
      <c r="AH206" s="3"/>
      <c r="AI206" s="699" t="str">
        <f>IF(S206=".",".",SUM($S206:S206))</f>
        <v>.</v>
      </c>
      <c r="AJ206" s="700" t="str">
        <f>IF(T206=".",".",SUM($S206:T206))</f>
        <v>.</v>
      </c>
      <c r="AK206" s="700" t="str">
        <f>IF(U206=".",".",SUM($S206:U206))</f>
        <v>.</v>
      </c>
      <c r="AL206" s="700" t="str">
        <f>IF(V206=".",".",SUM($S206:V206))</f>
        <v>.</v>
      </c>
      <c r="AM206" s="700" t="str">
        <f>IF(W206=".",".",SUM($S206:W206))</f>
        <v>.</v>
      </c>
      <c r="AN206" s="700" t="str">
        <f>IF(X206=".",".",SUM($S206:X206))</f>
        <v>.</v>
      </c>
      <c r="AO206" s="701" t="str">
        <f>IF(Y206=".",".",SUM($S206:Y206))</f>
        <v>.</v>
      </c>
      <c r="AP206" s="3"/>
      <c r="AQ206" s="985" t="str">
        <f t="shared" si="116"/>
        <v>.</v>
      </c>
      <c r="AR206" s="702" t="str">
        <f t="shared" si="109"/>
        <v>.</v>
      </c>
      <c r="AS206" s="702" t="str">
        <f t="shared" si="110"/>
        <v>.</v>
      </c>
      <c r="AT206" s="702" t="str">
        <f t="shared" si="111"/>
        <v>.</v>
      </c>
      <c r="AU206" s="702" t="str">
        <f t="shared" si="112"/>
        <v>.</v>
      </c>
      <c r="AV206" s="702" t="str">
        <f t="shared" si="113"/>
        <v>.</v>
      </c>
      <c r="AW206" s="986" t="str">
        <f t="shared" si="114"/>
        <v>.</v>
      </c>
      <c r="AX206" s="214"/>
      <c r="AY206" s="3"/>
      <c r="AZ206" s="3"/>
      <c r="BA206" s="3"/>
      <c r="BB206" s="3"/>
    </row>
    <row r="207" spans="1:54" ht="12" x14ac:dyDescent="0.25">
      <c r="A207" s="3"/>
      <c r="B207" s="212"/>
      <c r="C207" s="278" t="s">
        <v>819</v>
      </c>
      <c r="D207" s="279" t="str">
        <f>IF('WK2 - Notional General Income'!D135="","",'WK2 - Notional General Income'!D135)</f>
        <v/>
      </c>
      <c r="E207" s="557" t="str">
        <f>IF('WK2 - Notional General Income'!M135=".",".",'WK2 - Notional General Income'!M135/'WK2 - Notional General Income'!E135)</f>
        <v>.</v>
      </c>
      <c r="F207" s="557" t="str">
        <f>IF('WK3 - Notional GI Yr1 YIELD'!M135=".",".",'WK3 - Notional GI Yr1 YIELD'!M135/'WK3 - Notional GI Yr1 YIELD'!E135)</f>
        <v>.</v>
      </c>
      <c r="G207" s="578"/>
      <c r="H207" s="578"/>
      <c r="I207" s="578"/>
      <c r="J207" s="578"/>
      <c r="K207" s="578"/>
      <c r="L207" s="578"/>
      <c r="M207" s="220"/>
      <c r="N207" s="3"/>
      <c r="O207" s="655">
        <f>'WK2 - Notional General Income'!$E135</f>
        <v>0</v>
      </c>
      <c r="P207" s="657">
        <f>'WK3 - Notional GI Yr1 YIELD'!$E135</f>
        <v>0</v>
      </c>
      <c r="Q207" s="3"/>
      <c r="R207" s="212"/>
      <c r="S207" s="699" t="str">
        <f t="shared" si="115"/>
        <v>.</v>
      </c>
      <c r="T207" s="700" t="str">
        <f t="shared" si="98"/>
        <v>.</v>
      </c>
      <c r="U207" s="700" t="str">
        <f t="shared" si="127"/>
        <v>.</v>
      </c>
      <c r="V207" s="700" t="str">
        <f t="shared" si="128"/>
        <v>.</v>
      </c>
      <c r="W207" s="700" t="str">
        <f t="shared" si="129"/>
        <v>.</v>
      </c>
      <c r="X207" s="700" t="str">
        <f t="shared" si="130"/>
        <v>.</v>
      </c>
      <c r="Y207" s="701" t="str">
        <f t="shared" si="131"/>
        <v>.</v>
      </c>
      <c r="Z207" s="3"/>
      <c r="AA207" s="985" t="str">
        <f t="shared" si="120"/>
        <v>.</v>
      </c>
      <c r="AB207" s="702" t="str">
        <f t="shared" si="121"/>
        <v>.</v>
      </c>
      <c r="AC207" s="702" t="str">
        <f t="shared" si="122"/>
        <v>.</v>
      </c>
      <c r="AD207" s="702" t="str">
        <f t="shared" si="123"/>
        <v>.</v>
      </c>
      <c r="AE207" s="702" t="str">
        <f t="shared" si="124"/>
        <v>.</v>
      </c>
      <c r="AF207" s="702" t="str">
        <f t="shared" si="125"/>
        <v>.</v>
      </c>
      <c r="AG207" s="986" t="str">
        <f t="shared" si="108"/>
        <v>.</v>
      </c>
      <c r="AH207" s="3"/>
      <c r="AI207" s="699" t="str">
        <f>IF(S207=".",".",SUM($S207:S207))</f>
        <v>.</v>
      </c>
      <c r="AJ207" s="700" t="str">
        <f>IF(T207=".",".",SUM($S207:T207))</f>
        <v>.</v>
      </c>
      <c r="AK207" s="700" t="str">
        <f>IF(U207=".",".",SUM($S207:U207))</f>
        <v>.</v>
      </c>
      <c r="AL207" s="700" t="str">
        <f>IF(V207=".",".",SUM($S207:V207))</f>
        <v>.</v>
      </c>
      <c r="AM207" s="700" t="str">
        <f>IF(W207=".",".",SUM($S207:W207))</f>
        <v>.</v>
      </c>
      <c r="AN207" s="700" t="str">
        <f>IF(X207=".",".",SUM($S207:X207))</f>
        <v>.</v>
      </c>
      <c r="AO207" s="701" t="str">
        <f>IF(Y207=".",".",SUM($S207:Y207))</f>
        <v>.</v>
      </c>
      <c r="AP207" s="3"/>
      <c r="AQ207" s="985" t="str">
        <f t="shared" si="116"/>
        <v>.</v>
      </c>
      <c r="AR207" s="702" t="str">
        <f t="shared" si="109"/>
        <v>.</v>
      </c>
      <c r="AS207" s="702" t="str">
        <f t="shared" si="110"/>
        <v>.</v>
      </c>
      <c r="AT207" s="702" t="str">
        <f t="shared" si="111"/>
        <v>.</v>
      </c>
      <c r="AU207" s="702" t="str">
        <f t="shared" si="112"/>
        <v>.</v>
      </c>
      <c r="AV207" s="702" t="str">
        <f t="shared" si="113"/>
        <v>.</v>
      </c>
      <c r="AW207" s="986" t="str">
        <f t="shared" si="114"/>
        <v>.</v>
      </c>
      <c r="AX207" s="214"/>
      <c r="AY207" s="3"/>
      <c r="AZ207" s="3"/>
      <c r="BA207" s="3"/>
      <c r="BB207" s="3"/>
    </row>
    <row r="208" spans="1:54" ht="12" x14ac:dyDescent="0.25">
      <c r="A208" s="3"/>
      <c r="B208" s="212"/>
      <c r="C208" s="278" t="s">
        <v>819</v>
      </c>
      <c r="D208" s="279" t="str">
        <f>IF('WK2 - Notional General Income'!D136="","",'WK2 - Notional General Income'!D136)</f>
        <v/>
      </c>
      <c r="E208" s="557" t="str">
        <f>IF('WK2 - Notional General Income'!M136=".",".",'WK2 - Notional General Income'!M136/'WK2 - Notional General Income'!E136)</f>
        <v>.</v>
      </c>
      <c r="F208" s="557" t="str">
        <f>IF('WK3 - Notional GI Yr1 YIELD'!M136=".",".",'WK3 - Notional GI Yr1 YIELD'!M136/'WK3 - Notional GI Yr1 YIELD'!E136)</f>
        <v>.</v>
      </c>
      <c r="G208" s="578"/>
      <c r="H208" s="578"/>
      <c r="I208" s="578"/>
      <c r="J208" s="578"/>
      <c r="K208" s="578"/>
      <c r="L208" s="578"/>
      <c r="M208" s="220"/>
      <c r="N208" s="3"/>
      <c r="O208" s="655">
        <f>'WK2 - Notional General Income'!$E136</f>
        <v>0</v>
      </c>
      <c r="P208" s="657">
        <f>'WK3 - Notional GI Yr1 YIELD'!$E136</f>
        <v>0</v>
      </c>
      <c r="Q208" s="3"/>
      <c r="R208" s="212"/>
      <c r="S208" s="699" t="str">
        <f t="shared" si="115"/>
        <v>.</v>
      </c>
      <c r="T208" s="700" t="str">
        <f t="shared" si="98"/>
        <v>.</v>
      </c>
      <c r="U208" s="700" t="str">
        <f t="shared" si="127"/>
        <v>.</v>
      </c>
      <c r="V208" s="700" t="str">
        <f t="shared" si="128"/>
        <v>.</v>
      </c>
      <c r="W208" s="700" t="str">
        <f t="shared" si="129"/>
        <v>.</v>
      </c>
      <c r="X208" s="700" t="str">
        <f t="shared" si="130"/>
        <v>.</v>
      </c>
      <c r="Y208" s="701" t="str">
        <f t="shared" si="131"/>
        <v>.</v>
      </c>
      <c r="Z208" s="3"/>
      <c r="AA208" s="985" t="str">
        <f t="shared" si="120"/>
        <v>.</v>
      </c>
      <c r="AB208" s="702" t="str">
        <f t="shared" si="121"/>
        <v>.</v>
      </c>
      <c r="AC208" s="702" t="str">
        <f t="shared" si="122"/>
        <v>.</v>
      </c>
      <c r="AD208" s="702" t="str">
        <f t="shared" si="123"/>
        <v>.</v>
      </c>
      <c r="AE208" s="702" t="str">
        <f t="shared" si="124"/>
        <v>.</v>
      </c>
      <c r="AF208" s="702" t="str">
        <f t="shared" si="125"/>
        <v>.</v>
      </c>
      <c r="AG208" s="986" t="str">
        <f t="shared" si="108"/>
        <v>.</v>
      </c>
      <c r="AH208" s="3"/>
      <c r="AI208" s="699" t="str">
        <f>IF(S208=".",".",SUM($S208:S208))</f>
        <v>.</v>
      </c>
      <c r="AJ208" s="700" t="str">
        <f>IF(T208=".",".",SUM($S208:T208))</f>
        <v>.</v>
      </c>
      <c r="AK208" s="700" t="str">
        <f>IF(U208=".",".",SUM($S208:U208))</f>
        <v>.</v>
      </c>
      <c r="AL208" s="700" t="str">
        <f>IF(V208=".",".",SUM($S208:V208))</f>
        <v>.</v>
      </c>
      <c r="AM208" s="700" t="str">
        <f>IF(W208=".",".",SUM($S208:W208))</f>
        <v>.</v>
      </c>
      <c r="AN208" s="700" t="str">
        <f>IF(X208=".",".",SUM($S208:X208))</f>
        <v>.</v>
      </c>
      <c r="AO208" s="701" t="str">
        <f>IF(Y208=".",".",SUM($S208:Y208))</f>
        <v>.</v>
      </c>
      <c r="AP208" s="3"/>
      <c r="AQ208" s="985" t="str">
        <f t="shared" si="116"/>
        <v>.</v>
      </c>
      <c r="AR208" s="702" t="str">
        <f t="shared" si="109"/>
        <v>.</v>
      </c>
      <c r="AS208" s="702" t="str">
        <f t="shared" si="110"/>
        <v>.</v>
      </c>
      <c r="AT208" s="702" t="str">
        <f t="shared" si="111"/>
        <v>.</v>
      </c>
      <c r="AU208" s="702" t="str">
        <f t="shared" si="112"/>
        <v>.</v>
      </c>
      <c r="AV208" s="702" t="str">
        <f t="shared" si="113"/>
        <v>.</v>
      </c>
      <c r="AW208" s="986" t="str">
        <f t="shared" si="114"/>
        <v>.</v>
      </c>
      <c r="AX208" s="214"/>
      <c r="AY208" s="3"/>
      <c r="AZ208" s="3"/>
      <c r="BA208" s="3"/>
      <c r="BB208" s="3"/>
    </row>
    <row r="209" spans="1:54" ht="12" x14ac:dyDescent="0.25">
      <c r="A209" s="3"/>
      <c r="B209" s="212"/>
      <c r="C209" s="278" t="s">
        <v>819</v>
      </c>
      <c r="D209" s="279" t="str">
        <f>IF('WK2 - Notional General Income'!D137="","",'WK2 - Notional General Income'!D137)</f>
        <v/>
      </c>
      <c r="E209" s="557" t="str">
        <f>IF('WK2 - Notional General Income'!M137=".",".",'WK2 - Notional General Income'!M137/'WK2 - Notional General Income'!E137)</f>
        <v>.</v>
      </c>
      <c r="F209" s="557" t="str">
        <f>IF('WK3 - Notional GI Yr1 YIELD'!M137=".",".",'WK3 - Notional GI Yr1 YIELD'!M137/'WK3 - Notional GI Yr1 YIELD'!E137)</f>
        <v>.</v>
      </c>
      <c r="G209" s="578"/>
      <c r="H209" s="578"/>
      <c r="I209" s="578"/>
      <c r="J209" s="578"/>
      <c r="K209" s="578"/>
      <c r="L209" s="578"/>
      <c r="M209" s="220"/>
      <c r="N209" s="3"/>
      <c r="O209" s="655">
        <f>'WK2 - Notional General Income'!$E137</f>
        <v>0</v>
      </c>
      <c r="P209" s="657">
        <f>'WK3 - Notional GI Yr1 YIELD'!$E137</f>
        <v>0</v>
      </c>
      <c r="Q209" s="3"/>
      <c r="R209" s="212"/>
      <c r="S209" s="699" t="str">
        <f t="shared" si="115"/>
        <v>.</v>
      </c>
      <c r="T209" s="700" t="str">
        <f t="shared" si="98"/>
        <v>.</v>
      </c>
      <c r="U209" s="700" t="str">
        <f t="shared" si="127"/>
        <v>.</v>
      </c>
      <c r="V209" s="700" t="str">
        <f t="shared" si="128"/>
        <v>.</v>
      </c>
      <c r="W209" s="700" t="str">
        <f t="shared" si="129"/>
        <v>.</v>
      </c>
      <c r="X209" s="700" t="str">
        <f t="shared" si="130"/>
        <v>.</v>
      </c>
      <c r="Y209" s="701" t="str">
        <f t="shared" si="131"/>
        <v>.</v>
      </c>
      <c r="Z209" s="3"/>
      <c r="AA209" s="985" t="str">
        <f t="shared" si="120"/>
        <v>.</v>
      </c>
      <c r="AB209" s="702" t="str">
        <f t="shared" si="121"/>
        <v>.</v>
      </c>
      <c r="AC209" s="702" t="str">
        <f t="shared" si="122"/>
        <v>.</v>
      </c>
      <c r="AD209" s="702" t="str">
        <f t="shared" si="123"/>
        <v>.</v>
      </c>
      <c r="AE209" s="702" t="str">
        <f t="shared" si="124"/>
        <v>.</v>
      </c>
      <c r="AF209" s="702" t="str">
        <f t="shared" si="125"/>
        <v>.</v>
      </c>
      <c r="AG209" s="986" t="str">
        <f t="shared" si="108"/>
        <v>.</v>
      </c>
      <c r="AH209" s="3"/>
      <c r="AI209" s="699" t="str">
        <f>IF(S209=".",".",SUM($S209:S209))</f>
        <v>.</v>
      </c>
      <c r="AJ209" s="700" t="str">
        <f>IF(T209=".",".",SUM($S209:T209))</f>
        <v>.</v>
      </c>
      <c r="AK209" s="700" t="str">
        <f>IF(U209=".",".",SUM($S209:U209))</f>
        <v>.</v>
      </c>
      <c r="AL209" s="700" t="str">
        <f>IF(V209=".",".",SUM($S209:V209))</f>
        <v>.</v>
      </c>
      <c r="AM209" s="700" t="str">
        <f>IF(W209=".",".",SUM($S209:W209))</f>
        <v>.</v>
      </c>
      <c r="AN209" s="700" t="str">
        <f>IF(X209=".",".",SUM($S209:X209))</f>
        <v>.</v>
      </c>
      <c r="AO209" s="701" t="str">
        <f>IF(Y209=".",".",SUM($S209:Y209))</f>
        <v>.</v>
      </c>
      <c r="AP209" s="3"/>
      <c r="AQ209" s="985" t="str">
        <f t="shared" si="116"/>
        <v>.</v>
      </c>
      <c r="AR209" s="702" t="str">
        <f t="shared" si="109"/>
        <v>.</v>
      </c>
      <c r="AS209" s="702" t="str">
        <f t="shared" si="110"/>
        <v>.</v>
      </c>
      <c r="AT209" s="702" t="str">
        <f t="shared" si="111"/>
        <v>.</v>
      </c>
      <c r="AU209" s="702" t="str">
        <f t="shared" si="112"/>
        <v>.</v>
      </c>
      <c r="AV209" s="702" t="str">
        <f t="shared" si="113"/>
        <v>.</v>
      </c>
      <c r="AW209" s="986" t="str">
        <f t="shared" si="114"/>
        <v>.</v>
      </c>
      <c r="AX209" s="214"/>
      <c r="AY209" s="3"/>
      <c r="AZ209" s="3"/>
      <c r="BA209" s="3"/>
      <c r="BB209" s="3"/>
    </row>
    <row r="210" spans="1:54" ht="12" x14ac:dyDescent="0.25">
      <c r="A210" s="3"/>
      <c r="B210" s="212"/>
      <c r="C210" s="278" t="s">
        <v>819</v>
      </c>
      <c r="D210" s="279" t="str">
        <f>IF('WK2 - Notional General Income'!D138="","",'WK2 - Notional General Income'!D138)</f>
        <v/>
      </c>
      <c r="E210" s="557" t="str">
        <f>IF('WK2 - Notional General Income'!M138=".",".",'WK2 - Notional General Income'!M138/'WK2 - Notional General Income'!E138)</f>
        <v>.</v>
      </c>
      <c r="F210" s="557" t="str">
        <f>IF('WK3 - Notional GI Yr1 YIELD'!M138=".",".",'WK3 - Notional GI Yr1 YIELD'!M138/'WK3 - Notional GI Yr1 YIELD'!E138)</f>
        <v>.</v>
      </c>
      <c r="G210" s="578"/>
      <c r="H210" s="578"/>
      <c r="I210" s="578"/>
      <c r="J210" s="578"/>
      <c r="K210" s="578"/>
      <c r="L210" s="578"/>
      <c r="M210" s="220"/>
      <c r="N210" s="3"/>
      <c r="O210" s="655">
        <f>'WK2 - Notional General Income'!$E138</f>
        <v>0</v>
      </c>
      <c r="P210" s="657">
        <f>'WK3 - Notional GI Yr1 YIELD'!$E138</f>
        <v>0</v>
      </c>
      <c r="Q210" s="3"/>
      <c r="R210" s="212"/>
      <c r="S210" s="699" t="str">
        <f t="shared" si="115"/>
        <v>.</v>
      </c>
      <c r="T210" s="700" t="str">
        <f t="shared" si="98"/>
        <v>.</v>
      </c>
      <c r="U210" s="700" t="str">
        <f t="shared" si="127"/>
        <v>.</v>
      </c>
      <c r="V210" s="700" t="str">
        <f t="shared" si="128"/>
        <v>.</v>
      </c>
      <c r="W210" s="700" t="str">
        <f t="shared" si="129"/>
        <v>.</v>
      </c>
      <c r="X210" s="700" t="str">
        <f t="shared" si="130"/>
        <v>.</v>
      </c>
      <c r="Y210" s="701" t="str">
        <f t="shared" si="131"/>
        <v>.</v>
      </c>
      <c r="Z210" s="3"/>
      <c r="AA210" s="985" t="str">
        <f t="shared" si="120"/>
        <v>.</v>
      </c>
      <c r="AB210" s="702" t="str">
        <f t="shared" si="121"/>
        <v>.</v>
      </c>
      <c r="AC210" s="702" t="str">
        <f t="shared" si="122"/>
        <v>.</v>
      </c>
      <c r="AD210" s="702" t="str">
        <f t="shared" si="123"/>
        <v>.</v>
      </c>
      <c r="AE210" s="702" t="str">
        <f t="shared" si="124"/>
        <v>.</v>
      </c>
      <c r="AF210" s="702" t="str">
        <f t="shared" si="125"/>
        <v>.</v>
      </c>
      <c r="AG210" s="986" t="str">
        <f t="shared" si="108"/>
        <v>.</v>
      </c>
      <c r="AH210" s="3"/>
      <c r="AI210" s="699" t="str">
        <f>IF(S210=".",".",SUM($S210:S210))</f>
        <v>.</v>
      </c>
      <c r="AJ210" s="700" t="str">
        <f>IF(T210=".",".",SUM($S210:T210))</f>
        <v>.</v>
      </c>
      <c r="AK210" s="700" t="str">
        <f>IF(U210=".",".",SUM($S210:U210))</f>
        <v>.</v>
      </c>
      <c r="AL210" s="700" t="str">
        <f>IF(V210=".",".",SUM($S210:V210))</f>
        <v>.</v>
      </c>
      <c r="AM210" s="700" t="str">
        <f>IF(W210=".",".",SUM($S210:W210))</f>
        <v>.</v>
      </c>
      <c r="AN210" s="700" t="str">
        <f>IF(X210=".",".",SUM($S210:X210))</f>
        <v>.</v>
      </c>
      <c r="AO210" s="701" t="str">
        <f>IF(Y210=".",".",SUM($S210:Y210))</f>
        <v>.</v>
      </c>
      <c r="AP210" s="3"/>
      <c r="AQ210" s="985" t="str">
        <f t="shared" si="116"/>
        <v>.</v>
      </c>
      <c r="AR210" s="702" t="str">
        <f t="shared" si="109"/>
        <v>.</v>
      </c>
      <c r="AS210" s="702" t="str">
        <f t="shared" si="110"/>
        <v>.</v>
      </c>
      <c r="AT210" s="702" t="str">
        <f t="shared" si="111"/>
        <v>.</v>
      </c>
      <c r="AU210" s="702" t="str">
        <f t="shared" si="112"/>
        <v>.</v>
      </c>
      <c r="AV210" s="702" t="str">
        <f t="shared" si="113"/>
        <v>.</v>
      </c>
      <c r="AW210" s="986" t="str">
        <f t="shared" si="114"/>
        <v>.</v>
      </c>
      <c r="AX210" s="214"/>
      <c r="AY210" s="3"/>
      <c r="AZ210" s="3"/>
      <c r="BA210" s="3"/>
      <c r="BB210" s="3"/>
    </row>
    <row r="211" spans="1:54" ht="12" x14ac:dyDescent="0.25">
      <c r="A211" s="3"/>
      <c r="B211" s="212"/>
      <c r="C211" s="278" t="s">
        <v>819</v>
      </c>
      <c r="D211" s="279" t="str">
        <f>IF('WK2 - Notional General Income'!D139="","",'WK2 - Notional General Income'!D139)</f>
        <v/>
      </c>
      <c r="E211" s="557" t="str">
        <f>IF('WK2 - Notional General Income'!M139=".",".",'WK2 - Notional General Income'!M139/'WK2 - Notional General Income'!E139)</f>
        <v>.</v>
      </c>
      <c r="F211" s="557" t="str">
        <f>IF('WK3 - Notional GI Yr1 YIELD'!M139=".",".",'WK3 - Notional GI Yr1 YIELD'!M139/'WK3 - Notional GI Yr1 YIELD'!E139)</f>
        <v>.</v>
      </c>
      <c r="G211" s="578"/>
      <c r="H211" s="578"/>
      <c r="I211" s="578"/>
      <c r="J211" s="578"/>
      <c r="K211" s="578"/>
      <c r="L211" s="578"/>
      <c r="M211" s="220"/>
      <c r="N211" s="3"/>
      <c r="O211" s="655">
        <f>'WK2 - Notional General Income'!$E139</f>
        <v>0</v>
      </c>
      <c r="P211" s="657">
        <f>'WK3 - Notional GI Yr1 YIELD'!$E139</f>
        <v>0</v>
      </c>
      <c r="Q211" s="3"/>
      <c r="R211" s="212"/>
      <c r="S211" s="699" t="str">
        <f t="shared" si="115"/>
        <v>.</v>
      </c>
      <c r="T211" s="700" t="str">
        <f t="shared" si="98"/>
        <v>.</v>
      </c>
      <c r="U211" s="700" t="str">
        <f t="shared" si="127"/>
        <v>.</v>
      </c>
      <c r="V211" s="700" t="str">
        <f t="shared" si="128"/>
        <v>.</v>
      </c>
      <c r="W211" s="700" t="str">
        <f t="shared" si="129"/>
        <v>.</v>
      </c>
      <c r="X211" s="700" t="str">
        <f t="shared" si="130"/>
        <v>.</v>
      </c>
      <c r="Y211" s="701" t="str">
        <f t="shared" si="131"/>
        <v>.</v>
      </c>
      <c r="Z211" s="3"/>
      <c r="AA211" s="985" t="str">
        <f t="shared" si="120"/>
        <v>.</v>
      </c>
      <c r="AB211" s="702" t="str">
        <f t="shared" si="121"/>
        <v>.</v>
      </c>
      <c r="AC211" s="702" t="str">
        <f t="shared" si="122"/>
        <v>.</v>
      </c>
      <c r="AD211" s="702" t="str">
        <f t="shared" si="123"/>
        <v>.</v>
      </c>
      <c r="AE211" s="702" t="str">
        <f t="shared" si="124"/>
        <v>.</v>
      </c>
      <c r="AF211" s="702" t="str">
        <f t="shared" si="125"/>
        <v>.</v>
      </c>
      <c r="AG211" s="986" t="str">
        <f t="shared" si="108"/>
        <v>.</v>
      </c>
      <c r="AH211" s="3"/>
      <c r="AI211" s="699" t="str">
        <f>IF(S211=".",".",SUM($S211:S211))</f>
        <v>.</v>
      </c>
      <c r="AJ211" s="700" t="str">
        <f>IF(T211=".",".",SUM($S211:T211))</f>
        <v>.</v>
      </c>
      <c r="AK211" s="700" t="str">
        <f>IF(U211=".",".",SUM($S211:U211))</f>
        <v>.</v>
      </c>
      <c r="AL211" s="700" t="str">
        <f>IF(V211=".",".",SUM($S211:V211))</f>
        <v>.</v>
      </c>
      <c r="AM211" s="700" t="str">
        <f>IF(W211=".",".",SUM($S211:W211))</f>
        <v>.</v>
      </c>
      <c r="AN211" s="700" t="str">
        <f>IF(X211=".",".",SUM($S211:X211))</f>
        <v>.</v>
      </c>
      <c r="AO211" s="701" t="str">
        <f>IF(Y211=".",".",SUM($S211:Y211))</f>
        <v>.</v>
      </c>
      <c r="AP211" s="3"/>
      <c r="AQ211" s="985" t="str">
        <f t="shared" si="116"/>
        <v>.</v>
      </c>
      <c r="AR211" s="702" t="str">
        <f t="shared" si="109"/>
        <v>.</v>
      </c>
      <c r="AS211" s="702" t="str">
        <f t="shared" si="110"/>
        <v>.</v>
      </c>
      <c r="AT211" s="702" t="str">
        <f t="shared" si="111"/>
        <v>.</v>
      </c>
      <c r="AU211" s="702" t="str">
        <f t="shared" si="112"/>
        <v>.</v>
      </c>
      <c r="AV211" s="702" t="str">
        <f t="shared" si="113"/>
        <v>.</v>
      </c>
      <c r="AW211" s="986" t="str">
        <f t="shared" si="114"/>
        <v>.</v>
      </c>
      <c r="AX211" s="214"/>
      <c r="AY211" s="3"/>
      <c r="AZ211" s="3"/>
      <c r="BA211" s="3"/>
      <c r="BB211" s="3"/>
    </row>
    <row r="212" spans="1:54" ht="12" x14ac:dyDescent="0.25">
      <c r="A212" s="3"/>
      <c r="B212" s="212"/>
      <c r="C212" s="278" t="s">
        <v>819</v>
      </c>
      <c r="D212" s="279" t="str">
        <f>IF('WK2 - Notional General Income'!D140="","",'WK2 - Notional General Income'!D140)</f>
        <v/>
      </c>
      <c r="E212" s="557" t="str">
        <f>IF('WK2 - Notional General Income'!M140=".",".",'WK2 - Notional General Income'!M140/'WK2 - Notional General Income'!E140)</f>
        <v>.</v>
      </c>
      <c r="F212" s="557" t="str">
        <f>IF('WK3 - Notional GI Yr1 YIELD'!M140=".",".",'WK3 - Notional GI Yr1 YIELD'!M140/'WK3 - Notional GI Yr1 YIELD'!E140)</f>
        <v>.</v>
      </c>
      <c r="G212" s="578"/>
      <c r="H212" s="578"/>
      <c r="I212" s="578"/>
      <c r="J212" s="578"/>
      <c r="K212" s="578"/>
      <c r="L212" s="578"/>
      <c r="M212" s="220"/>
      <c r="N212" s="3"/>
      <c r="O212" s="655">
        <f>'WK2 - Notional General Income'!$E140</f>
        <v>0</v>
      </c>
      <c r="P212" s="657">
        <f>'WK3 - Notional GI Yr1 YIELD'!$E140</f>
        <v>0</v>
      </c>
      <c r="Q212" s="3"/>
      <c r="R212" s="212"/>
      <c r="S212" s="699" t="str">
        <f t="shared" si="115"/>
        <v>.</v>
      </c>
      <c r="T212" s="700" t="str">
        <f t="shared" si="98"/>
        <v>.</v>
      </c>
      <c r="U212" s="700" t="str">
        <f t="shared" si="127"/>
        <v>.</v>
      </c>
      <c r="V212" s="700" t="str">
        <f t="shared" si="128"/>
        <v>.</v>
      </c>
      <c r="W212" s="700" t="str">
        <f t="shared" si="129"/>
        <v>.</v>
      </c>
      <c r="X212" s="700" t="str">
        <f t="shared" si="130"/>
        <v>.</v>
      </c>
      <c r="Y212" s="701" t="str">
        <f t="shared" si="131"/>
        <v>.</v>
      </c>
      <c r="Z212" s="3"/>
      <c r="AA212" s="985" t="str">
        <f t="shared" si="120"/>
        <v>.</v>
      </c>
      <c r="AB212" s="702" t="str">
        <f t="shared" si="121"/>
        <v>.</v>
      </c>
      <c r="AC212" s="702" t="str">
        <f t="shared" si="122"/>
        <v>.</v>
      </c>
      <c r="AD212" s="702" t="str">
        <f t="shared" si="123"/>
        <v>.</v>
      </c>
      <c r="AE212" s="702" t="str">
        <f t="shared" si="124"/>
        <v>.</v>
      </c>
      <c r="AF212" s="702" t="str">
        <f t="shared" si="125"/>
        <v>.</v>
      </c>
      <c r="AG212" s="986" t="str">
        <f t="shared" si="108"/>
        <v>.</v>
      </c>
      <c r="AH212" s="3"/>
      <c r="AI212" s="699" t="str">
        <f>IF(S212=".",".",SUM($S212:S212))</f>
        <v>.</v>
      </c>
      <c r="AJ212" s="700" t="str">
        <f>IF(T212=".",".",SUM($S212:T212))</f>
        <v>.</v>
      </c>
      <c r="AK212" s="700" t="str">
        <f>IF(U212=".",".",SUM($S212:U212))</f>
        <v>.</v>
      </c>
      <c r="AL212" s="700" t="str">
        <f>IF(V212=".",".",SUM($S212:V212))</f>
        <v>.</v>
      </c>
      <c r="AM212" s="700" t="str">
        <f>IF(W212=".",".",SUM($S212:W212))</f>
        <v>.</v>
      </c>
      <c r="AN212" s="700" t="str">
        <f>IF(X212=".",".",SUM($S212:X212))</f>
        <v>.</v>
      </c>
      <c r="AO212" s="701" t="str">
        <f>IF(Y212=".",".",SUM($S212:Y212))</f>
        <v>.</v>
      </c>
      <c r="AP212" s="3"/>
      <c r="AQ212" s="985" t="str">
        <f t="shared" si="116"/>
        <v>.</v>
      </c>
      <c r="AR212" s="702" t="str">
        <f t="shared" si="109"/>
        <v>.</v>
      </c>
      <c r="AS212" s="702" t="str">
        <f t="shared" si="110"/>
        <v>.</v>
      </c>
      <c r="AT212" s="702" t="str">
        <f t="shared" si="111"/>
        <v>.</v>
      </c>
      <c r="AU212" s="702" t="str">
        <f t="shared" si="112"/>
        <v>.</v>
      </c>
      <c r="AV212" s="702" t="str">
        <f t="shared" si="113"/>
        <v>.</v>
      </c>
      <c r="AW212" s="986" t="str">
        <f t="shared" si="114"/>
        <v>.</v>
      </c>
      <c r="AX212" s="214"/>
      <c r="AY212" s="3"/>
      <c r="AZ212" s="3"/>
      <c r="BA212" s="3"/>
      <c r="BB212" s="3"/>
    </row>
    <row r="213" spans="1:54" ht="12" x14ac:dyDescent="0.25">
      <c r="A213" s="3"/>
      <c r="B213" s="212"/>
      <c r="C213" s="278" t="s">
        <v>819</v>
      </c>
      <c r="D213" s="279" t="str">
        <f>IF('WK2 - Notional General Income'!D141="","",'WK2 - Notional General Income'!D141)</f>
        <v/>
      </c>
      <c r="E213" s="557" t="str">
        <f>IF('WK2 - Notional General Income'!M141=".",".",'WK2 - Notional General Income'!M141/'WK2 - Notional General Income'!E141)</f>
        <v>.</v>
      </c>
      <c r="F213" s="557" t="str">
        <f>IF('WK3 - Notional GI Yr1 YIELD'!M141=".",".",'WK3 - Notional GI Yr1 YIELD'!M141/'WK3 - Notional GI Yr1 YIELD'!E141)</f>
        <v>.</v>
      </c>
      <c r="G213" s="578"/>
      <c r="H213" s="578"/>
      <c r="I213" s="578"/>
      <c r="J213" s="578"/>
      <c r="K213" s="578"/>
      <c r="L213" s="578"/>
      <c r="M213" s="220"/>
      <c r="N213" s="3"/>
      <c r="O213" s="655">
        <f>'WK2 - Notional General Income'!$E141</f>
        <v>0</v>
      </c>
      <c r="P213" s="657">
        <f>'WK3 - Notional GI Yr1 YIELD'!$E141</f>
        <v>0</v>
      </c>
      <c r="Q213" s="3"/>
      <c r="R213" s="212"/>
      <c r="S213" s="699" t="str">
        <f t="shared" si="115"/>
        <v>.</v>
      </c>
      <c r="T213" s="700" t="str">
        <f t="shared" si="98"/>
        <v>.</v>
      </c>
      <c r="U213" s="700" t="str">
        <f t="shared" si="127"/>
        <v>.</v>
      </c>
      <c r="V213" s="700" t="str">
        <f t="shared" si="128"/>
        <v>.</v>
      </c>
      <c r="W213" s="700" t="str">
        <f t="shared" si="129"/>
        <v>.</v>
      </c>
      <c r="X213" s="700" t="str">
        <f t="shared" si="130"/>
        <v>.</v>
      </c>
      <c r="Y213" s="701" t="str">
        <f t="shared" si="131"/>
        <v>.</v>
      </c>
      <c r="Z213" s="3"/>
      <c r="AA213" s="985" t="str">
        <f t="shared" si="120"/>
        <v>.</v>
      </c>
      <c r="AB213" s="702" t="str">
        <f t="shared" si="121"/>
        <v>.</v>
      </c>
      <c r="AC213" s="702" t="str">
        <f t="shared" si="122"/>
        <v>.</v>
      </c>
      <c r="AD213" s="702" t="str">
        <f t="shared" si="123"/>
        <v>.</v>
      </c>
      <c r="AE213" s="702" t="str">
        <f t="shared" si="124"/>
        <v>.</v>
      </c>
      <c r="AF213" s="702" t="str">
        <f t="shared" si="125"/>
        <v>.</v>
      </c>
      <c r="AG213" s="986" t="str">
        <f t="shared" si="108"/>
        <v>.</v>
      </c>
      <c r="AH213" s="3"/>
      <c r="AI213" s="699" t="str">
        <f>IF(S213=".",".",SUM($S213:S213))</f>
        <v>.</v>
      </c>
      <c r="AJ213" s="700" t="str">
        <f>IF(T213=".",".",SUM($S213:T213))</f>
        <v>.</v>
      </c>
      <c r="AK213" s="700" t="str">
        <f>IF(U213=".",".",SUM($S213:U213))</f>
        <v>.</v>
      </c>
      <c r="AL213" s="700" t="str">
        <f>IF(V213=".",".",SUM($S213:V213))</f>
        <v>.</v>
      </c>
      <c r="AM213" s="700" t="str">
        <f>IF(W213=".",".",SUM($S213:W213))</f>
        <v>.</v>
      </c>
      <c r="AN213" s="700" t="str">
        <f>IF(X213=".",".",SUM($S213:X213))</f>
        <v>.</v>
      </c>
      <c r="AO213" s="701" t="str">
        <f>IF(Y213=".",".",SUM($S213:Y213))</f>
        <v>.</v>
      </c>
      <c r="AP213" s="3"/>
      <c r="AQ213" s="985" t="str">
        <f t="shared" si="116"/>
        <v>.</v>
      </c>
      <c r="AR213" s="702" t="str">
        <f t="shared" si="109"/>
        <v>.</v>
      </c>
      <c r="AS213" s="702" t="str">
        <f t="shared" si="110"/>
        <v>.</v>
      </c>
      <c r="AT213" s="702" t="str">
        <f t="shared" si="111"/>
        <v>.</v>
      </c>
      <c r="AU213" s="702" t="str">
        <f t="shared" si="112"/>
        <v>.</v>
      </c>
      <c r="AV213" s="702" t="str">
        <f t="shared" si="113"/>
        <v>.</v>
      </c>
      <c r="AW213" s="986" t="str">
        <f t="shared" si="114"/>
        <v>.</v>
      </c>
      <c r="AX213" s="214"/>
      <c r="AY213" s="3"/>
      <c r="AZ213" s="3"/>
      <c r="BA213" s="3"/>
      <c r="BB213" s="3"/>
    </row>
    <row r="214" spans="1:54" ht="12" x14ac:dyDescent="0.25">
      <c r="A214" s="3"/>
      <c r="B214" s="212"/>
      <c r="C214" s="278" t="s">
        <v>819</v>
      </c>
      <c r="D214" s="279" t="str">
        <f>IF('WK2 - Notional General Income'!D142="","",'WK2 - Notional General Income'!D142)</f>
        <v/>
      </c>
      <c r="E214" s="557" t="str">
        <f>IF('WK2 - Notional General Income'!M142=".",".",'WK2 - Notional General Income'!M142/'WK2 - Notional General Income'!E142)</f>
        <v>.</v>
      </c>
      <c r="F214" s="557" t="str">
        <f>IF('WK3 - Notional GI Yr1 YIELD'!M142=".",".",'WK3 - Notional GI Yr1 YIELD'!M142/'WK3 - Notional GI Yr1 YIELD'!E142)</f>
        <v>.</v>
      </c>
      <c r="G214" s="578"/>
      <c r="H214" s="578"/>
      <c r="I214" s="578"/>
      <c r="J214" s="578"/>
      <c r="K214" s="578"/>
      <c r="L214" s="578"/>
      <c r="M214" s="220"/>
      <c r="N214" s="3"/>
      <c r="O214" s="655">
        <f>'WK2 - Notional General Income'!$E142</f>
        <v>0</v>
      </c>
      <c r="P214" s="657">
        <f>'WK3 - Notional GI Yr1 YIELD'!$E142</f>
        <v>0</v>
      </c>
      <c r="Q214" s="3"/>
      <c r="R214" s="212"/>
      <c r="S214" s="699" t="str">
        <f t="shared" si="115"/>
        <v>.</v>
      </c>
      <c r="T214" s="700" t="str">
        <f t="shared" si="98"/>
        <v>.</v>
      </c>
      <c r="U214" s="700" t="str">
        <f t="shared" si="127"/>
        <v>.</v>
      </c>
      <c r="V214" s="700" t="str">
        <f t="shared" si="128"/>
        <v>.</v>
      </c>
      <c r="W214" s="700" t="str">
        <f t="shared" si="129"/>
        <v>.</v>
      </c>
      <c r="X214" s="700" t="str">
        <f t="shared" si="130"/>
        <v>.</v>
      </c>
      <c r="Y214" s="701" t="str">
        <f t="shared" si="131"/>
        <v>.</v>
      </c>
      <c r="Z214" s="3"/>
      <c r="AA214" s="985" t="str">
        <f t="shared" si="120"/>
        <v>.</v>
      </c>
      <c r="AB214" s="702" t="str">
        <f t="shared" si="121"/>
        <v>.</v>
      </c>
      <c r="AC214" s="702" t="str">
        <f t="shared" si="122"/>
        <v>.</v>
      </c>
      <c r="AD214" s="702" t="str">
        <f t="shared" si="123"/>
        <v>.</v>
      </c>
      <c r="AE214" s="702" t="str">
        <f t="shared" si="124"/>
        <v>.</v>
      </c>
      <c r="AF214" s="702" t="str">
        <f t="shared" si="125"/>
        <v>.</v>
      </c>
      <c r="AG214" s="986" t="str">
        <f t="shared" si="108"/>
        <v>.</v>
      </c>
      <c r="AH214" s="3"/>
      <c r="AI214" s="699" t="str">
        <f>IF(S214=".",".",SUM($S214:S214))</f>
        <v>.</v>
      </c>
      <c r="AJ214" s="700" t="str">
        <f>IF(T214=".",".",SUM($S214:T214))</f>
        <v>.</v>
      </c>
      <c r="AK214" s="700" t="str">
        <f>IF(U214=".",".",SUM($S214:U214))</f>
        <v>.</v>
      </c>
      <c r="AL214" s="700" t="str">
        <f>IF(V214=".",".",SUM($S214:V214))</f>
        <v>.</v>
      </c>
      <c r="AM214" s="700" t="str">
        <f>IF(W214=".",".",SUM($S214:W214))</f>
        <v>.</v>
      </c>
      <c r="AN214" s="700" t="str">
        <f>IF(X214=".",".",SUM($S214:X214))</f>
        <v>.</v>
      </c>
      <c r="AO214" s="701" t="str">
        <f>IF(Y214=".",".",SUM($S214:Y214))</f>
        <v>.</v>
      </c>
      <c r="AP214" s="3"/>
      <c r="AQ214" s="985" t="str">
        <f t="shared" si="116"/>
        <v>.</v>
      </c>
      <c r="AR214" s="702" t="str">
        <f t="shared" si="109"/>
        <v>.</v>
      </c>
      <c r="AS214" s="702" t="str">
        <f t="shared" si="110"/>
        <v>.</v>
      </c>
      <c r="AT214" s="702" t="str">
        <f t="shared" si="111"/>
        <v>.</v>
      </c>
      <c r="AU214" s="702" t="str">
        <f t="shared" si="112"/>
        <v>.</v>
      </c>
      <c r="AV214" s="702" t="str">
        <f t="shared" si="113"/>
        <v>.</v>
      </c>
      <c r="AW214" s="986" t="str">
        <f t="shared" si="114"/>
        <v>.</v>
      </c>
      <c r="AX214" s="214"/>
      <c r="AY214" s="3"/>
      <c r="AZ214" s="3"/>
      <c r="BA214" s="3"/>
      <c r="BB214" s="3"/>
    </row>
    <row r="215" spans="1:54" ht="12" x14ac:dyDescent="0.25">
      <c r="A215" s="3"/>
      <c r="B215" s="212"/>
      <c r="C215" s="139" t="s">
        <v>819</v>
      </c>
      <c r="D215" s="141" t="str">
        <f>IF('WK2 - Notional General Income'!D143="","",'WK2 - Notional General Income'!D143)</f>
        <v/>
      </c>
      <c r="E215" s="558" t="str">
        <f>IF('WK2 - Notional General Income'!M143=".",".",'WK2 - Notional General Income'!M143/'WK2 - Notional General Income'!E143)</f>
        <v>.</v>
      </c>
      <c r="F215" s="558" t="str">
        <f>IF('WK3 - Notional GI Yr1 YIELD'!M143=".",".",'WK3 - Notional GI Yr1 YIELD'!M143/'WK3 - Notional GI Yr1 YIELD'!E143)</f>
        <v>.</v>
      </c>
      <c r="G215" s="163"/>
      <c r="H215" s="163"/>
      <c r="I215" s="163"/>
      <c r="J215" s="163"/>
      <c r="K215" s="163"/>
      <c r="L215" s="163"/>
      <c r="M215" s="220"/>
      <c r="N215" s="3"/>
      <c r="O215" s="655">
        <f>'WK2 - Notional General Income'!$E143</f>
        <v>0</v>
      </c>
      <c r="P215" s="657">
        <f>'WK3 - Notional GI Yr1 YIELD'!$E143</f>
        <v>0</v>
      </c>
      <c r="Q215" s="3"/>
      <c r="R215" s="212"/>
      <c r="S215" s="699" t="str">
        <f t="shared" si="115"/>
        <v>.</v>
      </c>
      <c r="T215" s="700" t="str">
        <f t="shared" si="98"/>
        <v>.</v>
      </c>
      <c r="U215" s="700" t="str">
        <f t="shared" si="127"/>
        <v>.</v>
      </c>
      <c r="V215" s="700" t="str">
        <f t="shared" si="128"/>
        <v>.</v>
      </c>
      <c r="W215" s="700" t="str">
        <f t="shared" si="129"/>
        <v>.</v>
      </c>
      <c r="X215" s="700" t="str">
        <f t="shared" si="130"/>
        <v>.</v>
      </c>
      <c r="Y215" s="701" t="str">
        <f t="shared" si="131"/>
        <v>.</v>
      </c>
      <c r="Z215" s="3"/>
      <c r="AA215" s="985" t="str">
        <f t="shared" si="120"/>
        <v>.</v>
      </c>
      <c r="AB215" s="702" t="str">
        <f t="shared" si="121"/>
        <v>.</v>
      </c>
      <c r="AC215" s="702" t="str">
        <f t="shared" si="122"/>
        <v>.</v>
      </c>
      <c r="AD215" s="702" t="str">
        <f t="shared" si="123"/>
        <v>.</v>
      </c>
      <c r="AE215" s="702" t="str">
        <f t="shared" si="124"/>
        <v>.</v>
      </c>
      <c r="AF215" s="702" t="str">
        <f t="shared" si="125"/>
        <v>.</v>
      </c>
      <c r="AG215" s="986" t="str">
        <f t="shared" si="108"/>
        <v>.</v>
      </c>
      <c r="AH215" s="3"/>
      <c r="AI215" s="699" t="str">
        <f>IF(S215=".",".",SUM($S215:S215))</f>
        <v>.</v>
      </c>
      <c r="AJ215" s="700" t="str">
        <f>IF(T215=".",".",SUM($S215:T215))</f>
        <v>.</v>
      </c>
      <c r="AK215" s="700" t="str">
        <f>IF(U215=".",".",SUM($S215:U215))</f>
        <v>.</v>
      </c>
      <c r="AL215" s="700" t="str">
        <f>IF(V215=".",".",SUM($S215:V215))</f>
        <v>.</v>
      </c>
      <c r="AM215" s="700" t="str">
        <f>IF(W215=".",".",SUM($S215:W215))</f>
        <v>.</v>
      </c>
      <c r="AN215" s="700" t="str">
        <f>IF(X215=".",".",SUM($S215:X215))</f>
        <v>.</v>
      </c>
      <c r="AO215" s="701" t="str">
        <f>IF(Y215=".",".",SUM($S215:Y215))</f>
        <v>.</v>
      </c>
      <c r="AP215" s="3"/>
      <c r="AQ215" s="985" t="str">
        <f t="shared" si="116"/>
        <v>.</v>
      </c>
      <c r="AR215" s="702" t="str">
        <f t="shared" si="109"/>
        <v>.</v>
      </c>
      <c r="AS215" s="702" t="str">
        <f t="shared" si="110"/>
        <v>.</v>
      </c>
      <c r="AT215" s="702" t="str">
        <f t="shared" si="111"/>
        <v>.</v>
      </c>
      <c r="AU215" s="702" t="str">
        <f t="shared" si="112"/>
        <v>.</v>
      </c>
      <c r="AV215" s="702" t="str">
        <f t="shared" si="113"/>
        <v>.</v>
      </c>
      <c r="AW215" s="986" t="str">
        <f t="shared" si="114"/>
        <v>.</v>
      </c>
      <c r="AX215" s="214"/>
      <c r="AY215" s="3"/>
      <c r="AZ215" s="3"/>
      <c r="BA215" s="3"/>
      <c r="BB215" s="3"/>
    </row>
    <row r="216" spans="1:54" s="26" customFormat="1" ht="12" x14ac:dyDescent="0.25">
      <c r="A216" s="3"/>
      <c r="B216" s="212"/>
      <c r="C216" s="148"/>
      <c r="D216" s="148" t="s">
        <v>820</v>
      </c>
      <c r="E216" s="250" t="str">
        <f>IF($O216=0,".",SUMPRODUCT(E196:E215,$O196:$O215)/$O216)</f>
        <v>.</v>
      </c>
      <c r="F216" s="251" t="str">
        <f t="shared" ref="F216" si="134">IF($P216=0,".",SUMPRODUCT(F196:F215,$P196:$P215)/$P216)</f>
        <v>.</v>
      </c>
      <c r="G216" s="251" t="str">
        <f t="shared" ref="G216:L216" si="135">IF($P216=0,".",SUMPRODUCT(G196:G215,$P196:$P215)/$P216)</f>
        <v>.</v>
      </c>
      <c r="H216" s="251" t="str">
        <f t="shared" si="135"/>
        <v>.</v>
      </c>
      <c r="I216" s="251" t="str">
        <f t="shared" si="135"/>
        <v>.</v>
      </c>
      <c r="J216" s="251" t="str">
        <f t="shared" si="135"/>
        <v>.</v>
      </c>
      <c r="K216" s="251" t="str">
        <f t="shared" si="135"/>
        <v>.</v>
      </c>
      <c r="L216" s="251" t="str">
        <f t="shared" si="135"/>
        <v>.</v>
      </c>
      <c r="M216" s="220"/>
      <c r="N216" s="2"/>
      <c r="O216" s="713">
        <f>SUM(O196:O205)</f>
        <v>0</v>
      </c>
      <c r="P216" s="714">
        <f>SUM(P196:P205)</f>
        <v>0</v>
      </c>
      <c r="Q216" s="2"/>
      <c r="R216" s="221"/>
      <c r="S216" s="706" t="str">
        <f t="shared" si="115"/>
        <v>.</v>
      </c>
      <c r="T216" s="707" t="str">
        <f t="shared" si="98"/>
        <v>.</v>
      </c>
      <c r="U216" s="707" t="str">
        <f t="shared" ref="U216:Y216" si="136">IF(H216=".",".",H216-G216)</f>
        <v>.</v>
      </c>
      <c r="V216" s="707" t="str">
        <f t="shared" si="136"/>
        <v>.</v>
      </c>
      <c r="W216" s="707" t="str">
        <f t="shared" si="136"/>
        <v>.</v>
      </c>
      <c r="X216" s="707" t="str">
        <f t="shared" si="136"/>
        <v>.</v>
      </c>
      <c r="Y216" s="708" t="str">
        <f t="shared" si="136"/>
        <v>.</v>
      </c>
      <c r="Z216" s="2"/>
      <c r="AA216" s="990" t="str">
        <f t="shared" si="120"/>
        <v>.</v>
      </c>
      <c r="AB216" s="991" t="str">
        <f t="shared" si="121"/>
        <v>.</v>
      </c>
      <c r="AC216" s="991" t="str">
        <f t="shared" si="122"/>
        <v>.</v>
      </c>
      <c r="AD216" s="991" t="str">
        <f t="shared" si="123"/>
        <v>.</v>
      </c>
      <c r="AE216" s="991" t="str">
        <f t="shared" si="124"/>
        <v>.</v>
      </c>
      <c r="AF216" s="991" t="str">
        <f t="shared" si="125"/>
        <v>.</v>
      </c>
      <c r="AG216" s="992" t="str">
        <f t="shared" si="108"/>
        <v>.</v>
      </c>
      <c r="AH216" s="2"/>
      <c r="AI216" s="706" t="str">
        <f>IF(S216=".",".",SUM($S216:S216))</f>
        <v>.</v>
      </c>
      <c r="AJ216" s="707" t="str">
        <f>IF(T216=".",".",SUM($S216:T216))</f>
        <v>.</v>
      </c>
      <c r="AK216" s="707" t="str">
        <f>IF(U216=".",".",SUM($S216:U216))</f>
        <v>.</v>
      </c>
      <c r="AL216" s="707" t="str">
        <f>IF(V216=".",".",SUM($S216:V216))</f>
        <v>.</v>
      </c>
      <c r="AM216" s="707" t="str">
        <f>IF(W216=".",".",SUM($S216:W216))</f>
        <v>.</v>
      </c>
      <c r="AN216" s="707" t="str">
        <f>IF(X216=".",".",SUM($S216:X216))</f>
        <v>.</v>
      </c>
      <c r="AO216" s="708" t="str">
        <f>IF(Y216=".",".",SUM($S216:Y216))</f>
        <v>.</v>
      </c>
      <c r="AP216" s="3"/>
      <c r="AQ216" s="990" t="str">
        <f t="shared" si="116"/>
        <v>.</v>
      </c>
      <c r="AR216" s="991" t="str">
        <f t="shared" si="109"/>
        <v>.</v>
      </c>
      <c r="AS216" s="991" t="str">
        <f t="shared" si="110"/>
        <v>.</v>
      </c>
      <c r="AT216" s="991" t="str">
        <f t="shared" si="111"/>
        <v>.</v>
      </c>
      <c r="AU216" s="991" t="str">
        <f t="shared" si="112"/>
        <v>.</v>
      </c>
      <c r="AV216" s="991" t="str">
        <f t="shared" si="113"/>
        <v>.</v>
      </c>
      <c r="AW216" s="992" t="str">
        <f t="shared" si="114"/>
        <v>.</v>
      </c>
      <c r="AX216" s="229"/>
      <c r="AY216" s="2"/>
      <c r="AZ216" s="2"/>
      <c r="BA216" s="2"/>
      <c r="BB216" s="2"/>
    </row>
    <row r="217" spans="1:54" ht="12" x14ac:dyDescent="0.25">
      <c r="A217" s="3"/>
      <c r="B217" s="212"/>
      <c r="C217" s="3"/>
      <c r="D217" s="3"/>
      <c r="E217" s="77"/>
      <c r="F217" s="77"/>
      <c r="G217" s="3"/>
      <c r="H217" s="3"/>
      <c r="I217" s="3"/>
      <c r="J217" s="3"/>
      <c r="K217" s="3"/>
      <c r="L217" s="3"/>
      <c r="M217" s="220"/>
      <c r="N217" s="3"/>
      <c r="O217" s="3"/>
      <c r="P217" s="3"/>
      <c r="Q217" s="3"/>
      <c r="R217" s="212"/>
      <c r="S217" s="249"/>
      <c r="T217" s="249"/>
      <c r="U217" s="249"/>
      <c r="V217" s="249"/>
      <c r="W217" s="249"/>
      <c r="X217" s="249"/>
      <c r="Y217" s="249"/>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214"/>
      <c r="AY217" s="3"/>
      <c r="AZ217" s="3"/>
      <c r="BA217" s="3"/>
      <c r="BB217" s="3"/>
    </row>
    <row r="218" spans="1:54" ht="12" x14ac:dyDescent="0.25">
      <c r="A218" s="3"/>
      <c r="B218" s="212"/>
      <c r="C218" s="2"/>
      <c r="D218" s="3"/>
      <c r="E218" s="77"/>
      <c r="F218" s="77"/>
      <c r="G218" s="3"/>
      <c r="H218" s="3"/>
      <c r="I218" s="3"/>
      <c r="J218" s="3"/>
      <c r="K218" s="3"/>
      <c r="L218" s="3"/>
      <c r="M218" s="220"/>
      <c r="N218" s="3"/>
      <c r="O218" s="3"/>
      <c r="P218" s="3"/>
      <c r="Q218" s="3"/>
      <c r="R218" s="212"/>
      <c r="S218" s="249"/>
      <c r="T218" s="249"/>
      <c r="U218" s="249"/>
      <c r="V218" s="249"/>
      <c r="W218" s="249"/>
      <c r="X218" s="249"/>
      <c r="Y218" s="249"/>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214"/>
      <c r="AY218" s="3"/>
      <c r="AZ218" s="3"/>
      <c r="BA218" s="3"/>
      <c r="BB218" s="3"/>
    </row>
    <row r="219" spans="1:54" ht="9" customHeight="1" x14ac:dyDescent="0.25">
      <c r="A219" s="3"/>
      <c r="B219" s="212"/>
      <c r="C219" s="2"/>
      <c r="D219" s="3"/>
      <c r="E219" s="77"/>
      <c r="F219" s="77"/>
      <c r="G219" s="3"/>
      <c r="H219" s="3"/>
      <c r="I219" s="3"/>
      <c r="J219" s="3"/>
      <c r="K219" s="3"/>
      <c r="L219" s="3"/>
      <c r="M219" s="220"/>
      <c r="N219" s="3"/>
      <c r="O219" s="3"/>
      <c r="P219" s="3"/>
      <c r="Q219" s="3"/>
      <c r="R219" s="212"/>
      <c r="S219" s="249"/>
      <c r="T219" s="249"/>
      <c r="U219" s="249"/>
      <c r="V219" s="249"/>
      <c r="W219" s="249"/>
      <c r="X219" s="249"/>
      <c r="Y219" s="249"/>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214"/>
      <c r="AY219" s="3"/>
      <c r="AZ219" s="3"/>
      <c r="BA219" s="3"/>
      <c r="BB219" s="3"/>
    </row>
    <row r="220" spans="1:54" ht="13.8" x14ac:dyDescent="0.25">
      <c r="A220" s="3"/>
      <c r="B220" s="212"/>
      <c r="C220" s="179" t="s">
        <v>821</v>
      </c>
      <c r="D220" s="180"/>
      <c r="E220" s="556"/>
      <c r="F220" s="556"/>
      <c r="G220" s="181"/>
      <c r="H220" s="181"/>
      <c r="I220" s="181"/>
      <c r="J220" s="181"/>
      <c r="K220" s="246" t="str">
        <f>$H$21</f>
        <v>$ nominal per year</v>
      </c>
      <c r="L220" s="182"/>
      <c r="M220" s="220"/>
      <c r="N220" s="3"/>
      <c r="O220" s="1234" t="str">
        <f>O96</f>
        <v>Number of Assessments</v>
      </c>
      <c r="P220" s="929"/>
      <c r="Q220" s="3"/>
      <c r="R220" s="212"/>
      <c r="S220" s="620" t="str">
        <f>S$21</f>
        <v>Annual increases (nominal $ per year)</v>
      </c>
      <c r="T220" s="3"/>
      <c r="U220" s="3"/>
      <c r="V220" s="3"/>
      <c r="W220" s="3"/>
      <c r="X220" s="3"/>
      <c r="Y220" s="3"/>
      <c r="Z220" s="3"/>
      <c r="AA220" s="620" t="str">
        <f>AA$21</f>
        <v>Annual increases (%)</v>
      </c>
      <c r="AB220" s="3"/>
      <c r="AC220" s="3"/>
      <c r="AD220" s="3"/>
      <c r="AE220" s="3"/>
      <c r="AF220" s="3"/>
      <c r="AG220" s="3"/>
      <c r="AH220" s="3"/>
      <c r="AI220" s="620" t="str">
        <f>AI$21</f>
        <v>Cumulative increases (nominal $ per year)</v>
      </c>
      <c r="AJ220" s="3"/>
      <c r="AK220" s="3"/>
      <c r="AL220" s="3"/>
      <c r="AM220" s="3"/>
      <c r="AN220" s="3"/>
      <c r="AO220" s="3"/>
      <c r="AP220" s="3"/>
      <c r="AQ220" s="620" t="str">
        <f>AQ$21</f>
        <v>Cumulative increases (%)</v>
      </c>
      <c r="AR220" s="3"/>
      <c r="AS220" s="3"/>
      <c r="AT220" s="3"/>
      <c r="AU220" s="3"/>
      <c r="AV220" s="3"/>
      <c r="AW220" s="3"/>
      <c r="AX220" s="214"/>
      <c r="AY220" s="3"/>
      <c r="AZ220" s="3"/>
      <c r="BA220" s="3"/>
      <c r="BB220" s="3"/>
    </row>
    <row r="221" spans="1:54" ht="39" customHeight="1" x14ac:dyDescent="0.25">
      <c r="A221" s="3"/>
      <c r="B221" s="212"/>
      <c r="C221" s="1232" t="s">
        <v>797</v>
      </c>
      <c r="D221" s="1233" t="s">
        <v>798</v>
      </c>
      <c r="E221" s="178" t="s">
        <v>810</v>
      </c>
      <c r="F221" s="178" t="s">
        <v>811</v>
      </c>
      <c r="G221" s="178" t="s">
        <v>812</v>
      </c>
      <c r="H221" s="178" t="s">
        <v>813</v>
      </c>
      <c r="I221" s="178" t="s">
        <v>814</v>
      </c>
      <c r="J221" s="178" t="s">
        <v>815</v>
      </c>
      <c r="K221" s="178" t="s">
        <v>816</v>
      </c>
      <c r="L221" s="178" t="s">
        <v>817</v>
      </c>
      <c r="M221" s="220"/>
      <c r="N221" s="3"/>
      <c r="O221" s="253"/>
      <c r="P221" s="96"/>
      <c r="Q221" s="3"/>
      <c r="R221" s="212"/>
      <c r="S221" s="1205" t="s">
        <v>822</v>
      </c>
      <c r="T221" s="928"/>
      <c r="U221" s="928"/>
      <c r="V221" s="928"/>
      <c r="W221" s="928"/>
      <c r="X221" s="928"/>
      <c r="Y221" s="929"/>
      <c r="Z221" s="3"/>
      <c r="AA221" s="1234" t="str">
        <f>$S221</f>
        <v xml:space="preserve">Average Rates - without proposed special variation </v>
      </c>
      <c r="AB221" s="928"/>
      <c r="AC221" s="928"/>
      <c r="AD221" s="928"/>
      <c r="AE221" s="928"/>
      <c r="AF221" s="928"/>
      <c r="AG221" s="929"/>
      <c r="AH221" s="3"/>
      <c r="AI221" s="1234" t="str">
        <f>$S221</f>
        <v xml:space="preserve">Average Rates - without proposed special variation </v>
      </c>
      <c r="AJ221" s="928"/>
      <c r="AK221" s="928"/>
      <c r="AL221" s="928"/>
      <c r="AM221" s="928"/>
      <c r="AN221" s="928"/>
      <c r="AO221" s="929"/>
      <c r="AP221" s="3"/>
      <c r="AQ221" s="1234" t="str">
        <f>$S221</f>
        <v xml:space="preserve">Average Rates - without proposed special variation </v>
      </c>
      <c r="AR221" s="928"/>
      <c r="AS221" s="928"/>
      <c r="AT221" s="928"/>
      <c r="AU221" s="928"/>
      <c r="AV221" s="928"/>
      <c r="AW221" s="929"/>
      <c r="AX221" s="214"/>
      <c r="AY221" s="3"/>
      <c r="AZ221" s="3"/>
      <c r="BA221" s="3"/>
      <c r="BB221" s="3"/>
    </row>
    <row r="222" spans="1:54" ht="12" x14ac:dyDescent="0.25">
      <c r="A222" s="3"/>
      <c r="B222" s="212"/>
      <c r="C222" s="139"/>
      <c r="D222" s="139"/>
      <c r="E222" s="1245" t="str">
        <f t="shared" ref="E222:L222" si="137">E97</f>
        <v>2022-23</v>
      </c>
      <c r="F222" s="1245" t="str">
        <f t="shared" si="137"/>
        <v>2023-24</v>
      </c>
      <c r="G222" s="146" t="str">
        <f t="shared" si="137"/>
        <v>2024-25</v>
      </c>
      <c r="H222" s="146" t="str">
        <f t="shared" si="137"/>
        <v>2025-26</v>
      </c>
      <c r="I222" s="146" t="str">
        <f t="shared" si="137"/>
        <v>2026-27</v>
      </c>
      <c r="J222" s="146" t="str">
        <f t="shared" si="137"/>
        <v>2027-28</v>
      </c>
      <c r="K222" s="146" t="str">
        <f t="shared" si="137"/>
        <v>2028-29</v>
      </c>
      <c r="L222" s="146" t="str">
        <f t="shared" si="137"/>
        <v>2029-30</v>
      </c>
      <c r="M222" s="220"/>
      <c r="N222" s="3"/>
      <c r="O222" s="709" t="str">
        <f t="shared" ref="O222:P241" si="138">O97</f>
        <v>2022-23</v>
      </c>
      <c r="P222" s="710" t="str">
        <f t="shared" si="138"/>
        <v>2023-24</v>
      </c>
      <c r="Q222" s="3"/>
      <c r="R222" s="212"/>
      <c r="S222" s="696" t="str">
        <f>S$23</f>
        <v>Year 1</v>
      </c>
      <c r="T222" s="697" t="str">
        <f t="shared" ref="T222:Y222" si="139">T$23</f>
        <v>Year 2</v>
      </c>
      <c r="U222" s="697" t="str">
        <f t="shared" si="139"/>
        <v>Year 3</v>
      </c>
      <c r="V222" s="697" t="str">
        <f t="shared" si="139"/>
        <v>Year 4</v>
      </c>
      <c r="W222" s="697" t="str">
        <f t="shared" si="139"/>
        <v>Year 5</v>
      </c>
      <c r="X222" s="697" t="str">
        <f t="shared" si="139"/>
        <v>Year 6</v>
      </c>
      <c r="Y222" s="698" t="str">
        <f t="shared" si="139"/>
        <v>Year 7</v>
      </c>
      <c r="Z222" s="80"/>
      <c r="AA222" s="696" t="str">
        <f t="shared" ref="AA222:AG222" si="140">AA$23</f>
        <v>Year 1</v>
      </c>
      <c r="AB222" s="697" t="str">
        <f t="shared" si="140"/>
        <v>Year 2</v>
      </c>
      <c r="AC222" s="697" t="str">
        <f t="shared" si="140"/>
        <v>Year 3</v>
      </c>
      <c r="AD222" s="697" t="str">
        <f t="shared" si="140"/>
        <v>Year 4</v>
      </c>
      <c r="AE222" s="697" t="str">
        <f t="shared" si="140"/>
        <v>Year 5</v>
      </c>
      <c r="AF222" s="697" t="str">
        <f t="shared" si="140"/>
        <v>Year 6</v>
      </c>
      <c r="AG222" s="698" t="str">
        <f t="shared" si="140"/>
        <v>Year 7</v>
      </c>
      <c r="AH222" s="80"/>
      <c r="AI222" s="696" t="str">
        <f>AI$23</f>
        <v>Year 1</v>
      </c>
      <c r="AJ222" s="697" t="str">
        <f t="shared" ref="AJ222:AO222" si="141">AJ$23</f>
        <v>Year 2</v>
      </c>
      <c r="AK222" s="697" t="str">
        <f t="shared" si="141"/>
        <v>Year 3</v>
      </c>
      <c r="AL222" s="697" t="str">
        <f t="shared" si="141"/>
        <v>Year 4</v>
      </c>
      <c r="AM222" s="697" t="str">
        <f t="shared" si="141"/>
        <v>Year 5</v>
      </c>
      <c r="AN222" s="697" t="str">
        <f t="shared" si="141"/>
        <v>Year 6</v>
      </c>
      <c r="AO222" s="698" t="str">
        <f t="shared" si="141"/>
        <v>Year 7</v>
      </c>
      <c r="AP222" s="80"/>
      <c r="AQ222" s="696" t="str">
        <f>AQ$23</f>
        <v>Year 1</v>
      </c>
      <c r="AR222" s="697" t="str">
        <f t="shared" ref="AR222:AW222" si="142">AR$23</f>
        <v>Year 2</v>
      </c>
      <c r="AS222" s="697" t="str">
        <f t="shared" si="142"/>
        <v>Year 3</v>
      </c>
      <c r="AT222" s="697" t="str">
        <f t="shared" si="142"/>
        <v>Year 4</v>
      </c>
      <c r="AU222" s="697" t="str">
        <f t="shared" si="142"/>
        <v>Year 5</v>
      </c>
      <c r="AV222" s="697" t="str">
        <f t="shared" si="142"/>
        <v>Year 6</v>
      </c>
      <c r="AW222" s="698" t="str">
        <f t="shared" si="142"/>
        <v>Year 7</v>
      </c>
      <c r="AX222" s="214"/>
      <c r="AY222" s="3"/>
      <c r="AZ222" s="3"/>
      <c r="BA222" s="3"/>
      <c r="BB222" s="3"/>
    </row>
    <row r="223" spans="1:54" ht="12" x14ac:dyDescent="0.25">
      <c r="A223" s="3"/>
      <c r="B223" s="212"/>
      <c r="C223" s="1242" t="str">
        <f t="shared" ref="C223:E252" si="143">C98</f>
        <v>Residential</v>
      </c>
      <c r="D223" s="1242" t="str">
        <f t="shared" si="143"/>
        <v>Residential</v>
      </c>
      <c r="E223" s="1243">
        <f t="shared" si="143"/>
        <v>1211.0904361392554</v>
      </c>
      <c r="F223" s="1237">
        <f>+E223*1.037</f>
        <v>1255.9007822764079</v>
      </c>
      <c r="G223" s="1237">
        <f t="shared" ref="G223:L223" si="144">+F223*1.025</f>
        <v>1287.298301833318</v>
      </c>
      <c r="H223" s="1237">
        <f t="shared" si="144"/>
        <v>1319.4807593791509</v>
      </c>
      <c r="I223" s="1237">
        <f t="shared" si="144"/>
        <v>1352.4677783636296</v>
      </c>
      <c r="J223" s="1237">
        <f t="shared" si="144"/>
        <v>1386.2794728227202</v>
      </c>
      <c r="K223" s="1214">
        <f t="shared" si="144"/>
        <v>1420.9364596432881</v>
      </c>
      <c r="L223" s="1214">
        <f t="shared" si="144"/>
        <v>1456.4598711343701</v>
      </c>
      <c r="M223" s="220"/>
      <c r="N223" s="3"/>
      <c r="O223" s="655">
        <f t="shared" si="138"/>
        <v>52016</v>
      </c>
      <c r="P223" s="657">
        <f t="shared" si="138"/>
        <v>52016</v>
      </c>
      <c r="Q223" s="3"/>
      <c r="R223" s="212"/>
      <c r="S223" s="1239">
        <f t="shared" ref="S223:S254" si="145">IF(F223="",".",F223-E223)</f>
        <v>44.810346137152465</v>
      </c>
      <c r="T223" s="1172">
        <f t="shared" ref="T223:T254" si="146">IF(G223="",".",G223-F223)</f>
        <v>31.397519556910083</v>
      </c>
      <c r="U223" s="1172">
        <f t="shared" ref="U223:U254" si="147">IF(H223="",".",H223-G223)</f>
        <v>32.182457545832904</v>
      </c>
      <c r="V223" s="1172">
        <f t="shared" ref="V223:V254" si="148">IF(I223="",".",I223-H223)</f>
        <v>32.987018984478709</v>
      </c>
      <c r="W223" s="1172">
        <f t="shared" ref="W223:W254" si="149">IF(J223="",".",J223-I223)</f>
        <v>33.811694459090631</v>
      </c>
      <c r="X223" s="1172">
        <f t="shared" ref="X223:X254" si="150">IF(K223="",".",K223-J223)</f>
        <v>34.656986820567909</v>
      </c>
      <c r="Y223" s="1173">
        <f t="shared" ref="Y223:Y254" si="151">IF(L223="",".",L223-K223)</f>
        <v>35.523411491082015</v>
      </c>
      <c r="Z223" s="3"/>
      <c r="AA223" s="1240">
        <f t="shared" ref="AA223:AA226" si="152">IFERROR(F223/E223-1,".")</f>
        <v>3.6999999999999922E-2</v>
      </c>
      <c r="AB223" s="1174">
        <f t="shared" ref="AB223:AB286" si="153">IFERROR(G223/F223-1,".")</f>
        <v>2.4999999999999911E-2</v>
      </c>
      <c r="AC223" s="1174">
        <f t="shared" ref="AC223:AC286" si="154">IFERROR(H223/G223-1,".")</f>
        <v>2.4999999999999911E-2</v>
      </c>
      <c r="AD223" s="1174">
        <f t="shared" ref="AD223:AD286" si="155">IFERROR(I223/H223-1,".")</f>
        <v>2.4999999999999911E-2</v>
      </c>
      <c r="AE223" s="1174">
        <f t="shared" ref="AE223:AE286" si="156">IFERROR(J223/I223-1,".")</f>
        <v>2.4999999999999911E-2</v>
      </c>
      <c r="AF223" s="1174">
        <f t="shared" ref="AF223:AF286" si="157">IFERROR(K223/J223-1,".")</f>
        <v>2.4999999999999911E-2</v>
      </c>
      <c r="AG223" s="1175">
        <f t="shared" ref="AG223:AG286" si="158">IFERROR(L223/K223-1,".")</f>
        <v>2.4999999999999911E-2</v>
      </c>
      <c r="AH223" s="3"/>
      <c r="AI223" s="1239">
        <f>IF(S223=".",".",SUM($S223:S223))</f>
        <v>44.810346137152465</v>
      </c>
      <c r="AJ223" s="1172">
        <f>IF(T223=".",".",SUM($S223:T223))</f>
        <v>76.207865694062548</v>
      </c>
      <c r="AK223" s="1172">
        <f>IF(U223=".",".",SUM($S223:U223))</f>
        <v>108.39032323989545</v>
      </c>
      <c r="AL223" s="1172">
        <f>IF(V223=".",".",SUM($S223:V223))</f>
        <v>141.37734222437416</v>
      </c>
      <c r="AM223" s="1172">
        <f>IF(W223=".",".",SUM($S223:W223))</f>
        <v>175.18903668346479</v>
      </c>
      <c r="AN223" s="1172">
        <f>IF(X223=".",".",SUM($S223:X223))</f>
        <v>209.8460235040327</v>
      </c>
      <c r="AO223" s="1173">
        <f>IF(Y223=".",".",SUM($S223:Y223))</f>
        <v>245.36943499511472</v>
      </c>
      <c r="AP223" s="3"/>
      <c r="AQ223" s="1240">
        <f>IFERROR(F223/$E223-1,".")</f>
        <v>3.6999999999999922E-2</v>
      </c>
      <c r="AR223" s="1174">
        <f t="shared" ref="AR223:AR286" si="159">IFERROR(G223/$E223-1,".")</f>
        <v>6.2924999999999898E-2</v>
      </c>
      <c r="AS223" s="1174">
        <f t="shared" ref="AS223:AS286" si="160">IFERROR(H223/$E223-1,".")</f>
        <v>8.9498124999999984E-2</v>
      </c>
      <c r="AT223" s="1174">
        <f t="shared" ref="AT223:AT286" si="161">IFERROR(I223/$E223-1,".")</f>
        <v>0.11673557812499991</v>
      </c>
      <c r="AU223" s="1174">
        <f t="shared" ref="AU223:AU286" si="162">IFERROR(J223/$E223-1,".")</f>
        <v>0.14465396757812465</v>
      </c>
      <c r="AV223" s="1174">
        <f t="shared" ref="AV223:AV286" si="163">IFERROR(K223/$E223-1,".")</f>
        <v>0.17327031676757776</v>
      </c>
      <c r="AW223" s="1175">
        <f t="shared" ref="AW223:AW286" si="164">IFERROR(L223/$E223-1,".")</f>
        <v>0.20260207468676716</v>
      </c>
      <c r="AX223" s="214"/>
      <c r="AY223" s="3"/>
      <c r="AZ223" s="3"/>
      <c r="BA223" s="3"/>
      <c r="BB223" s="3"/>
    </row>
    <row r="224" spans="1:54" ht="12" x14ac:dyDescent="0.25">
      <c r="A224" s="3"/>
      <c r="B224" s="212"/>
      <c r="C224" s="279" t="str">
        <f t="shared" si="143"/>
        <v>Residential</v>
      </c>
      <c r="D224" s="279" t="str">
        <f t="shared" si="143"/>
        <v/>
      </c>
      <c r="E224" s="557" t="str">
        <f t="shared" si="143"/>
        <v>.</v>
      </c>
      <c r="F224" s="579"/>
      <c r="G224" s="578"/>
      <c r="H224" s="578"/>
      <c r="I224" s="578"/>
      <c r="J224" s="578"/>
      <c r="K224" s="578"/>
      <c r="L224" s="579"/>
      <c r="M224" s="220"/>
      <c r="N224" s="3"/>
      <c r="O224" s="655">
        <f t="shared" si="138"/>
        <v>0</v>
      </c>
      <c r="P224" s="657">
        <f t="shared" si="138"/>
        <v>0</v>
      </c>
      <c r="Q224" s="3"/>
      <c r="R224" s="212"/>
      <c r="S224" s="699" t="str">
        <f t="shared" si="145"/>
        <v>.</v>
      </c>
      <c r="T224" s="700" t="str">
        <f t="shared" si="146"/>
        <v>.</v>
      </c>
      <c r="U224" s="700" t="str">
        <f t="shared" si="147"/>
        <v>.</v>
      </c>
      <c r="V224" s="700" t="str">
        <f t="shared" si="148"/>
        <v>.</v>
      </c>
      <c r="W224" s="700" t="str">
        <f t="shared" si="149"/>
        <v>.</v>
      </c>
      <c r="X224" s="700" t="str">
        <f t="shared" si="150"/>
        <v>.</v>
      </c>
      <c r="Y224" s="701" t="str">
        <f t="shared" si="151"/>
        <v>.</v>
      </c>
      <c r="Z224" s="3"/>
      <c r="AA224" s="985" t="str">
        <f t="shared" si="152"/>
        <v>.</v>
      </c>
      <c r="AB224" s="702" t="str">
        <f t="shared" si="153"/>
        <v>.</v>
      </c>
      <c r="AC224" s="702" t="str">
        <f t="shared" si="154"/>
        <v>.</v>
      </c>
      <c r="AD224" s="702" t="str">
        <f t="shared" si="155"/>
        <v>.</v>
      </c>
      <c r="AE224" s="702" t="str">
        <f t="shared" si="156"/>
        <v>.</v>
      </c>
      <c r="AF224" s="702" t="str">
        <f t="shared" si="157"/>
        <v>.</v>
      </c>
      <c r="AG224" s="986" t="str">
        <f t="shared" si="158"/>
        <v>.</v>
      </c>
      <c r="AH224" s="3"/>
      <c r="AI224" s="699" t="str">
        <f>IF(S224=".",".",SUM($S224:S224))</f>
        <v>.</v>
      </c>
      <c r="AJ224" s="700" t="str">
        <f>IF(T224=".",".",SUM($S224:T224))</f>
        <v>.</v>
      </c>
      <c r="AK224" s="700" t="str">
        <f>IF(U224=".",".",SUM($S224:U224))</f>
        <v>.</v>
      </c>
      <c r="AL224" s="700" t="str">
        <f>IF(V224=".",".",SUM($S224:V224))</f>
        <v>.</v>
      </c>
      <c r="AM224" s="700" t="str">
        <f>IF(W224=".",".",SUM($S224:W224))</f>
        <v>.</v>
      </c>
      <c r="AN224" s="700" t="str">
        <f>IF(X224=".",".",SUM($S224:X224))</f>
        <v>.</v>
      </c>
      <c r="AO224" s="701" t="str">
        <f>IF(Y224=".",".",SUM($S224:Y224))</f>
        <v>.</v>
      </c>
      <c r="AP224" s="3"/>
      <c r="AQ224" s="985" t="str">
        <f t="shared" ref="AQ224:AQ287" si="165">IFERROR(F224/$E224-1,".")</f>
        <v>.</v>
      </c>
      <c r="AR224" s="702" t="str">
        <f t="shared" si="159"/>
        <v>.</v>
      </c>
      <c r="AS224" s="702" t="str">
        <f t="shared" si="160"/>
        <v>.</v>
      </c>
      <c r="AT224" s="702" t="str">
        <f t="shared" si="161"/>
        <v>.</v>
      </c>
      <c r="AU224" s="702" t="str">
        <f t="shared" si="162"/>
        <v>.</v>
      </c>
      <c r="AV224" s="702" t="str">
        <f t="shared" si="163"/>
        <v>.</v>
      </c>
      <c r="AW224" s="986" t="str">
        <f t="shared" si="164"/>
        <v>.</v>
      </c>
      <c r="AX224" s="214"/>
      <c r="AY224" s="3"/>
      <c r="AZ224" s="3"/>
      <c r="BA224" s="3"/>
      <c r="BB224" s="3"/>
    </row>
    <row r="225" spans="1:54" ht="12" x14ac:dyDescent="0.25">
      <c r="A225" s="3"/>
      <c r="B225" s="212"/>
      <c r="C225" s="279" t="str">
        <f t="shared" si="143"/>
        <v>Residential</v>
      </c>
      <c r="D225" s="279" t="str">
        <f t="shared" si="143"/>
        <v/>
      </c>
      <c r="E225" s="557" t="str">
        <f t="shared" si="143"/>
        <v>.</v>
      </c>
      <c r="F225" s="579"/>
      <c r="G225" s="578"/>
      <c r="H225" s="578"/>
      <c r="I225" s="578"/>
      <c r="J225" s="578"/>
      <c r="K225" s="578"/>
      <c r="L225" s="579"/>
      <c r="M225" s="220"/>
      <c r="N225" s="3"/>
      <c r="O225" s="655">
        <f t="shared" si="138"/>
        <v>0</v>
      </c>
      <c r="P225" s="657">
        <f t="shared" si="138"/>
        <v>0</v>
      </c>
      <c r="Q225" s="3"/>
      <c r="R225" s="212"/>
      <c r="S225" s="699" t="str">
        <f t="shared" si="145"/>
        <v>.</v>
      </c>
      <c r="T225" s="700" t="str">
        <f t="shared" si="146"/>
        <v>.</v>
      </c>
      <c r="U225" s="700" t="str">
        <f t="shared" si="147"/>
        <v>.</v>
      </c>
      <c r="V225" s="700" t="str">
        <f t="shared" si="148"/>
        <v>.</v>
      </c>
      <c r="W225" s="700" t="str">
        <f t="shared" si="149"/>
        <v>.</v>
      </c>
      <c r="X225" s="700" t="str">
        <f t="shared" si="150"/>
        <v>.</v>
      </c>
      <c r="Y225" s="701" t="str">
        <f t="shared" si="151"/>
        <v>.</v>
      </c>
      <c r="Z225" s="3"/>
      <c r="AA225" s="985" t="str">
        <f t="shared" si="152"/>
        <v>.</v>
      </c>
      <c r="AB225" s="702" t="str">
        <f t="shared" si="153"/>
        <v>.</v>
      </c>
      <c r="AC225" s="702" t="str">
        <f t="shared" si="154"/>
        <v>.</v>
      </c>
      <c r="AD225" s="702" t="str">
        <f t="shared" si="155"/>
        <v>.</v>
      </c>
      <c r="AE225" s="702" t="str">
        <f t="shared" si="156"/>
        <v>.</v>
      </c>
      <c r="AF225" s="702" t="str">
        <f t="shared" si="157"/>
        <v>.</v>
      </c>
      <c r="AG225" s="986" t="str">
        <f t="shared" si="158"/>
        <v>.</v>
      </c>
      <c r="AH225" s="3"/>
      <c r="AI225" s="699" t="str">
        <f>IF(S225=".",".",SUM($S225:S225))</f>
        <v>.</v>
      </c>
      <c r="AJ225" s="700" t="str">
        <f>IF(T225=".",".",SUM($S225:T225))</f>
        <v>.</v>
      </c>
      <c r="AK225" s="700" t="str">
        <f>IF(U225=".",".",SUM($S225:U225))</f>
        <v>.</v>
      </c>
      <c r="AL225" s="700" t="str">
        <f>IF(V225=".",".",SUM($S225:V225))</f>
        <v>.</v>
      </c>
      <c r="AM225" s="700" t="str">
        <f>IF(W225=".",".",SUM($S225:W225))</f>
        <v>.</v>
      </c>
      <c r="AN225" s="700" t="str">
        <f>IF(X225=".",".",SUM($S225:X225))</f>
        <v>.</v>
      </c>
      <c r="AO225" s="701" t="str">
        <f>IF(Y225=".",".",SUM($S225:Y225))</f>
        <v>.</v>
      </c>
      <c r="AP225" s="3"/>
      <c r="AQ225" s="985" t="str">
        <f t="shared" si="165"/>
        <v>.</v>
      </c>
      <c r="AR225" s="702" t="str">
        <f t="shared" si="159"/>
        <v>.</v>
      </c>
      <c r="AS225" s="702" t="str">
        <f t="shared" si="160"/>
        <v>.</v>
      </c>
      <c r="AT225" s="702" t="str">
        <f t="shared" si="161"/>
        <v>.</v>
      </c>
      <c r="AU225" s="702" t="str">
        <f t="shared" si="162"/>
        <v>.</v>
      </c>
      <c r="AV225" s="702" t="str">
        <f t="shared" si="163"/>
        <v>.</v>
      </c>
      <c r="AW225" s="986" t="str">
        <f t="shared" si="164"/>
        <v>.</v>
      </c>
      <c r="AX225" s="214"/>
      <c r="AY225" s="3"/>
      <c r="AZ225" s="3"/>
      <c r="BA225" s="3"/>
      <c r="BB225" s="3"/>
    </row>
    <row r="226" spans="1:54" ht="12" x14ac:dyDescent="0.25">
      <c r="A226" s="3"/>
      <c r="B226" s="212"/>
      <c r="C226" s="279" t="str">
        <f t="shared" si="143"/>
        <v>Residential</v>
      </c>
      <c r="D226" s="279" t="str">
        <f t="shared" si="143"/>
        <v/>
      </c>
      <c r="E226" s="557" t="str">
        <f t="shared" si="143"/>
        <v>.</v>
      </c>
      <c r="F226" s="579"/>
      <c r="G226" s="578"/>
      <c r="H226" s="578"/>
      <c r="I226" s="578"/>
      <c r="J226" s="578"/>
      <c r="K226" s="578"/>
      <c r="L226" s="579"/>
      <c r="M226" s="220"/>
      <c r="N226" s="3"/>
      <c r="O226" s="655">
        <f t="shared" si="138"/>
        <v>0</v>
      </c>
      <c r="P226" s="657">
        <f t="shared" si="138"/>
        <v>0</v>
      </c>
      <c r="Q226" s="3"/>
      <c r="R226" s="212"/>
      <c r="S226" s="699" t="str">
        <f t="shared" si="145"/>
        <v>.</v>
      </c>
      <c r="T226" s="700" t="str">
        <f t="shared" si="146"/>
        <v>.</v>
      </c>
      <c r="U226" s="700" t="str">
        <f t="shared" si="147"/>
        <v>.</v>
      </c>
      <c r="V226" s="700" t="str">
        <f t="shared" si="148"/>
        <v>.</v>
      </c>
      <c r="W226" s="700" t="str">
        <f t="shared" si="149"/>
        <v>.</v>
      </c>
      <c r="X226" s="700" t="str">
        <f t="shared" si="150"/>
        <v>.</v>
      </c>
      <c r="Y226" s="701" t="str">
        <f t="shared" si="151"/>
        <v>.</v>
      </c>
      <c r="Z226" s="3"/>
      <c r="AA226" s="985" t="str">
        <f t="shared" si="152"/>
        <v>.</v>
      </c>
      <c r="AB226" s="702" t="str">
        <f t="shared" si="153"/>
        <v>.</v>
      </c>
      <c r="AC226" s="702" t="str">
        <f t="shared" si="154"/>
        <v>.</v>
      </c>
      <c r="AD226" s="702" t="str">
        <f t="shared" si="155"/>
        <v>.</v>
      </c>
      <c r="AE226" s="702" t="str">
        <f t="shared" si="156"/>
        <v>.</v>
      </c>
      <c r="AF226" s="702" t="str">
        <f t="shared" si="157"/>
        <v>.</v>
      </c>
      <c r="AG226" s="986" t="str">
        <f t="shared" si="158"/>
        <v>.</v>
      </c>
      <c r="AH226" s="3"/>
      <c r="AI226" s="699" t="str">
        <f>IF(S226=".",".",SUM($S226:S226))</f>
        <v>.</v>
      </c>
      <c r="AJ226" s="700" t="str">
        <f>IF(T226=".",".",SUM($S226:T226))</f>
        <v>.</v>
      </c>
      <c r="AK226" s="700" t="str">
        <f>IF(U226=".",".",SUM($S226:U226))</f>
        <v>.</v>
      </c>
      <c r="AL226" s="700" t="str">
        <f>IF(V226=".",".",SUM($S226:V226))</f>
        <v>.</v>
      </c>
      <c r="AM226" s="700" t="str">
        <f>IF(W226=".",".",SUM($S226:W226))</f>
        <v>.</v>
      </c>
      <c r="AN226" s="700" t="str">
        <f>IF(X226=".",".",SUM($S226:X226))</f>
        <v>.</v>
      </c>
      <c r="AO226" s="701" t="str">
        <f>IF(Y226=".",".",SUM($S226:Y226))</f>
        <v>.</v>
      </c>
      <c r="AP226" s="3"/>
      <c r="AQ226" s="985" t="str">
        <f t="shared" si="165"/>
        <v>.</v>
      </c>
      <c r="AR226" s="702" t="str">
        <f t="shared" si="159"/>
        <v>.</v>
      </c>
      <c r="AS226" s="702" t="str">
        <f t="shared" si="160"/>
        <v>.</v>
      </c>
      <c r="AT226" s="702" t="str">
        <f t="shared" si="161"/>
        <v>.</v>
      </c>
      <c r="AU226" s="702" t="str">
        <f t="shared" si="162"/>
        <v>.</v>
      </c>
      <c r="AV226" s="702" t="str">
        <f t="shared" si="163"/>
        <v>.</v>
      </c>
      <c r="AW226" s="986" t="str">
        <f t="shared" si="164"/>
        <v>.</v>
      </c>
      <c r="AX226" s="214"/>
      <c r="AY226" s="3"/>
      <c r="AZ226" s="3"/>
      <c r="BA226" s="3"/>
      <c r="BB226" s="3"/>
    </row>
    <row r="227" spans="1:54" ht="12" x14ac:dyDescent="0.25">
      <c r="A227" s="3"/>
      <c r="B227" s="212"/>
      <c r="C227" s="279" t="str">
        <f t="shared" si="143"/>
        <v>Residential</v>
      </c>
      <c r="D227" s="279" t="str">
        <f t="shared" si="143"/>
        <v/>
      </c>
      <c r="E227" s="557" t="str">
        <f t="shared" si="143"/>
        <v>.</v>
      </c>
      <c r="F227" s="579"/>
      <c r="G227" s="578"/>
      <c r="H227" s="578"/>
      <c r="I227" s="578"/>
      <c r="J227" s="578"/>
      <c r="K227" s="578"/>
      <c r="L227" s="579"/>
      <c r="M227" s="220"/>
      <c r="N227" s="3"/>
      <c r="O227" s="655">
        <f t="shared" si="138"/>
        <v>0</v>
      </c>
      <c r="P227" s="657">
        <f t="shared" si="138"/>
        <v>0</v>
      </c>
      <c r="Q227" s="3"/>
      <c r="R227" s="212"/>
      <c r="S227" s="699" t="str">
        <f t="shared" si="145"/>
        <v>.</v>
      </c>
      <c r="T227" s="700" t="str">
        <f t="shared" si="146"/>
        <v>.</v>
      </c>
      <c r="U227" s="700" t="str">
        <f t="shared" si="147"/>
        <v>.</v>
      </c>
      <c r="V227" s="700" t="str">
        <f t="shared" si="148"/>
        <v>.</v>
      </c>
      <c r="W227" s="700" t="str">
        <f t="shared" si="149"/>
        <v>.</v>
      </c>
      <c r="X227" s="700" t="str">
        <f t="shared" si="150"/>
        <v>.</v>
      </c>
      <c r="Y227" s="701" t="str">
        <f t="shared" si="151"/>
        <v>.</v>
      </c>
      <c r="Z227" s="3"/>
      <c r="AA227" s="985" t="str">
        <f>IFERROR(F227/E227-1,".")</f>
        <v>.</v>
      </c>
      <c r="AB227" s="702" t="str">
        <f t="shared" si="153"/>
        <v>.</v>
      </c>
      <c r="AC227" s="702" t="str">
        <f t="shared" si="154"/>
        <v>.</v>
      </c>
      <c r="AD227" s="702" t="str">
        <f t="shared" si="155"/>
        <v>.</v>
      </c>
      <c r="AE227" s="702" t="str">
        <f t="shared" si="156"/>
        <v>.</v>
      </c>
      <c r="AF227" s="702" t="str">
        <f t="shared" si="157"/>
        <v>.</v>
      </c>
      <c r="AG227" s="986" t="str">
        <f t="shared" si="158"/>
        <v>.</v>
      </c>
      <c r="AH227" s="3"/>
      <c r="AI227" s="699" t="str">
        <f>IF(S227=".",".",SUM($S227:S227))</f>
        <v>.</v>
      </c>
      <c r="AJ227" s="700" t="str">
        <f>IF(T227=".",".",SUM($S227:T227))</f>
        <v>.</v>
      </c>
      <c r="AK227" s="700" t="str">
        <f>IF(U227=".",".",SUM($S227:U227))</f>
        <v>.</v>
      </c>
      <c r="AL227" s="700" t="str">
        <f>IF(V227=".",".",SUM($S227:V227))</f>
        <v>.</v>
      </c>
      <c r="AM227" s="700" t="str">
        <f>IF(W227=".",".",SUM($S227:W227))</f>
        <v>.</v>
      </c>
      <c r="AN227" s="700" t="str">
        <f>IF(X227=".",".",SUM($S227:X227))</f>
        <v>.</v>
      </c>
      <c r="AO227" s="701" t="str">
        <f>IF(Y227=".",".",SUM($S227:Y227))</f>
        <v>.</v>
      </c>
      <c r="AP227" s="3"/>
      <c r="AQ227" s="985" t="str">
        <f t="shared" si="165"/>
        <v>.</v>
      </c>
      <c r="AR227" s="702" t="str">
        <f t="shared" si="159"/>
        <v>.</v>
      </c>
      <c r="AS227" s="702" t="str">
        <f t="shared" si="160"/>
        <v>.</v>
      </c>
      <c r="AT227" s="702" t="str">
        <f t="shared" si="161"/>
        <v>.</v>
      </c>
      <c r="AU227" s="702" t="str">
        <f t="shared" si="162"/>
        <v>.</v>
      </c>
      <c r="AV227" s="702" t="str">
        <f t="shared" si="163"/>
        <v>.</v>
      </c>
      <c r="AW227" s="986" t="str">
        <f t="shared" si="164"/>
        <v>.</v>
      </c>
      <c r="AX227" s="214"/>
      <c r="AY227" s="3"/>
      <c r="AZ227" s="3"/>
      <c r="BA227" s="3"/>
      <c r="BB227" s="3"/>
    </row>
    <row r="228" spans="1:54" ht="12" x14ac:dyDescent="0.25">
      <c r="A228" s="3"/>
      <c r="B228" s="212"/>
      <c r="C228" s="279" t="str">
        <f t="shared" si="143"/>
        <v>Residential</v>
      </c>
      <c r="D228" s="279" t="str">
        <f t="shared" si="143"/>
        <v/>
      </c>
      <c r="E228" s="557" t="str">
        <f t="shared" si="143"/>
        <v>.</v>
      </c>
      <c r="F228" s="579"/>
      <c r="G228" s="578"/>
      <c r="H228" s="578"/>
      <c r="I228" s="578"/>
      <c r="J228" s="578"/>
      <c r="K228" s="578"/>
      <c r="L228" s="579"/>
      <c r="M228" s="220"/>
      <c r="N228" s="3"/>
      <c r="O228" s="655">
        <f t="shared" si="138"/>
        <v>0</v>
      </c>
      <c r="P228" s="657">
        <f t="shared" si="138"/>
        <v>0</v>
      </c>
      <c r="Q228" s="3"/>
      <c r="R228" s="212"/>
      <c r="S228" s="699" t="str">
        <f t="shared" si="145"/>
        <v>.</v>
      </c>
      <c r="T228" s="700" t="str">
        <f t="shared" si="146"/>
        <v>.</v>
      </c>
      <c r="U228" s="700" t="str">
        <f t="shared" si="147"/>
        <v>.</v>
      </c>
      <c r="V228" s="700" t="str">
        <f t="shared" si="148"/>
        <v>.</v>
      </c>
      <c r="W228" s="700" t="str">
        <f t="shared" si="149"/>
        <v>.</v>
      </c>
      <c r="X228" s="700" t="str">
        <f t="shared" si="150"/>
        <v>.</v>
      </c>
      <c r="Y228" s="701" t="str">
        <f t="shared" si="151"/>
        <v>.</v>
      </c>
      <c r="Z228" s="3"/>
      <c r="AA228" s="985" t="str">
        <f t="shared" ref="AA228:AA291" si="166">IFERROR(F228/E228-1,".")</f>
        <v>.</v>
      </c>
      <c r="AB228" s="702" t="str">
        <f t="shared" si="153"/>
        <v>.</v>
      </c>
      <c r="AC228" s="702" t="str">
        <f t="shared" si="154"/>
        <v>.</v>
      </c>
      <c r="AD228" s="702" t="str">
        <f t="shared" si="155"/>
        <v>.</v>
      </c>
      <c r="AE228" s="702" t="str">
        <f t="shared" si="156"/>
        <v>.</v>
      </c>
      <c r="AF228" s="702" t="str">
        <f t="shared" si="157"/>
        <v>.</v>
      </c>
      <c r="AG228" s="986" t="str">
        <f t="shared" si="158"/>
        <v>.</v>
      </c>
      <c r="AH228" s="3"/>
      <c r="AI228" s="699" t="str">
        <f>IF(S228=".",".",SUM($S228:S228))</f>
        <v>.</v>
      </c>
      <c r="AJ228" s="700" t="str">
        <f>IF(T228=".",".",SUM($S228:T228))</f>
        <v>.</v>
      </c>
      <c r="AK228" s="700" t="str">
        <f>IF(U228=".",".",SUM($S228:U228))</f>
        <v>.</v>
      </c>
      <c r="AL228" s="700" t="str">
        <f>IF(V228=".",".",SUM($S228:V228))</f>
        <v>.</v>
      </c>
      <c r="AM228" s="700" t="str">
        <f>IF(W228=".",".",SUM($S228:W228))</f>
        <v>.</v>
      </c>
      <c r="AN228" s="700" t="str">
        <f>IF(X228=".",".",SUM($S228:X228))</f>
        <v>.</v>
      </c>
      <c r="AO228" s="701" t="str">
        <f>IF(Y228=".",".",SUM($S228:Y228))</f>
        <v>.</v>
      </c>
      <c r="AP228" s="3"/>
      <c r="AQ228" s="985" t="str">
        <f t="shared" si="165"/>
        <v>.</v>
      </c>
      <c r="AR228" s="702" t="str">
        <f t="shared" si="159"/>
        <v>.</v>
      </c>
      <c r="AS228" s="702" t="str">
        <f t="shared" si="160"/>
        <v>.</v>
      </c>
      <c r="AT228" s="702" t="str">
        <f t="shared" si="161"/>
        <v>.</v>
      </c>
      <c r="AU228" s="702" t="str">
        <f t="shared" si="162"/>
        <v>.</v>
      </c>
      <c r="AV228" s="702" t="str">
        <f t="shared" si="163"/>
        <v>.</v>
      </c>
      <c r="AW228" s="986" t="str">
        <f t="shared" si="164"/>
        <v>.</v>
      </c>
      <c r="AX228" s="214"/>
      <c r="AY228" s="3"/>
      <c r="AZ228" s="3"/>
      <c r="BA228" s="3"/>
      <c r="BB228" s="3"/>
    </row>
    <row r="229" spans="1:54" ht="12" x14ac:dyDescent="0.25">
      <c r="A229" s="3"/>
      <c r="B229" s="212"/>
      <c r="C229" s="279" t="str">
        <f t="shared" si="143"/>
        <v>Residential</v>
      </c>
      <c r="D229" s="279" t="str">
        <f t="shared" si="143"/>
        <v/>
      </c>
      <c r="E229" s="557" t="str">
        <f t="shared" si="143"/>
        <v>.</v>
      </c>
      <c r="F229" s="579"/>
      <c r="G229" s="578"/>
      <c r="H229" s="578"/>
      <c r="I229" s="578"/>
      <c r="J229" s="578"/>
      <c r="K229" s="578"/>
      <c r="L229" s="579"/>
      <c r="M229" s="220"/>
      <c r="N229" s="3"/>
      <c r="O229" s="655">
        <f t="shared" si="138"/>
        <v>0</v>
      </c>
      <c r="P229" s="657">
        <f t="shared" si="138"/>
        <v>0</v>
      </c>
      <c r="Q229" s="3"/>
      <c r="R229" s="212"/>
      <c r="S229" s="699" t="str">
        <f t="shared" si="145"/>
        <v>.</v>
      </c>
      <c r="T229" s="700" t="str">
        <f t="shared" si="146"/>
        <v>.</v>
      </c>
      <c r="U229" s="700" t="str">
        <f t="shared" si="147"/>
        <v>.</v>
      </c>
      <c r="V229" s="700" t="str">
        <f t="shared" si="148"/>
        <v>.</v>
      </c>
      <c r="W229" s="700" t="str">
        <f t="shared" si="149"/>
        <v>.</v>
      </c>
      <c r="X229" s="700" t="str">
        <f t="shared" si="150"/>
        <v>.</v>
      </c>
      <c r="Y229" s="701" t="str">
        <f t="shared" si="151"/>
        <v>.</v>
      </c>
      <c r="Z229" s="3"/>
      <c r="AA229" s="985" t="str">
        <f t="shared" si="166"/>
        <v>.</v>
      </c>
      <c r="AB229" s="702" t="str">
        <f t="shared" si="153"/>
        <v>.</v>
      </c>
      <c r="AC229" s="702" t="str">
        <f t="shared" si="154"/>
        <v>.</v>
      </c>
      <c r="AD229" s="702" t="str">
        <f t="shared" si="155"/>
        <v>.</v>
      </c>
      <c r="AE229" s="702" t="str">
        <f t="shared" si="156"/>
        <v>.</v>
      </c>
      <c r="AF229" s="702" t="str">
        <f t="shared" si="157"/>
        <v>.</v>
      </c>
      <c r="AG229" s="986" t="str">
        <f t="shared" si="158"/>
        <v>.</v>
      </c>
      <c r="AH229" s="3"/>
      <c r="AI229" s="699" t="str">
        <f>IF(S229=".",".",SUM($S229:S229))</f>
        <v>.</v>
      </c>
      <c r="AJ229" s="700" t="str">
        <f>IF(T229=".",".",SUM($S229:T229))</f>
        <v>.</v>
      </c>
      <c r="AK229" s="700" t="str">
        <f>IF(U229=".",".",SUM($S229:U229))</f>
        <v>.</v>
      </c>
      <c r="AL229" s="700" t="str">
        <f>IF(V229=".",".",SUM($S229:V229))</f>
        <v>.</v>
      </c>
      <c r="AM229" s="700" t="str">
        <f>IF(W229=".",".",SUM($S229:W229))</f>
        <v>.</v>
      </c>
      <c r="AN229" s="700" t="str">
        <f>IF(X229=".",".",SUM($S229:X229))</f>
        <v>.</v>
      </c>
      <c r="AO229" s="701" t="str">
        <f>IF(Y229=".",".",SUM($S229:Y229))</f>
        <v>.</v>
      </c>
      <c r="AP229" s="3"/>
      <c r="AQ229" s="985" t="str">
        <f t="shared" si="165"/>
        <v>.</v>
      </c>
      <c r="AR229" s="702" t="str">
        <f t="shared" si="159"/>
        <v>.</v>
      </c>
      <c r="AS229" s="702" t="str">
        <f t="shared" si="160"/>
        <v>.</v>
      </c>
      <c r="AT229" s="702" t="str">
        <f t="shared" si="161"/>
        <v>.</v>
      </c>
      <c r="AU229" s="702" t="str">
        <f t="shared" si="162"/>
        <v>.</v>
      </c>
      <c r="AV229" s="702" t="str">
        <f t="shared" si="163"/>
        <v>.</v>
      </c>
      <c r="AW229" s="986" t="str">
        <f t="shared" si="164"/>
        <v>.</v>
      </c>
      <c r="AX229" s="214"/>
      <c r="AY229" s="3"/>
      <c r="AZ229" s="3"/>
      <c r="BA229" s="3"/>
      <c r="BB229" s="3"/>
    </row>
    <row r="230" spans="1:54" ht="12" x14ac:dyDescent="0.25">
      <c r="A230" s="3"/>
      <c r="B230" s="212"/>
      <c r="C230" s="279" t="str">
        <f t="shared" si="143"/>
        <v>Residential</v>
      </c>
      <c r="D230" s="279" t="str">
        <f t="shared" si="143"/>
        <v/>
      </c>
      <c r="E230" s="557" t="str">
        <f t="shared" si="143"/>
        <v>.</v>
      </c>
      <c r="F230" s="579"/>
      <c r="G230" s="578"/>
      <c r="H230" s="578"/>
      <c r="I230" s="578"/>
      <c r="J230" s="578"/>
      <c r="K230" s="578"/>
      <c r="L230" s="579"/>
      <c r="M230" s="220"/>
      <c r="N230" s="3"/>
      <c r="O230" s="655">
        <f t="shared" si="138"/>
        <v>0</v>
      </c>
      <c r="P230" s="657">
        <f t="shared" si="138"/>
        <v>0</v>
      </c>
      <c r="Q230" s="3"/>
      <c r="R230" s="212"/>
      <c r="S230" s="699" t="str">
        <f t="shared" si="145"/>
        <v>.</v>
      </c>
      <c r="T230" s="700" t="str">
        <f t="shared" si="146"/>
        <v>.</v>
      </c>
      <c r="U230" s="700" t="str">
        <f t="shared" si="147"/>
        <v>.</v>
      </c>
      <c r="V230" s="700" t="str">
        <f t="shared" si="148"/>
        <v>.</v>
      </c>
      <c r="W230" s="700" t="str">
        <f t="shared" si="149"/>
        <v>.</v>
      </c>
      <c r="X230" s="700" t="str">
        <f t="shared" si="150"/>
        <v>.</v>
      </c>
      <c r="Y230" s="701" t="str">
        <f t="shared" si="151"/>
        <v>.</v>
      </c>
      <c r="Z230" s="3"/>
      <c r="AA230" s="985" t="str">
        <f t="shared" si="166"/>
        <v>.</v>
      </c>
      <c r="AB230" s="702" t="str">
        <f t="shared" si="153"/>
        <v>.</v>
      </c>
      <c r="AC230" s="702" t="str">
        <f t="shared" si="154"/>
        <v>.</v>
      </c>
      <c r="AD230" s="702" t="str">
        <f t="shared" si="155"/>
        <v>.</v>
      </c>
      <c r="AE230" s="702" t="str">
        <f t="shared" si="156"/>
        <v>.</v>
      </c>
      <c r="AF230" s="702" t="str">
        <f t="shared" si="157"/>
        <v>.</v>
      </c>
      <c r="AG230" s="986" t="str">
        <f t="shared" si="158"/>
        <v>.</v>
      </c>
      <c r="AH230" s="3"/>
      <c r="AI230" s="699" t="str">
        <f>IF(S230=".",".",SUM($S230:S230))</f>
        <v>.</v>
      </c>
      <c r="AJ230" s="700" t="str">
        <f>IF(T230=".",".",SUM($S230:T230))</f>
        <v>.</v>
      </c>
      <c r="AK230" s="700" t="str">
        <f>IF(U230=".",".",SUM($S230:U230))</f>
        <v>.</v>
      </c>
      <c r="AL230" s="700" t="str">
        <f>IF(V230=".",".",SUM($S230:V230))</f>
        <v>.</v>
      </c>
      <c r="AM230" s="700" t="str">
        <f>IF(W230=".",".",SUM($S230:W230))</f>
        <v>.</v>
      </c>
      <c r="AN230" s="700" t="str">
        <f>IF(X230=".",".",SUM($S230:X230))</f>
        <v>.</v>
      </c>
      <c r="AO230" s="701" t="str">
        <f>IF(Y230=".",".",SUM($S230:Y230))</f>
        <v>.</v>
      </c>
      <c r="AP230" s="3"/>
      <c r="AQ230" s="985" t="str">
        <f t="shared" si="165"/>
        <v>.</v>
      </c>
      <c r="AR230" s="702" t="str">
        <f t="shared" si="159"/>
        <v>.</v>
      </c>
      <c r="AS230" s="702" t="str">
        <f t="shared" si="160"/>
        <v>.</v>
      </c>
      <c r="AT230" s="702" t="str">
        <f t="shared" si="161"/>
        <v>.</v>
      </c>
      <c r="AU230" s="702" t="str">
        <f t="shared" si="162"/>
        <v>.</v>
      </c>
      <c r="AV230" s="702" t="str">
        <f t="shared" si="163"/>
        <v>.</v>
      </c>
      <c r="AW230" s="986" t="str">
        <f t="shared" si="164"/>
        <v>.</v>
      </c>
      <c r="AX230" s="214"/>
      <c r="AY230" s="3"/>
      <c r="AZ230" s="3"/>
      <c r="BA230" s="3"/>
      <c r="BB230" s="3"/>
    </row>
    <row r="231" spans="1:54" ht="12" x14ac:dyDescent="0.25">
      <c r="A231" s="3"/>
      <c r="B231" s="212"/>
      <c r="C231" s="279" t="str">
        <f t="shared" si="143"/>
        <v>Residential</v>
      </c>
      <c r="D231" s="279" t="str">
        <f t="shared" si="143"/>
        <v/>
      </c>
      <c r="E231" s="557" t="str">
        <f t="shared" si="143"/>
        <v>.</v>
      </c>
      <c r="F231" s="579"/>
      <c r="G231" s="578"/>
      <c r="H231" s="578"/>
      <c r="I231" s="578"/>
      <c r="J231" s="578"/>
      <c r="K231" s="578"/>
      <c r="L231" s="579"/>
      <c r="M231" s="220"/>
      <c r="N231" s="3"/>
      <c r="O231" s="655">
        <f t="shared" si="138"/>
        <v>0</v>
      </c>
      <c r="P231" s="657">
        <f t="shared" si="138"/>
        <v>0</v>
      </c>
      <c r="Q231" s="3"/>
      <c r="R231" s="212"/>
      <c r="S231" s="699" t="str">
        <f t="shared" si="145"/>
        <v>.</v>
      </c>
      <c r="T231" s="700" t="str">
        <f t="shared" si="146"/>
        <v>.</v>
      </c>
      <c r="U231" s="700" t="str">
        <f t="shared" si="147"/>
        <v>.</v>
      </c>
      <c r="V231" s="700" t="str">
        <f t="shared" si="148"/>
        <v>.</v>
      </c>
      <c r="W231" s="700" t="str">
        <f t="shared" si="149"/>
        <v>.</v>
      </c>
      <c r="X231" s="700" t="str">
        <f t="shared" si="150"/>
        <v>.</v>
      </c>
      <c r="Y231" s="701" t="str">
        <f t="shared" si="151"/>
        <v>.</v>
      </c>
      <c r="Z231" s="3"/>
      <c r="AA231" s="985" t="str">
        <f t="shared" si="166"/>
        <v>.</v>
      </c>
      <c r="AB231" s="702" t="str">
        <f t="shared" si="153"/>
        <v>.</v>
      </c>
      <c r="AC231" s="702" t="str">
        <f t="shared" si="154"/>
        <v>.</v>
      </c>
      <c r="AD231" s="702" t="str">
        <f t="shared" si="155"/>
        <v>.</v>
      </c>
      <c r="AE231" s="702" t="str">
        <f t="shared" si="156"/>
        <v>.</v>
      </c>
      <c r="AF231" s="702" t="str">
        <f t="shared" si="157"/>
        <v>.</v>
      </c>
      <c r="AG231" s="986" t="str">
        <f t="shared" si="158"/>
        <v>.</v>
      </c>
      <c r="AH231" s="3"/>
      <c r="AI231" s="699" t="str">
        <f>IF(S231=".",".",SUM($S231:S231))</f>
        <v>.</v>
      </c>
      <c r="AJ231" s="700" t="str">
        <f>IF(T231=".",".",SUM($S231:T231))</f>
        <v>.</v>
      </c>
      <c r="AK231" s="700" t="str">
        <f>IF(U231=".",".",SUM($S231:U231))</f>
        <v>.</v>
      </c>
      <c r="AL231" s="700" t="str">
        <f>IF(V231=".",".",SUM($S231:V231))</f>
        <v>.</v>
      </c>
      <c r="AM231" s="700" t="str">
        <f>IF(W231=".",".",SUM($S231:W231))</f>
        <v>.</v>
      </c>
      <c r="AN231" s="700" t="str">
        <f>IF(X231=".",".",SUM($S231:X231))</f>
        <v>.</v>
      </c>
      <c r="AO231" s="701" t="str">
        <f>IF(Y231=".",".",SUM($S231:Y231))</f>
        <v>.</v>
      </c>
      <c r="AP231" s="3"/>
      <c r="AQ231" s="985" t="str">
        <f t="shared" si="165"/>
        <v>.</v>
      </c>
      <c r="AR231" s="702" t="str">
        <f t="shared" si="159"/>
        <v>.</v>
      </c>
      <c r="AS231" s="702" t="str">
        <f t="shared" si="160"/>
        <v>.</v>
      </c>
      <c r="AT231" s="702" t="str">
        <f t="shared" si="161"/>
        <v>.</v>
      </c>
      <c r="AU231" s="702" t="str">
        <f t="shared" si="162"/>
        <v>.</v>
      </c>
      <c r="AV231" s="702" t="str">
        <f t="shared" si="163"/>
        <v>.</v>
      </c>
      <c r="AW231" s="986" t="str">
        <f t="shared" si="164"/>
        <v>.</v>
      </c>
      <c r="AX231" s="214"/>
      <c r="AY231" s="3"/>
      <c r="AZ231" s="3"/>
      <c r="BA231" s="3"/>
      <c r="BB231" s="3"/>
    </row>
    <row r="232" spans="1:54" ht="12" x14ac:dyDescent="0.25">
      <c r="A232" s="3"/>
      <c r="B232" s="212"/>
      <c r="C232" s="279" t="str">
        <f t="shared" si="143"/>
        <v>Residential</v>
      </c>
      <c r="D232" s="279" t="str">
        <f t="shared" si="143"/>
        <v/>
      </c>
      <c r="E232" s="557" t="str">
        <f t="shared" si="143"/>
        <v>.</v>
      </c>
      <c r="F232" s="579"/>
      <c r="G232" s="578"/>
      <c r="H232" s="578"/>
      <c r="I232" s="578"/>
      <c r="J232" s="578"/>
      <c r="K232" s="578"/>
      <c r="L232" s="579"/>
      <c r="M232" s="220"/>
      <c r="N232" s="3"/>
      <c r="O232" s="655">
        <f t="shared" si="138"/>
        <v>0</v>
      </c>
      <c r="P232" s="657">
        <f t="shared" si="138"/>
        <v>0</v>
      </c>
      <c r="Q232" s="3"/>
      <c r="R232" s="212"/>
      <c r="S232" s="699" t="str">
        <f t="shared" si="145"/>
        <v>.</v>
      </c>
      <c r="T232" s="700" t="str">
        <f t="shared" si="146"/>
        <v>.</v>
      </c>
      <c r="U232" s="700" t="str">
        <f t="shared" si="147"/>
        <v>.</v>
      </c>
      <c r="V232" s="700" t="str">
        <f t="shared" si="148"/>
        <v>.</v>
      </c>
      <c r="W232" s="700" t="str">
        <f t="shared" si="149"/>
        <v>.</v>
      </c>
      <c r="X232" s="700" t="str">
        <f t="shared" si="150"/>
        <v>.</v>
      </c>
      <c r="Y232" s="701" t="str">
        <f t="shared" si="151"/>
        <v>.</v>
      </c>
      <c r="Z232" s="3"/>
      <c r="AA232" s="985" t="str">
        <f t="shared" si="166"/>
        <v>.</v>
      </c>
      <c r="AB232" s="702" t="str">
        <f t="shared" si="153"/>
        <v>.</v>
      </c>
      <c r="AC232" s="702" t="str">
        <f t="shared" si="154"/>
        <v>.</v>
      </c>
      <c r="AD232" s="702" t="str">
        <f t="shared" si="155"/>
        <v>.</v>
      </c>
      <c r="AE232" s="702" t="str">
        <f t="shared" si="156"/>
        <v>.</v>
      </c>
      <c r="AF232" s="702" t="str">
        <f t="shared" si="157"/>
        <v>.</v>
      </c>
      <c r="AG232" s="986" t="str">
        <f t="shared" si="158"/>
        <v>.</v>
      </c>
      <c r="AH232" s="3"/>
      <c r="AI232" s="699" t="str">
        <f>IF(S232=".",".",SUM($S232:S232))</f>
        <v>.</v>
      </c>
      <c r="AJ232" s="700" t="str">
        <f>IF(T232=".",".",SUM($S232:T232))</f>
        <v>.</v>
      </c>
      <c r="AK232" s="700" t="str">
        <f>IF(U232=".",".",SUM($S232:U232))</f>
        <v>.</v>
      </c>
      <c r="AL232" s="700" t="str">
        <f>IF(V232=".",".",SUM($S232:V232))</f>
        <v>.</v>
      </c>
      <c r="AM232" s="700" t="str">
        <f>IF(W232=".",".",SUM($S232:W232))</f>
        <v>.</v>
      </c>
      <c r="AN232" s="700" t="str">
        <f>IF(X232=".",".",SUM($S232:X232))</f>
        <v>.</v>
      </c>
      <c r="AO232" s="701" t="str">
        <f>IF(Y232=".",".",SUM($S232:Y232))</f>
        <v>.</v>
      </c>
      <c r="AP232" s="3"/>
      <c r="AQ232" s="985" t="str">
        <f t="shared" si="165"/>
        <v>.</v>
      </c>
      <c r="AR232" s="702" t="str">
        <f t="shared" si="159"/>
        <v>.</v>
      </c>
      <c r="AS232" s="702" t="str">
        <f t="shared" si="160"/>
        <v>.</v>
      </c>
      <c r="AT232" s="702" t="str">
        <f t="shared" si="161"/>
        <v>.</v>
      </c>
      <c r="AU232" s="702" t="str">
        <f t="shared" si="162"/>
        <v>.</v>
      </c>
      <c r="AV232" s="702" t="str">
        <f t="shared" si="163"/>
        <v>.</v>
      </c>
      <c r="AW232" s="986" t="str">
        <f t="shared" si="164"/>
        <v>.</v>
      </c>
      <c r="AX232" s="214"/>
      <c r="AY232" s="3"/>
      <c r="AZ232" s="3"/>
      <c r="BA232" s="3"/>
      <c r="BB232" s="3"/>
    </row>
    <row r="233" spans="1:54" ht="12" x14ac:dyDescent="0.25">
      <c r="A233" s="3"/>
      <c r="B233" s="212"/>
      <c r="C233" s="279" t="str">
        <f t="shared" si="143"/>
        <v>Residential</v>
      </c>
      <c r="D233" s="279" t="str">
        <f t="shared" si="143"/>
        <v/>
      </c>
      <c r="E233" s="557" t="str">
        <f t="shared" si="143"/>
        <v>.</v>
      </c>
      <c r="F233" s="579"/>
      <c r="G233" s="578"/>
      <c r="H233" s="578"/>
      <c r="I233" s="578"/>
      <c r="J233" s="578"/>
      <c r="K233" s="578"/>
      <c r="L233" s="579"/>
      <c r="M233" s="220"/>
      <c r="N233" s="3"/>
      <c r="O233" s="655">
        <f t="shared" si="138"/>
        <v>0</v>
      </c>
      <c r="P233" s="657">
        <f t="shared" si="138"/>
        <v>0</v>
      </c>
      <c r="Q233" s="3"/>
      <c r="R233" s="212"/>
      <c r="S233" s="699" t="str">
        <f t="shared" si="145"/>
        <v>.</v>
      </c>
      <c r="T233" s="700" t="str">
        <f t="shared" si="146"/>
        <v>.</v>
      </c>
      <c r="U233" s="700" t="str">
        <f t="shared" si="147"/>
        <v>.</v>
      </c>
      <c r="V233" s="700" t="str">
        <f t="shared" si="148"/>
        <v>.</v>
      </c>
      <c r="W233" s="700" t="str">
        <f t="shared" si="149"/>
        <v>.</v>
      </c>
      <c r="X233" s="700" t="str">
        <f t="shared" si="150"/>
        <v>.</v>
      </c>
      <c r="Y233" s="701" t="str">
        <f t="shared" si="151"/>
        <v>.</v>
      </c>
      <c r="Z233" s="3"/>
      <c r="AA233" s="985" t="str">
        <f t="shared" si="166"/>
        <v>.</v>
      </c>
      <c r="AB233" s="702" t="str">
        <f t="shared" si="153"/>
        <v>.</v>
      </c>
      <c r="AC233" s="702" t="str">
        <f t="shared" si="154"/>
        <v>.</v>
      </c>
      <c r="AD233" s="702" t="str">
        <f t="shared" si="155"/>
        <v>.</v>
      </c>
      <c r="AE233" s="702" t="str">
        <f t="shared" si="156"/>
        <v>.</v>
      </c>
      <c r="AF233" s="702" t="str">
        <f t="shared" si="157"/>
        <v>.</v>
      </c>
      <c r="AG233" s="986" t="str">
        <f t="shared" si="158"/>
        <v>.</v>
      </c>
      <c r="AH233" s="3"/>
      <c r="AI233" s="699" t="str">
        <f>IF(S233=".",".",SUM($S233:S233))</f>
        <v>.</v>
      </c>
      <c r="AJ233" s="700" t="str">
        <f>IF(T233=".",".",SUM($S233:T233))</f>
        <v>.</v>
      </c>
      <c r="AK233" s="700" t="str">
        <f>IF(U233=".",".",SUM($S233:U233))</f>
        <v>.</v>
      </c>
      <c r="AL233" s="700" t="str">
        <f>IF(V233=".",".",SUM($S233:V233))</f>
        <v>.</v>
      </c>
      <c r="AM233" s="700" t="str">
        <f>IF(W233=".",".",SUM($S233:W233))</f>
        <v>.</v>
      </c>
      <c r="AN233" s="700" t="str">
        <f>IF(X233=".",".",SUM($S233:X233))</f>
        <v>.</v>
      </c>
      <c r="AO233" s="701" t="str">
        <f>IF(Y233=".",".",SUM($S233:Y233))</f>
        <v>.</v>
      </c>
      <c r="AP233" s="3"/>
      <c r="AQ233" s="985" t="str">
        <f t="shared" si="165"/>
        <v>.</v>
      </c>
      <c r="AR233" s="702" t="str">
        <f t="shared" si="159"/>
        <v>.</v>
      </c>
      <c r="AS233" s="702" t="str">
        <f t="shared" si="160"/>
        <v>.</v>
      </c>
      <c r="AT233" s="702" t="str">
        <f t="shared" si="161"/>
        <v>.</v>
      </c>
      <c r="AU233" s="702" t="str">
        <f t="shared" si="162"/>
        <v>.</v>
      </c>
      <c r="AV233" s="702" t="str">
        <f t="shared" si="163"/>
        <v>.</v>
      </c>
      <c r="AW233" s="986" t="str">
        <f t="shared" si="164"/>
        <v>.</v>
      </c>
      <c r="AX233" s="214"/>
      <c r="AY233" s="3"/>
      <c r="AZ233" s="3"/>
      <c r="BA233" s="3"/>
      <c r="BB233" s="3"/>
    </row>
    <row r="234" spans="1:54" ht="12" x14ac:dyDescent="0.25">
      <c r="A234" s="3"/>
      <c r="B234" s="212"/>
      <c r="C234" s="279" t="str">
        <f t="shared" si="143"/>
        <v>Residential</v>
      </c>
      <c r="D234" s="279" t="str">
        <f t="shared" si="143"/>
        <v/>
      </c>
      <c r="E234" s="557" t="str">
        <f t="shared" si="143"/>
        <v>.</v>
      </c>
      <c r="F234" s="579"/>
      <c r="G234" s="578"/>
      <c r="H234" s="578"/>
      <c r="I234" s="578"/>
      <c r="J234" s="578"/>
      <c r="K234" s="578"/>
      <c r="L234" s="579"/>
      <c r="M234" s="220"/>
      <c r="N234" s="3"/>
      <c r="O234" s="655">
        <f t="shared" si="138"/>
        <v>0</v>
      </c>
      <c r="P234" s="657">
        <f t="shared" si="138"/>
        <v>0</v>
      </c>
      <c r="Q234" s="3"/>
      <c r="R234" s="212"/>
      <c r="S234" s="699" t="str">
        <f t="shared" si="145"/>
        <v>.</v>
      </c>
      <c r="T234" s="700" t="str">
        <f t="shared" si="146"/>
        <v>.</v>
      </c>
      <c r="U234" s="700" t="str">
        <f t="shared" si="147"/>
        <v>.</v>
      </c>
      <c r="V234" s="700" t="str">
        <f t="shared" si="148"/>
        <v>.</v>
      </c>
      <c r="W234" s="700" t="str">
        <f t="shared" si="149"/>
        <v>.</v>
      </c>
      <c r="X234" s="700" t="str">
        <f t="shared" si="150"/>
        <v>.</v>
      </c>
      <c r="Y234" s="701" t="str">
        <f t="shared" si="151"/>
        <v>.</v>
      </c>
      <c r="Z234" s="3"/>
      <c r="AA234" s="985" t="str">
        <f t="shared" si="166"/>
        <v>.</v>
      </c>
      <c r="AB234" s="702" t="str">
        <f t="shared" si="153"/>
        <v>.</v>
      </c>
      <c r="AC234" s="702" t="str">
        <f t="shared" si="154"/>
        <v>.</v>
      </c>
      <c r="AD234" s="702" t="str">
        <f t="shared" si="155"/>
        <v>.</v>
      </c>
      <c r="AE234" s="702" t="str">
        <f t="shared" si="156"/>
        <v>.</v>
      </c>
      <c r="AF234" s="702" t="str">
        <f t="shared" si="157"/>
        <v>.</v>
      </c>
      <c r="AG234" s="986" t="str">
        <f t="shared" si="158"/>
        <v>.</v>
      </c>
      <c r="AH234" s="3"/>
      <c r="AI234" s="699" t="str">
        <f>IF(S234=".",".",SUM($S234:S234))</f>
        <v>.</v>
      </c>
      <c r="AJ234" s="700" t="str">
        <f>IF(T234=".",".",SUM($S234:T234))</f>
        <v>.</v>
      </c>
      <c r="AK234" s="700" t="str">
        <f>IF(U234=".",".",SUM($S234:U234))</f>
        <v>.</v>
      </c>
      <c r="AL234" s="700" t="str">
        <f>IF(V234=".",".",SUM($S234:V234))</f>
        <v>.</v>
      </c>
      <c r="AM234" s="700" t="str">
        <f>IF(W234=".",".",SUM($S234:W234))</f>
        <v>.</v>
      </c>
      <c r="AN234" s="700" t="str">
        <f>IF(X234=".",".",SUM($S234:X234))</f>
        <v>.</v>
      </c>
      <c r="AO234" s="701" t="str">
        <f>IF(Y234=".",".",SUM($S234:Y234))</f>
        <v>.</v>
      </c>
      <c r="AP234" s="3"/>
      <c r="AQ234" s="985" t="str">
        <f t="shared" si="165"/>
        <v>.</v>
      </c>
      <c r="AR234" s="702" t="str">
        <f t="shared" si="159"/>
        <v>.</v>
      </c>
      <c r="AS234" s="702" t="str">
        <f t="shared" si="160"/>
        <v>.</v>
      </c>
      <c r="AT234" s="702" t="str">
        <f t="shared" si="161"/>
        <v>.</v>
      </c>
      <c r="AU234" s="702" t="str">
        <f t="shared" si="162"/>
        <v>.</v>
      </c>
      <c r="AV234" s="702" t="str">
        <f t="shared" si="163"/>
        <v>.</v>
      </c>
      <c r="AW234" s="986" t="str">
        <f t="shared" si="164"/>
        <v>.</v>
      </c>
      <c r="AX234" s="214"/>
      <c r="AY234" s="3"/>
      <c r="AZ234" s="3"/>
      <c r="BA234" s="3"/>
      <c r="BB234" s="3"/>
    </row>
    <row r="235" spans="1:54" ht="12" x14ac:dyDescent="0.25">
      <c r="A235" s="3"/>
      <c r="B235" s="212"/>
      <c r="C235" s="279" t="str">
        <f t="shared" si="143"/>
        <v>Residential</v>
      </c>
      <c r="D235" s="279" t="str">
        <f t="shared" si="143"/>
        <v/>
      </c>
      <c r="E235" s="557" t="str">
        <f t="shared" si="143"/>
        <v>.</v>
      </c>
      <c r="F235" s="579"/>
      <c r="G235" s="578"/>
      <c r="H235" s="578"/>
      <c r="I235" s="578"/>
      <c r="J235" s="578"/>
      <c r="K235" s="578"/>
      <c r="L235" s="579"/>
      <c r="M235" s="220"/>
      <c r="N235" s="3"/>
      <c r="O235" s="655">
        <f t="shared" si="138"/>
        <v>0</v>
      </c>
      <c r="P235" s="657">
        <f t="shared" si="138"/>
        <v>0</v>
      </c>
      <c r="Q235" s="3"/>
      <c r="R235" s="212"/>
      <c r="S235" s="699" t="str">
        <f t="shared" si="145"/>
        <v>.</v>
      </c>
      <c r="T235" s="700" t="str">
        <f t="shared" si="146"/>
        <v>.</v>
      </c>
      <c r="U235" s="700" t="str">
        <f t="shared" si="147"/>
        <v>.</v>
      </c>
      <c r="V235" s="700" t="str">
        <f t="shared" si="148"/>
        <v>.</v>
      </c>
      <c r="W235" s="700" t="str">
        <f t="shared" si="149"/>
        <v>.</v>
      </c>
      <c r="X235" s="700" t="str">
        <f t="shared" si="150"/>
        <v>.</v>
      </c>
      <c r="Y235" s="701" t="str">
        <f t="shared" si="151"/>
        <v>.</v>
      </c>
      <c r="Z235" s="3"/>
      <c r="AA235" s="985" t="str">
        <f t="shared" si="166"/>
        <v>.</v>
      </c>
      <c r="AB235" s="702" t="str">
        <f t="shared" si="153"/>
        <v>.</v>
      </c>
      <c r="AC235" s="702" t="str">
        <f t="shared" si="154"/>
        <v>.</v>
      </c>
      <c r="AD235" s="702" t="str">
        <f t="shared" si="155"/>
        <v>.</v>
      </c>
      <c r="AE235" s="702" t="str">
        <f t="shared" si="156"/>
        <v>.</v>
      </c>
      <c r="AF235" s="702" t="str">
        <f t="shared" si="157"/>
        <v>.</v>
      </c>
      <c r="AG235" s="986" t="str">
        <f t="shared" si="158"/>
        <v>.</v>
      </c>
      <c r="AH235" s="3"/>
      <c r="AI235" s="699" t="str">
        <f>IF(S235=".",".",SUM($S235:S235))</f>
        <v>.</v>
      </c>
      <c r="AJ235" s="700" t="str">
        <f>IF(T235=".",".",SUM($S235:T235))</f>
        <v>.</v>
      </c>
      <c r="AK235" s="700" t="str">
        <f>IF(U235=".",".",SUM($S235:U235))</f>
        <v>.</v>
      </c>
      <c r="AL235" s="700" t="str">
        <f>IF(V235=".",".",SUM($S235:V235))</f>
        <v>.</v>
      </c>
      <c r="AM235" s="700" t="str">
        <f>IF(W235=".",".",SUM($S235:W235))</f>
        <v>.</v>
      </c>
      <c r="AN235" s="700" t="str">
        <f>IF(X235=".",".",SUM($S235:X235))</f>
        <v>.</v>
      </c>
      <c r="AO235" s="701" t="str">
        <f>IF(Y235=".",".",SUM($S235:Y235))</f>
        <v>.</v>
      </c>
      <c r="AP235" s="3"/>
      <c r="AQ235" s="985" t="str">
        <f t="shared" si="165"/>
        <v>.</v>
      </c>
      <c r="AR235" s="702" t="str">
        <f t="shared" si="159"/>
        <v>.</v>
      </c>
      <c r="AS235" s="702" t="str">
        <f t="shared" si="160"/>
        <v>.</v>
      </c>
      <c r="AT235" s="702" t="str">
        <f t="shared" si="161"/>
        <v>.</v>
      </c>
      <c r="AU235" s="702" t="str">
        <f t="shared" si="162"/>
        <v>.</v>
      </c>
      <c r="AV235" s="702" t="str">
        <f t="shared" si="163"/>
        <v>.</v>
      </c>
      <c r="AW235" s="986" t="str">
        <f t="shared" si="164"/>
        <v>.</v>
      </c>
      <c r="AX235" s="214"/>
      <c r="AY235" s="3"/>
      <c r="AZ235" s="3"/>
      <c r="BA235" s="3"/>
      <c r="BB235" s="3"/>
    </row>
    <row r="236" spans="1:54" ht="12" x14ac:dyDescent="0.25">
      <c r="A236" s="3"/>
      <c r="B236" s="212"/>
      <c r="C236" s="279" t="str">
        <f t="shared" si="143"/>
        <v>Residential</v>
      </c>
      <c r="D236" s="279" t="str">
        <f t="shared" si="143"/>
        <v/>
      </c>
      <c r="E236" s="557" t="str">
        <f t="shared" si="143"/>
        <v>.</v>
      </c>
      <c r="F236" s="579"/>
      <c r="G236" s="578"/>
      <c r="H236" s="578"/>
      <c r="I236" s="578"/>
      <c r="J236" s="578"/>
      <c r="K236" s="578"/>
      <c r="L236" s="579"/>
      <c r="M236" s="220"/>
      <c r="N236" s="3"/>
      <c r="O236" s="655">
        <f t="shared" si="138"/>
        <v>0</v>
      </c>
      <c r="P236" s="657">
        <f t="shared" si="138"/>
        <v>0</v>
      </c>
      <c r="Q236" s="3"/>
      <c r="R236" s="212"/>
      <c r="S236" s="699" t="str">
        <f t="shared" si="145"/>
        <v>.</v>
      </c>
      <c r="T236" s="700" t="str">
        <f t="shared" si="146"/>
        <v>.</v>
      </c>
      <c r="U236" s="700" t="str">
        <f t="shared" si="147"/>
        <v>.</v>
      </c>
      <c r="V236" s="700" t="str">
        <f t="shared" si="148"/>
        <v>.</v>
      </c>
      <c r="W236" s="700" t="str">
        <f t="shared" si="149"/>
        <v>.</v>
      </c>
      <c r="X236" s="700" t="str">
        <f t="shared" si="150"/>
        <v>.</v>
      </c>
      <c r="Y236" s="701" t="str">
        <f t="shared" si="151"/>
        <v>.</v>
      </c>
      <c r="Z236" s="3"/>
      <c r="AA236" s="985" t="str">
        <f t="shared" si="166"/>
        <v>.</v>
      </c>
      <c r="AB236" s="702" t="str">
        <f t="shared" si="153"/>
        <v>.</v>
      </c>
      <c r="AC236" s="702" t="str">
        <f t="shared" si="154"/>
        <v>.</v>
      </c>
      <c r="AD236" s="702" t="str">
        <f t="shared" si="155"/>
        <v>.</v>
      </c>
      <c r="AE236" s="702" t="str">
        <f t="shared" si="156"/>
        <v>.</v>
      </c>
      <c r="AF236" s="702" t="str">
        <f t="shared" si="157"/>
        <v>.</v>
      </c>
      <c r="AG236" s="986" t="str">
        <f t="shared" si="158"/>
        <v>.</v>
      </c>
      <c r="AH236" s="3"/>
      <c r="AI236" s="699" t="str">
        <f>IF(S236=".",".",SUM($S236:S236))</f>
        <v>.</v>
      </c>
      <c r="AJ236" s="700" t="str">
        <f>IF(T236=".",".",SUM($S236:T236))</f>
        <v>.</v>
      </c>
      <c r="AK236" s="700" t="str">
        <f>IF(U236=".",".",SUM($S236:U236))</f>
        <v>.</v>
      </c>
      <c r="AL236" s="700" t="str">
        <f>IF(V236=".",".",SUM($S236:V236))</f>
        <v>.</v>
      </c>
      <c r="AM236" s="700" t="str">
        <f>IF(W236=".",".",SUM($S236:W236))</f>
        <v>.</v>
      </c>
      <c r="AN236" s="700" t="str">
        <f>IF(X236=".",".",SUM($S236:X236))</f>
        <v>.</v>
      </c>
      <c r="AO236" s="701" t="str">
        <f>IF(Y236=".",".",SUM($S236:Y236))</f>
        <v>.</v>
      </c>
      <c r="AP236" s="3"/>
      <c r="AQ236" s="985" t="str">
        <f t="shared" si="165"/>
        <v>.</v>
      </c>
      <c r="AR236" s="702" t="str">
        <f t="shared" si="159"/>
        <v>.</v>
      </c>
      <c r="AS236" s="702" t="str">
        <f t="shared" si="160"/>
        <v>.</v>
      </c>
      <c r="AT236" s="702" t="str">
        <f t="shared" si="161"/>
        <v>.</v>
      </c>
      <c r="AU236" s="702" t="str">
        <f t="shared" si="162"/>
        <v>.</v>
      </c>
      <c r="AV236" s="702" t="str">
        <f t="shared" si="163"/>
        <v>.</v>
      </c>
      <c r="AW236" s="986" t="str">
        <f t="shared" si="164"/>
        <v>.</v>
      </c>
      <c r="AX236" s="214"/>
      <c r="AY236" s="3"/>
      <c r="AZ236" s="3"/>
      <c r="BA236" s="3"/>
      <c r="BB236" s="3"/>
    </row>
    <row r="237" spans="1:54" ht="12" x14ac:dyDescent="0.25">
      <c r="A237" s="3"/>
      <c r="B237" s="212"/>
      <c r="C237" s="279" t="str">
        <f t="shared" si="143"/>
        <v>Residential</v>
      </c>
      <c r="D237" s="279" t="str">
        <f t="shared" si="143"/>
        <v/>
      </c>
      <c r="E237" s="557" t="str">
        <f t="shared" si="143"/>
        <v>.</v>
      </c>
      <c r="F237" s="579"/>
      <c r="G237" s="578"/>
      <c r="H237" s="578"/>
      <c r="I237" s="578"/>
      <c r="J237" s="578"/>
      <c r="K237" s="578"/>
      <c r="L237" s="579"/>
      <c r="M237" s="220"/>
      <c r="N237" s="3"/>
      <c r="O237" s="655">
        <f t="shared" si="138"/>
        <v>0</v>
      </c>
      <c r="P237" s="657">
        <f t="shared" si="138"/>
        <v>0</v>
      </c>
      <c r="Q237" s="3"/>
      <c r="R237" s="212"/>
      <c r="S237" s="699" t="str">
        <f t="shared" si="145"/>
        <v>.</v>
      </c>
      <c r="T237" s="700" t="str">
        <f t="shared" si="146"/>
        <v>.</v>
      </c>
      <c r="U237" s="700" t="str">
        <f t="shared" si="147"/>
        <v>.</v>
      </c>
      <c r="V237" s="700" t="str">
        <f t="shared" si="148"/>
        <v>.</v>
      </c>
      <c r="W237" s="700" t="str">
        <f t="shared" si="149"/>
        <v>.</v>
      </c>
      <c r="X237" s="700" t="str">
        <f t="shared" si="150"/>
        <v>.</v>
      </c>
      <c r="Y237" s="701" t="str">
        <f t="shared" si="151"/>
        <v>.</v>
      </c>
      <c r="Z237" s="3"/>
      <c r="AA237" s="985" t="str">
        <f t="shared" si="166"/>
        <v>.</v>
      </c>
      <c r="AB237" s="702" t="str">
        <f t="shared" si="153"/>
        <v>.</v>
      </c>
      <c r="AC237" s="702" t="str">
        <f t="shared" si="154"/>
        <v>.</v>
      </c>
      <c r="AD237" s="702" t="str">
        <f t="shared" si="155"/>
        <v>.</v>
      </c>
      <c r="AE237" s="702" t="str">
        <f t="shared" si="156"/>
        <v>.</v>
      </c>
      <c r="AF237" s="702" t="str">
        <f t="shared" si="157"/>
        <v>.</v>
      </c>
      <c r="AG237" s="986" t="str">
        <f t="shared" si="158"/>
        <v>.</v>
      </c>
      <c r="AH237" s="3"/>
      <c r="AI237" s="699" t="str">
        <f>IF(S237=".",".",SUM($S237:S237))</f>
        <v>.</v>
      </c>
      <c r="AJ237" s="700" t="str">
        <f>IF(T237=".",".",SUM($S237:T237))</f>
        <v>.</v>
      </c>
      <c r="AK237" s="700" t="str">
        <f>IF(U237=".",".",SUM($S237:U237))</f>
        <v>.</v>
      </c>
      <c r="AL237" s="700" t="str">
        <f>IF(V237=".",".",SUM($S237:V237))</f>
        <v>.</v>
      </c>
      <c r="AM237" s="700" t="str">
        <f>IF(W237=".",".",SUM($S237:W237))</f>
        <v>.</v>
      </c>
      <c r="AN237" s="700" t="str">
        <f>IF(X237=".",".",SUM($S237:X237))</f>
        <v>.</v>
      </c>
      <c r="AO237" s="701" t="str">
        <f>IF(Y237=".",".",SUM($S237:Y237))</f>
        <v>.</v>
      </c>
      <c r="AP237" s="3"/>
      <c r="AQ237" s="985" t="str">
        <f t="shared" si="165"/>
        <v>.</v>
      </c>
      <c r="AR237" s="702" t="str">
        <f t="shared" si="159"/>
        <v>.</v>
      </c>
      <c r="AS237" s="702" t="str">
        <f t="shared" si="160"/>
        <v>.</v>
      </c>
      <c r="AT237" s="702" t="str">
        <f t="shared" si="161"/>
        <v>.</v>
      </c>
      <c r="AU237" s="702" t="str">
        <f t="shared" si="162"/>
        <v>.</v>
      </c>
      <c r="AV237" s="702" t="str">
        <f t="shared" si="163"/>
        <v>.</v>
      </c>
      <c r="AW237" s="986" t="str">
        <f t="shared" si="164"/>
        <v>.</v>
      </c>
      <c r="AX237" s="214"/>
      <c r="AY237" s="3"/>
      <c r="AZ237" s="3"/>
      <c r="BA237" s="3"/>
      <c r="BB237" s="3"/>
    </row>
    <row r="238" spans="1:54" ht="12" x14ac:dyDescent="0.25">
      <c r="A238" s="3"/>
      <c r="B238" s="212"/>
      <c r="C238" s="279" t="str">
        <f t="shared" si="143"/>
        <v>Residential</v>
      </c>
      <c r="D238" s="279" t="str">
        <f t="shared" si="143"/>
        <v/>
      </c>
      <c r="E238" s="557" t="str">
        <f t="shared" si="143"/>
        <v>.</v>
      </c>
      <c r="F238" s="579"/>
      <c r="G238" s="578"/>
      <c r="H238" s="578"/>
      <c r="I238" s="578"/>
      <c r="J238" s="578"/>
      <c r="K238" s="578"/>
      <c r="L238" s="579"/>
      <c r="M238" s="220"/>
      <c r="N238" s="3"/>
      <c r="O238" s="655">
        <f t="shared" si="138"/>
        <v>0</v>
      </c>
      <c r="P238" s="657">
        <f t="shared" si="138"/>
        <v>0</v>
      </c>
      <c r="Q238" s="3"/>
      <c r="R238" s="212"/>
      <c r="S238" s="699" t="str">
        <f t="shared" si="145"/>
        <v>.</v>
      </c>
      <c r="T238" s="700" t="str">
        <f t="shared" si="146"/>
        <v>.</v>
      </c>
      <c r="U238" s="700" t="str">
        <f t="shared" si="147"/>
        <v>.</v>
      </c>
      <c r="V238" s="700" t="str">
        <f t="shared" si="148"/>
        <v>.</v>
      </c>
      <c r="W238" s="700" t="str">
        <f t="shared" si="149"/>
        <v>.</v>
      </c>
      <c r="X238" s="700" t="str">
        <f t="shared" si="150"/>
        <v>.</v>
      </c>
      <c r="Y238" s="701" t="str">
        <f t="shared" si="151"/>
        <v>.</v>
      </c>
      <c r="Z238" s="3"/>
      <c r="AA238" s="985" t="str">
        <f t="shared" si="166"/>
        <v>.</v>
      </c>
      <c r="AB238" s="702" t="str">
        <f t="shared" si="153"/>
        <v>.</v>
      </c>
      <c r="AC238" s="702" t="str">
        <f t="shared" si="154"/>
        <v>.</v>
      </c>
      <c r="AD238" s="702" t="str">
        <f t="shared" si="155"/>
        <v>.</v>
      </c>
      <c r="AE238" s="702" t="str">
        <f t="shared" si="156"/>
        <v>.</v>
      </c>
      <c r="AF238" s="702" t="str">
        <f t="shared" si="157"/>
        <v>.</v>
      </c>
      <c r="AG238" s="986" t="str">
        <f t="shared" si="158"/>
        <v>.</v>
      </c>
      <c r="AH238" s="3"/>
      <c r="AI238" s="699" t="str">
        <f>IF(S238=".",".",SUM($S238:S238))</f>
        <v>.</v>
      </c>
      <c r="AJ238" s="700" t="str">
        <f>IF(T238=".",".",SUM($S238:T238))</f>
        <v>.</v>
      </c>
      <c r="AK238" s="700" t="str">
        <f>IF(U238=".",".",SUM($S238:U238))</f>
        <v>.</v>
      </c>
      <c r="AL238" s="700" t="str">
        <f>IF(V238=".",".",SUM($S238:V238))</f>
        <v>.</v>
      </c>
      <c r="AM238" s="700" t="str">
        <f>IF(W238=".",".",SUM($S238:W238))</f>
        <v>.</v>
      </c>
      <c r="AN238" s="700" t="str">
        <f>IF(X238=".",".",SUM($S238:X238))</f>
        <v>.</v>
      </c>
      <c r="AO238" s="701" t="str">
        <f>IF(Y238=".",".",SUM($S238:Y238))</f>
        <v>.</v>
      </c>
      <c r="AP238" s="3"/>
      <c r="AQ238" s="985" t="str">
        <f t="shared" si="165"/>
        <v>.</v>
      </c>
      <c r="AR238" s="702" t="str">
        <f t="shared" si="159"/>
        <v>.</v>
      </c>
      <c r="AS238" s="702" t="str">
        <f t="shared" si="160"/>
        <v>.</v>
      </c>
      <c r="AT238" s="702" t="str">
        <f t="shared" si="161"/>
        <v>.</v>
      </c>
      <c r="AU238" s="702" t="str">
        <f t="shared" si="162"/>
        <v>.</v>
      </c>
      <c r="AV238" s="702" t="str">
        <f t="shared" si="163"/>
        <v>.</v>
      </c>
      <c r="AW238" s="986" t="str">
        <f t="shared" si="164"/>
        <v>.</v>
      </c>
      <c r="AX238" s="214"/>
      <c r="AY238" s="3"/>
      <c r="AZ238" s="3"/>
      <c r="BA238" s="3"/>
      <c r="BB238" s="3"/>
    </row>
    <row r="239" spans="1:54" ht="12" x14ac:dyDescent="0.25">
      <c r="A239" s="3"/>
      <c r="B239" s="212"/>
      <c r="C239" s="279" t="str">
        <f t="shared" si="143"/>
        <v>Residential</v>
      </c>
      <c r="D239" s="279" t="str">
        <f t="shared" si="143"/>
        <v/>
      </c>
      <c r="E239" s="557" t="str">
        <f t="shared" si="143"/>
        <v>.</v>
      </c>
      <c r="F239" s="579"/>
      <c r="G239" s="578"/>
      <c r="H239" s="578"/>
      <c r="I239" s="578"/>
      <c r="J239" s="578"/>
      <c r="K239" s="578"/>
      <c r="L239" s="579"/>
      <c r="M239" s="220"/>
      <c r="N239" s="3"/>
      <c r="O239" s="655">
        <f t="shared" si="138"/>
        <v>0</v>
      </c>
      <c r="P239" s="657">
        <f t="shared" si="138"/>
        <v>0</v>
      </c>
      <c r="Q239" s="3"/>
      <c r="R239" s="212"/>
      <c r="S239" s="699" t="str">
        <f t="shared" si="145"/>
        <v>.</v>
      </c>
      <c r="T239" s="700" t="str">
        <f t="shared" si="146"/>
        <v>.</v>
      </c>
      <c r="U239" s="700" t="str">
        <f t="shared" si="147"/>
        <v>.</v>
      </c>
      <c r="V239" s="700" t="str">
        <f t="shared" si="148"/>
        <v>.</v>
      </c>
      <c r="W239" s="700" t="str">
        <f t="shared" si="149"/>
        <v>.</v>
      </c>
      <c r="X239" s="700" t="str">
        <f t="shared" si="150"/>
        <v>.</v>
      </c>
      <c r="Y239" s="701" t="str">
        <f t="shared" si="151"/>
        <v>.</v>
      </c>
      <c r="Z239" s="3"/>
      <c r="AA239" s="985" t="str">
        <f t="shared" si="166"/>
        <v>.</v>
      </c>
      <c r="AB239" s="702" t="str">
        <f t="shared" si="153"/>
        <v>.</v>
      </c>
      <c r="AC239" s="702" t="str">
        <f t="shared" si="154"/>
        <v>.</v>
      </c>
      <c r="AD239" s="702" t="str">
        <f t="shared" si="155"/>
        <v>.</v>
      </c>
      <c r="AE239" s="702" t="str">
        <f t="shared" si="156"/>
        <v>.</v>
      </c>
      <c r="AF239" s="702" t="str">
        <f t="shared" si="157"/>
        <v>.</v>
      </c>
      <c r="AG239" s="986" t="str">
        <f t="shared" si="158"/>
        <v>.</v>
      </c>
      <c r="AH239" s="3"/>
      <c r="AI239" s="699" t="str">
        <f>IF(S239=".",".",SUM($S239:S239))</f>
        <v>.</v>
      </c>
      <c r="AJ239" s="700" t="str">
        <f>IF(T239=".",".",SUM($S239:T239))</f>
        <v>.</v>
      </c>
      <c r="AK239" s="700" t="str">
        <f>IF(U239=".",".",SUM($S239:U239))</f>
        <v>.</v>
      </c>
      <c r="AL239" s="700" t="str">
        <f>IF(V239=".",".",SUM($S239:V239))</f>
        <v>.</v>
      </c>
      <c r="AM239" s="700" t="str">
        <f>IF(W239=".",".",SUM($S239:W239))</f>
        <v>.</v>
      </c>
      <c r="AN239" s="700" t="str">
        <f>IF(X239=".",".",SUM($S239:X239))</f>
        <v>.</v>
      </c>
      <c r="AO239" s="701" t="str">
        <f>IF(Y239=".",".",SUM($S239:Y239))</f>
        <v>.</v>
      </c>
      <c r="AP239" s="3"/>
      <c r="AQ239" s="985" t="str">
        <f t="shared" si="165"/>
        <v>.</v>
      </c>
      <c r="AR239" s="702" t="str">
        <f t="shared" si="159"/>
        <v>.</v>
      </c>
      <c r="AS239" s="702" t="str">
        <f t="shared" si="160"/>
        <v>.</v>
      </c>
      <c r="AT239" s="702" t="str">
        <f t="shared" si="161"/>
        <v>.</v>
      </c>
      <c r="AU239" s="702" t="str">
        <f t="shared" si="162"/>
        <v>.</v>
      </c>
      <c r="AV239" s="702" t="str">
        <f t="shared" si="163"/>
        <v>.</v>
      </c>
      <c r="AW239" s="986" t="str">
        <f t="shared" si="164"/>
        <v>.</v>
      </c>
      <c r="AX239" s="214"/>
      <c r="AY239" s="3"/>
      <c r="AZ239" s="3"/>
      <c r="BA239" s="3"/>
      <c r="BB239" s="3"/>
    </row>
    <row r="240" spans="1:54" ht="12" x14ac:dyDescent="0.25">
      <c r="A240" s="3"/>
      <c r="B240" s="212"/>
      <c r="C240" s="279" t="str">
        <f t="shared" si="143"/>
        <v>Residential</v>
      </c>
      <c r="D240" s="279" t="str">
        <f t="shared" si="143"/>
        <v/>
      </c>
      <c r="E240" s="557" t="str">
        <f t="shared" si="143"/>
        <v>.</v>
      </c>
      <c r="F240" s="579"/>
      <c r="G240" s="578"/>
      <c r="H240" s="578"/>
      <c r="I240" s="578"/>
      <c r="J240" s="578"/>
      <c r="K240" s="578"/>
      <c r="L240" s="579"/>
      <c r="M240" s="220"/>
      <c r="N240" s="3"/>
      <c r="O240" s="655">
        <f t="shared" si="138"/>
        <v>0</v>
      </c>
      <c r="P240" s="657">
        <f t="shared" si="138"/>
        <v>0</v>
      </c>
      <c r="Q240" s="3"/>
      <c r="R240" s="212"/>
      <c r="S240" s="699" t="str">
        <f t="shared" si="145"/>
        <v>.</v>
      </c>
      <c r="T240" s="700" t="str">
        <f t="shared" si="146"/>
        <v>.</v>
      </c>
      <c r="U240" s="700" t="str">
        <f t="shared" si="147"/>
        <v>.</v>
      </c>
      <c r="V240" s="700" t="str">
        <f t="shared" si="148"/>
        <v>.</v>
      </c>
      <c r="W240" s="700" t="str">
        <f t="shared" si="149"/>
        <v>.</v>
      </c>
      <c r="X240" s="700" t="str">
        <f t="shared" si="150"/>
        <v>.</v>
      </c>
      <c r="Y240" s="701" t="str">
        <f t="shared" si="151"/>
        <v>.</v>
      </c>
      <c r="Z240" s="3"/>
      <c r="AA240" s="985" t="str">
        <f t="shared" si="166"/>
        <v>.</v>
      </c>
      <c r="AB240" s="702" t="str">
        <f t="shared" si="153"/>
        <v>.</v>
      </c>
      <c r="AC240" s="702" t="str">
        <f t="shared" si="154"/>
        <v>.</v>
      </c>
      <c r="AD240" s="702" t="str">
        <f t="shared" si="155"/>
        <v>.</v>
      </c>
      <c r="AE240" s="702" t="str">
        <f t="shared" si="156"/>
        <v>.</v>
      </c>
      <c r="AF240" s="702" t="str">
        <f t="shared" si="157"/>
        <v>.</v>
      </c>
      <c r="AG240" s="986" t="str">
        <f t="shared" si="158"/>
        <v>.</v>
      </c>
      <c r="AH240" s="3"/>
      <c r="AI240" s="699" t="str">
        <f>IF(S240=".",".",SUM($S240:S240))</f>
        <v>.</v>
      </c>
      <c r="AJ240" s="700" t="str">
        <f>IF(T240=".",".",SUM($S240:T240))</f>
        <v>.</v>
      </c>
      <c r="AK240" s="700" t="str">
        <f>IF(U240=".",".",SUM($S240:U240))</f>
        <v>.</v>
      </c>
      <c r="AL240" s="700" t="str">
        <f>IF(V240=".",".",SUM($S240:V240))</f>
        <v>.</v>
      </c>
      <c r="AM240" s="700" t="str">
        <f>IF(W240=".",".",SUM($S240:W240))</f>
        <v>.</v>
      </c>
      <c r="AN240" s="700" t="str">
        <f>IF(X240=".",".",SUM($S240:X240))</f>
        <v>.</v>
      </c>
      <c r="AO240" s="701" t="str">
        <f>IF(Y240=".",".",SUM($S240:Y240))</f>
        <v>.</v>
      </c>
      <c r="AP240" s="3"/>
      <c r="AQ240" s="985" t="str">
        <f t="shared" si="165"/>
        <v>.</v>
      </c>
      <c r="AR240" s="702" t="str">
        <f t="shared" si="159"/>
        <v>.</v>
      </c>
      <c r="AS240" s="702" t="str">
        <f t="shared" si="160"/>
        <v>.</v>
      </c>
      <c r="AT240" s="702" t="str">
        <f t="shared" si="161"/>
        <v>.</v>
      </c>
      <c r="AU240" s="702" t="str">
        <f t="shared" si="162"/>
        <v>.</v>
      </c>
      <c r="AV240" s="702" t="str">
        <f t="shared" si="163"/>
        <v>.</v>
      </c>
      <c r="AW240" s="986" t="str">
        <f t="shared" si="164"/>
        <v>.</v>
      </c>
      <c r="AX240" s="214"/>
      <c r="AY240" s="3"/>
      <c r="AZ240" s="3"/>
      <c r="BA240" s="3"/>
      <c r="BB240" s="3"/>
    </row>
    <row r="241" spans="1:54" ht="12" x14ac:dyDescent="0.25">
      <c r="A241" s="3"/>
      <c r="B241" s="212"/>
      <c r="C241" s="279" t="str">
        <f t="shared" si="143"/>
        <v>Residential</v>
      </c>
      <c r="D241" s="279" t="str">
        <f t="shared" si="143"/>
        <v/>
      </c>
      <c r="E241" s="557" t="str">
        <f t="shared" si="143"/>
        <v>.</v>
      </c>
      <c r="F241" s="579"/>
      <c r="G241" s="1266"/>
      <c r="H241" s="1266"/>
      <c r="I241" s="578"/>
      <c r="J241" s="578"/>
      <c r="K241" s="578"/>
      <c r="L241" s="579"/>
      <c r="M241" s="220"/>
      <c r="N241" s="3"/>
      <c r="O241" s="655">
        <f t="shared" si="138"/>
        <v>0</v>
      </c>
      <c r="P241" s="657">
        <f t="shared" si="138"/>
        <v>0</v>
      </c>
      <c r="Q241" s="3"/>
      <c r="R241" s="212"/>
      <c r="S241" s="699" t="str">
        <f t="shared" si="145"/>
        <v>.</v>
      </c>
      <c r="T241" s="700" t="str">
        <f t="shared" si="146"/>
        <v>.</v>
      </c>
      <c r="U241" s="700" t="str">
        <f t="shared" si="147"/>
        <v>.</v>
      </c>
      <c r="V241" s="700" t="str">
        <f t="shared" si="148"/>
        <v>.</v>
      </c>
      <c r="W241" s="700" t="str">
        <f t="shared" si="149"/>
        <v>.</v>
      </c>
      <c r="X241" s="700" t="str">
        <f t="shared" si="150"/>
        <v>.</v>
      </c>
      <c r="Y241" s="701" t="str">
        <f t="shared" si="151"/>
        <v>.</v>
      </c>
      <c r="Z241" s="3"/>
      <c r="AA241" s="985" t="str">
        <f t="shared" si="166"/>
        <v>.</v>
      </c>
      <c r="AB241" s="702" t="str">
        <f t="shared" si="153"/>
        <v>.</v>
      </c>
      <c r="AC241" s="702" t="str">
        <f t="shared" si="154"/>
        <v>.</v>
      </c>
      <c r="AD241" s="702" t="str">
        <f t="shared" si="155"/>
        <v>.</v>
      </c>
      <c r="AE241" s="702" t="str">
        <f t="shared" si="156"/>
        <v>.</v>
      </c>
      <c r="AF241" s="702" t="str">
        <f t="shared" si="157"/>
        <v>.</v>
      </c>
      <c r="AG241" s="986" t="str">
        <f t="shared" si="158"/>
        <v>.</v>
      </c>
      <c r="AH241" s="3"/>
      <c r="AI241" s="699" t="str">
        <f>IF(S241=".",".",SUM($S241:S241))</f>
        <v>.</v>
      </c>
      <c r="AJ241" s="700" t="str">
        <f>IF(T241=".",".",SUM($S241:T241))</f>
        <v>.</v>
      </c>
      <c r="AK241" s="700" t="str">
        <f>IF(U241=".",".",SUM($S241:U241))</f>
        <v>.</v>
      </c>
      <c r="AL241" s="700" t="str">
        <f>IF(V241=".",".",SUM($S241:V241))</f>
        <v>.</v>
      </c>
      <c r="AM241" s="700" t="str">
        <f>IF(W241=".",".",SUM($S241:W241))</f>
        <v>.</v>
      </c>
      <c r="AN241" s="700" t="str">
        <f>IF(X241=".",".",SUM($S241:X241))</f>
        <v>.</v>
      </c>
      <c r="AO241" s="701" t="str">
        <f>IF(Y241=".",".",SUM($S241:Y241))</f>
        <v>.</v>
      </c>
      <c r="AP241" s="3"/>
      <c r="AQ241" s="985" t="str">
        <f t="shared" si="165"/>
        <v>.</v>
      </c>
      <c r="AR241" s="702" t="str">
        <f t="shared" si="159"/>
        <v>.</v>
      </c>
      <c r="AS241" s="702" t="str">
        <f t="shared" si="160"/>
        <v>.</v>
      </c>
      <c r="AT241" s="702" t="str">
        <f t="shared" si="161"/>
        <v>.</v>
      </c>
      <c r="AU241" s="702" t="str">
        <f t="shared" si="162"/>
        <v>.</v>
      </c>
      <c r="AV241" s="702" t="str">
        <f t="shared" si="163"/>
        <v>.</v>
      </c>
      <c r="AW241" s="986" t="str">
        <f t="shared" si="164"/>
        <v>.</v>
      </c>
      <c r="AX241" s="214"/>
      <c r="AY241" s="3"/>
      <c r="AZ241" s="3"/>
      <c r="BA241" s="3"/>
      <c r="BB241" s="3"/>
    </row>
    <row r="242" spans="1:54" ht="12" x14ac:dyDescent="0.25">
      <c r="A242" s="3"/>
      <c r="B242" s="212"/>
      <c r="C242" s="279" t="str">
        <f t="shared" si="143"/>
        <v>Residential</v>
      </c>
      <c r="D242" s="279" t="str">
        <f t="shared" si="143"/>
        <v/>
      </c>
      <c r="E242" s="557" t="str">
        <f t="shared" si="143"/>
        <v>.</v>
      </c>
      <c r="F242" s="579"/>
      <c r="G242" s="1266"/>
      <c r="H242" s="1266"/>
      <c r="I242" s="578"/>
      <c r="J242" s="578"/>
      <c r="K242" s="578"/>
      <c r="L242" s="579"/>
      <c r="M242" s="220"/>
      <c r="N242" s="3"/>
      <c r="O242" s="655">
        <f t="shared" ref="O242:P261" si="167">O117</f>
        <v>0</v>
      </c>
      <c r="P242" s="657">
        <f t="shared" si="167"/>
        <v>0</v>
      </c>
      <c r="Q242" s="3"/>
      <c r="R242" s="212"/>
      <c r="S242" s="699" t="str">
        <f t="shared" si="145"/>
        <v>.</v>
      </c>
      <c r="T242" s="700" t="str">
        <f t="shared" si="146"/>
        <v>.</v>
      </c>
      <c r="U242" s="700" t="str">
        <f t="shared" si="147"/>
        <v>.</v>
      </c>
      <c r="V242" s="700" t="str">
        <f t="shared" si="148"/>
        <v>.</v>
      </c>
      <c r="W242" s="700" t="str">
        <f t="shared" si="149"/>
        <v>.</v>
      </c>
      <c r="X242" s="700" t="str">
        <f t="shared" si="150"/>
        <v>.</v>
      </c>
      <c r="Y242" s="701" t="str">
        <f t="shared" si="151"/>
        <v>.</v>
      </c>
      <c r="Z242" s="3"/>
      <c r="AA242" s="985" t="str">
        <f t="shared" si="166"/>
        <v>.</v>
      </c>
      <c r="AB242" s="702" t="str">
        <f t="shared" si="153"/>
        <v>.</v>
      </c>
      <c r="AC242" s="702" t="str">
        <f t="shared" si="154"/>
        <v>.</v>
      </c>
      <c r="AD242" s="702" t="str">
        <f t="shared" si="155"/>
        <v>.</v>
      </c>
      <c r="AE242" s="702" t="str">
        <f t="shared" si="156"/>
        <v>.</v>
      </c>
      <c r="AF242" s="702" t="str">
        <f t="shared" si="157"/>
        <v>.</v>
      </c>
      <c r="AG242" s="986" t="str">
        <f t="shared" si="158"/>
        <v>.</v>
      </c>
      <c r="AH242" s="3"/>
      <c r="AI242" s="699" t="str">
        <f>IF(S242=".",".",SUM($S242:S242))</f>
        <v>.</v>
      </c>
      <c r="AJ242" s="700" t="str">
        <f>IF(T242=".",".",SUM($S242:T242))</f>
        <v>.</v>
      </c>
      <c r="AK242" s="700" t="str">
        <f>IF(U242=".",".",SUM($S242:U242))</f>
        <v>.</v>
      </c>
      <c r="AL242" s="700" t="str">
        <f>IF(V242=".",".",SUM($S242:V242))</f>
        <v>.</v>
      </c>
      <c r="AM242" s="700" t="str">
        <f>IF(W242=".",".",SUM($S242:W242))</f>
        <v>.</v>
      </c>
      <c r="AN242" s="700" t="str">
        <f>IF(X242=".",".",SUM($S242:X242))</f>
        <v>.</v>
      </c>
      <c r="AO242" s="701" t="str">
        <f>IF(Y242=".",".",SUM($S242:Y242))</f>
        <v>.</v>
      </c>
      <c r="AP242" s="3"/>
      <c r="AQ242" s="985" t="str">
        <f t="shared" si="165"/>
        <v>.</v>
      </c>
      <c r="AR242" s="702" t="str">
        <f t="shared" si="159"/>
        <v>.</v>
      </c>
      <c r="AS242" s="702" t="str">
        <f t="shared" si="160"/>
        <v>.</v>
      </c>
      <c r="AT242" s="702" t="str">
        <f t="shared" si="161"/>
        <v>.</v>
      </c>
      <c r="AU242" s="702" t="str">
        <f t="shared" si="162"/>
        <v>.</v>
      </c>
      <c r="AV242" s="702" t="str">
        <f t="shared" si="163"/>
        <v>.</v>
      </c>
      <c r="AW242" s="986" t="str">
        <f t="shared" si="164"/>
        <v>.</v>
      </c>
      <c r="AX242" s="214"/>
      <c r="AY242" s="3"/>
      <c r="AZ242" s="3"/>
      <c r="BA242" s="3"/>
      <c r="BB242" s="3"/>
    </row>
    <row r="243" spans="1:54" ht="12" x14ac:dyDescent="0.25">
      <c r="A243" s="3"/>
      <c r="B243" s="212"/>
      <c r="C243" s="279" t="str">
        <f t="shared" si="143"/>
        <v>Special rate</v>
      </c>
      <c r="D243" s="279" t="str">
        <f t="shared" si="143"/>
        <v>Cachments - Residential</v>
      </c>
      <c r="E243" s="557">
        <f t="shared" si="143"/>
        <v>60.553196271248837</v>
      </c>
      <c r="F243" s="579">
        <f>+E243*1.037</f>
        <v>62.793664533285039</v>
      </c>
      <c r="G243" s="1266">
        <f t="shared" ref="G243:L243" si="168">+F243*1.025</f>
        <v>64.363506146617155</v>
      </c>
      <c r="H243" s="1266">
        <f t="shared" si="168"/>
        <v>65.972593800282581</v>
      </c>
      <c r="I243" s="579">
        <f t="shared" si="168"/>
        <v>67.621908645289636</v>
      </c>
      <c r="J243" s="579">
        <f t="shared" si="168"/>
        <v>69.312456361421866</v>
      </c>
      <c r="K243" s="579">
        <f t="shared" si="168"/>
        <v>71.0452677704574</v>
      </c>
      <c r="L243" s="579">
        <f t="shared" si="168"/>
        <v>72.821399464718823</v>
      </c>
      <c r="M243" s="220"/>
      <c r="N243" s="3"/>
      <c r="O243" s="655">
        <f t="shared" si="167"/>
        <v>52016</v>
      </c>
      <c r="P243" s="657">
        <f t="shared" si="167"/>
        <v>52016</v>
      </c>
      <c r="Q243" s="3"/>
      <c r="R243" s="212"/>
      <c r="S243" s="699">
        <f t="shared" si="145"/>
        <v>2.2404682620362024</v>
      </c>
      <c r="T243" s="700">
        <f t="shared" si="146"/>
        <v>1.569841613332116</v>
      </c>
      <c r="U243" s="700">
        <f t="shared" si="147"/>
        <v>1.6090876536654264</v>
      </c>
      <c r="V243" s="700">
        <f t="shared" si="148"/>
        <v>1.6493148450070549</v>
      </c>
      <c r="W243" s="700">
        <f t="shared" si="149"/>
        <v>1.6905477161322295</v>
      </c>
      <c r="X243" s="700">
        <f t="shared" si="150"/>
        <v>1.7328114090355342</v>
      </c>
      <c r="Y243" s="701">
        <f t="shared" si="151"/>
        <v>1.7761316942614229</v>
      </c>
      <c r="Z243" s="3"/>
      <c r="AA243" s="985">
        <f t="shared" si="166"/>
        <v>3.6999999999999922E-2</v>
      </c>
      <c r="AB243" s="702">
        <f t="shared" si="153"/>
        <v>2.4999999999999911E-2</v>
      </c>
      <c r="AC243" s="702">
        <f t="shared" si="154"/>
        <v>2.4999999999999911E-2</v>
      </c>
      <c r="AD243" s="702">
        <f t="shared" si="155"/>
        <v>2.4999999999999911E-2</v>
      </c>
      <c r="AE243" s="702">
        <f t="shared" si="156"/>
        <v>2.4999999999999911E-2</v>
      </c>
      <c r="AF243" s="702">
        <f t="shared" si="157"/>
        <v>2.4999999999999911E-2</v>
      </c>
      <c r="AG243" s="986">
        <f t="shared" si="158"/>
        <v>2.4999999999999911E-2</v>
      </c>
      <c r="AH243" s="3"/>
      <c r="AI243" s="699">
        <f>IF(S243=".",".",SUM($S243:S243))</f>
        <v>2.2404682620362024</v>
      </c>
      <c r="AJ243" s="700">
        <f>IF(T243=".",".",SUM($S243:T243))</f>
        <v>3.8103098753683184</v>
      </c>
      <c r="AK243" s="700">
        <f>IF(U243=".",".",SUM($S243:U243))</f>
        <v>5.4193975290337448</v>
      </c>
      <c r="AL243" s="700">
        <f>IF(V243=".",".",SUM($S243:V243))</f>
        <v>7.0687123740407998</v>
      </c>
      <c r="AM243" s="700">
        <f>IF(W243=".",".",SUM($S243:W243))</f>
        <v>8.7592600901730293</v>
      </c>
      <c r="AN243" s="700">
        <f>IF(X243=".",".",SUM($S243:X243))</f>
        <v>10.492071499208564</v>
      </c>
      <c r="AO243" s="701">
        <f>IF(Y243=".",".",SUM($S243:Y243))</f>
        <v>12.268203193469986</v>
      </c>
      <c r="AP243" s="3"/>
      <c r="AQ243" s="985">
        <f t="shared" si="165"/>
        <v>3.6999999999999922E-2</v>
      </c>
      <c r="AR243" s="702">
        <f t="shared" si="159"/>
        <v>6.2924999999999676E-2</v>
      </c>
      <c r="AS243" s="702">
        <f t="shared" si="160"/>
        <v>8.9498124999999762E-2</v>
      </c>
      <c r="AT243" s="702">
        <f t="shared" si="161"/>
        <v>0.11673557812499946</v>
      </c>
      <c r="AU243" s="702">
        <f t="shared" si="162"/>
        <v>0.14465396757812443</v>
      </c>
      <c r="AV243" s="702">
        <f t="shared" si="163"/>
        <v>0.17327031676757731</v>
      </c>
      <c r="AW243" s="986">
        <f t="shared" si="164"/>
        <v>0.2026020746867665</v>
      </c>
      <c r="AX243" s="214"/>
      <c r="AY243" s="3"/>
      <c r="AZ243" s="3"/>
      <c r="BA243" s="3"/>
      <c r="BB243" s="3"/>
    </row>
    <row r="244" spans="1:54" ht="12" x14ac:dyDescent="0.25">
      <c r="A244" s="3"/>
      <c r="B244" s="212"/>
      <c r="C244" s="279" t="str">
        <f t="shared" si="143"/>
        <v>Special rate</v>
      </c>
      <c r="D244" s="279" t="str">
        <f t="shared" si="143"/>
        <v/>
      </c>
      <c r="E244" s="557" t="str">
        <f t="shared" si="143"/>
        <v>.</v>
      </c>
      <c r="F244" s="579"/>
      <c r="G244" s="1266"/>
      <c r="H244" s="1266"/>
      <c r="I244" s="579"/>
      <c r="J244" s="579"/>
      <c r="K244" s="579"/>
      <c r="L244" s="579"/>
      <c r="M244" s="220"/>
      <c r="N244" s="3"/>
      <c r="O244" s="655">
        <f t="shared" si="167"/>
        <v>0</v>
      </c>
      <c r="P244" s="657">
        <f t="shared" si="167"/>
        <v>0</v>
      </c>
      <c r="Q244" s="3"/>
      <c r="R244" s="212"/>
      <c r="S244" s="699" t="str">
        <f t="shared" si="145"/>
        <v>.</v>
      </c>
      <c r="T244" s="700" t="str">
        <f t="shared" si="146"/>
        <v>.</v>
      </c>
      <c r="U244" s="700" t="str">
        <f t="shared" si="147"/>
        <v>.</v>
      </c>
      <c r="V244" s="700" t="str">
        <f t="shared" si="148"/>
        <v>.</v>
      </c>
      <c r="W244" s="700" t="str">
        <f t="shared" si="149"/>
        <v>.</v>
      </c>
      <c r="X244" s="700" t="str">
        <f t="shared" si="150"/>
        <v>.</v>
      </c>
      <c r="Y244" s="701" t="str">
        <f t="shared" si="151"/>
        <v>.</v>
      </c>
      <c r="Z244" s="3"/>
      <c r="AA244" s="985" t="str">
        <f t="shared" si="166"/>
        <v>.</v>
      </c>
      <c r="AB244" s="702" t="str">
        <f t="shared" si="153"/>
        <v>.</v>
      </c>
      <c r="AC244" s="702" t="str">
        <f t="shared" si="154"/>
        <v>.</v>
      </c>
      <c r="AD244" s="702" t="str">
        <f t="shared" si="155"/>
        <v>.</v>
      </c>
      <c r="AE244" s="702" t="str">
        <f t="shared" si="156"/>
        <v>.</v>
      </c>
      <c r="AF244" s="702" t="str">
        <f t="shared" si="157"/>
        <v>.</v>
      </c>
      <c r="AG244" s="986" t="str">
        <f t="shared" si="158"/>
        <v>.</v>
      </c>
      <c r="AH244" s="3"/>
      <c r="AI244" s="699" t="str">
        <f>IF(S244=".",".",SUM($S244:S244))</f>
        <v>.</v>
      </c>
      <c r="AJ244" s="700" t="str">
        <f>IF(T244=".",".",SUM($S244:T244))</f>
        <v>.</v>
      </c>
      <c r="AK244" s="700" t="str">
        <f>IF(U244=".",".",SUM($S244:U244))</f>
        <v>.</v>
      </c>
      <c r="AL244" s="700" t="str">
        <f>IF(V244=".",".",SUM($S244:V244))</f>
        <v>.</v>
      </c>
      <c r="AM244" s="700" t="str">
        <f>IF(W244=".",".",SUM($S244:W244))</f>
        <v>.</v>
      </c>
      <c r="AN244" s="700" t="str">
        <f>IF(X244=".",".",SUM($S244:X244))</f>
        <v>.</v>
      </c>
      <c r="AO244" s="701" t="str">
        <f>IF(Y244=".",".",SUM($S244:Y244))</f>
        <v>.</v>
      </c>
      <c r="AP244" s="3"/>
      <c r="AQ244" s="985" t="str">
        <f t="shared" si="165"/>
        <v>.</v>
      </c>
      <c r="AR244" s="702" t="str">
        <f t="shared" si="159"/>
        <v>.</v>
      </c>
      <c r="AS244" s="702" t="str">
        <f t="shared" si="160"/>
        <v>.</v>
      </c>
      <c r="AT244" s="702" t="str">
        <f t="shared" si="161"/>
        <v>.</v>
      </c>
      <c r="AU244" s="702" t="str">
        <f t="shared" si="162"/>
        <v>.</v>
      </c>
      <c r="AV244" s="702" t="str">
        <f t="shared" si="163"/>
        <v>.</v>
      </c>
      <c r="AW244" s="986" t="str">
        <f t="shared" si="164"/>
        <v>.</v>
      </c>
      <c r="AX244" s="214"/>
      <c r="AY244" s="3"/>
      <c r="AZ244" s="3"/>
      <c r="BA244" s="3"/>
      <c r="BB244" s="3"/>
    </row>
    <row r="245" spans="1:54" ht="12" x14ac:dyDescent="0.25">
      <c r="A245" s="3"/>
      <c r="B245" s="212"/>
      <c r="C245" s="279" t="str">
        <f t="shared" si="143"/>
        <v>Special rate</v>
      </c>
      <c r="D245" s="279" t="str">
        <f t="shared" si="143"/>
        <v/>
      </c>
      <c r="E245" s="557" t="str">
        <f t="shared" si="143"/>
        <v>.</v>
      </c>
      <c r="F245" s="579"/>
      <c r="G245" s="1266"/>
      <c r="H245" s="1266"/>
      <c r="I245" s="578"/>
      <c r="J245" s="578"/>
      <c r="K245" s="578"/>
      <c r="L245" s="578"/>
      <c r="M245" s="220"/>
      <c r="N245" s="3"/>
      <c r="O245" s="655">
        <f t="shared" si="167"/>
        <v>0</v>
      </c>
      <c r="P245" s="657">
        <f t="shared" si="167"/>
        <v>0</v>
      </c>
      <c r="Q245" s="3"/>
      <c r="R245" s="212"/>
      <c r="S245" s="699" t="str">
        <f t="shared" si="145"/>
        <v>.</v>
      </c>
      <c r="T245" s="700" t="str">
        <f t="shared" si="146"/>
        <v>.</v>
      </c>
      <c r="U245" s="700" t="str">
        <f t="shared" si="147"/>
        <v>.</v>
      </c>
      <c r="V245" s="700" t="str">
        <f t="shared" si="148"/>
        <v>.</v>
      </c>
      <c r="W245" s="700" t="str">
        <f t="shared" si="149"/>
        <v>.</v>
      </c>
      <c r="X245" s="700" t="str">
        <f t="shared" si="150"/>
        <v>.</v>
      </c>
      <c r="Y245" s="701" t="str">
        <f t="shared" si="151"/>
        <v>.</v>
      </c>
      <c r="Z245" s="3"/>
      <c r="AA245" s="985" t="str">
        <f t="shared" si="166"/>
        <v>.</v>
      </c>
      <c r="AB245" s="702" t="str">
        <f t="shared" si="153"/>
        <v>.</v>
      </c>
      <c r="AC245" s="702" t="str">
        <f t="shared" si="154"/>
        <v>.</v>
      </c>
      <c r="AD245" s="702" t="str">
        <f t="shared" si="155"/>
        <v>.</v>
      </c>
      <c r="AE245" s="702" t="str">
        <f t="shared" si="156"/>
        <v>.</v>
      </c>
      <c r="AF245" s="702" t="str">
        <f t="shared" si="157"/>
        <v>.</v>
      </c>
      <c r="AG245" s="986" t="str">
        <f t="shared" si="158"/>
        <v>.</v>
      </c>
      <c r="AH245" s="3"/>
      <c r="AI245" s="699" t="str">
        <f>IF(S245=".",".",SUM($S245:S245))</f>
        <v>.</v>
      </c>
      <c r="AJ245" s="700" t="str">
        <f>IF(T245=".",".",SUM($S245:T245))</f>
        <v>.</v>
      </c>
      <c r="AK245" s="700" t="str">
        <f>IF(U245=".",".",SUM($S245:U245))</f>
        <v>.</v>
      </c>
      <c r="AL245" s="700" t="str">
        <f>IF(V245=".",".",SUM($S245:V245))</f>
        <v>.</v>
      </c>
      <c r="AM245" s="700" t="str">
        <f>IF(W245=".",".",SUM($S245:W245))</f>
        <v>.</v>
      </c>
      <c r="AN245" s="700" t="str">
        <f>IF(X245=".",".",SUM($S245:X245))</f>
        <v>.</v>
      </c>
      <c r="AO245" s="701" t="str">
        <f>IF(Y245=".",".",SUM($S245:Y245))</f>
        <v>.</v>
      </c>
      <c r="AP245" s="3"/>
      <c r="AQ245" s="985" t="str">
        <f t="shared" si="165"/>
        <v>.</v>
      </c>
      <c r="AR245" s="702" t="str">
        <f t="shared" si="159"/>
        <v>.</v>
      </c>
      <c r="AS245" s="702" t="str">
        <f t="shared" si="160"/>
        <v>.</v>
      </c>
      <c r="AT245" s="702" t="str">
        <f t="shared" si="161"/>
        <v>.</v>
      </c>
      <c r="AU245" s="702" t="str">
        <f t="shared" si="162"/>
        <v>.</v>
      </c>
      <c r="AV245" s="702" t="str">
        <f t="shared" si="163"/>
        <v>.</v>
      </c>
      <c r="AW245" s="986" t="str">
        <f t="shared" si="164"/>
        <v>.</v>
      </c>
      <c r="AX245" s="214"/>
      <c r="AY245" s="3"/>
      <c r="AZ245" s="3"/>
      <c r="BA245" s="3"/>
      <c r="BB245" s="3"/>
    </row>
    <row r="246" spans="1:54" ht="12" x14ac:dyDescent="0.25">
      <c r="A246" s="3"/>
      <c r="B246" s="212"/>
      <c r="C246" s="279" t="str">
        <f t="shared" si="143"/>
        <v>Special rate</v>
      </c>
      <c r="D246" s="279" t="str">
        <f t="shared" si="143"/>
        <v/>
      </c>
      <c r="E246" s="557" t="str">
        <f t="shared" si="143"/>
        <v>.</v>
      </c>
      <c r="F246" s="579"/>
      <c r="G246" s="578"/>
      <c r="H246" s="578"/>
      <c r="I246" s="578"/>
      <c r="J246" s="578"/>
      <c r="K246" s="578"/>
      <c r="L246" s="578"/>
      <c r="M246" s="220"/>
      <c r="N246" s="3"/>
      <c r="O246" s="655">
        <f t="shared" si="167"/>
        <v>0</v>
      </c>
      <c r="P246" s="657">
        <f t="shared" si="167"/>
        <v>0</v>
      </c>
      <c r="Q246" s="3"/>
      <c r="R246" s="212"/>
      <c r="S246" s="699" t="str">
        <f t="shared" si="145"/>
        <v>.</v>
      </c>
      <c r="T246" s="700" t="str">
        <f t="shared" si="146"/>
        <v>.</v>
      </c>
      <c r="U246" s="700" t="str">
        <f t="shared" si="147"/>
        <v>.</v>
      </c>
      <c r="V246" s="700" t="str">
        <f t="shared" si="148"/>
        <v>.</v>
      </c>
      <c r="W246" s="700" t="str">
        <f t="shared" si="149"/>
        <v>.</v>
      </c>
      <c r="X246" s="700" t="str">
        <f t="shared" si="150"/>
        <v>.</v>
      </c>
      <c r="Y246" s="701" t="str">
        <f t="shared" si="151"/>
        <v>.</v>
      </c>
      <c r="Z246" s="3"/>
      <c r="AA246" s="985" t="str">
        <f t="shared" si="166"/>
        <v>.</v>
      </c>
      <c r="AB246" s="702" t="str">
        <f t="shared" si="153"/>
        <v>.</v>
      </c>
      <c r="AC246" s="702" t="str">
        <f t="shared" si="154"/>
        <v>.</v>
      </c>
      <c r="AD246" s="702" t="str">
        <f t="shared" si="155"/>
        <v>.</v>
      </c>
      <c r="AE246" s="702" t="str">
        <f t="shared" si="156"/>
        <v>.</v>
      </c>
      <c r="AF246" s="702" t="str">
        <f t="shared" si="157"/>
        <v>.</v>
      </c>
      <c r="AG246" s="986" t="str">
        <f t="shared" si="158"/>
        <v>.</v>
      </c>
      <c r="AH246" s="3"/>
      <c r="AI246" s="699" t="str">
        <f>IF(S246=".",".",SUM($S246:S246))</f>
        <v>.</v>
      </c>
      <c r="AJ246" s="700" t="str">
        <f>IF(T246=".",".",SUM($S246:T246))</f>
        <v>.</v>
      </c>
      <c r="AK246" s="700" t="str">
        <f>IF(U246=".",".",SUM($S246:U246))</f>
        <v>.</v>
      </c>
      <c r="AL246" s="700" t="str">
        <f>IF(V246=".",".",SUM($S246:V246))</f>
        <v>.</v>
      </c>
      <c r="AM246" s="700" t="str">
        <f>IF(W246=".",".",SUM($S246:W246))</f>
        <v>.</v>
      </c>
      <c r="AN246" s="700" t="str">
        <f>IF(X246=".",".",SUM($S246:X246))</f>
        <v>.</v>
      </c>
      <c r="AO246" s="701" t="str">
        <f>IF(Y246=".",".",SUM($S246:Y246))</f>
        <v>.</v>
      </c>
      <c r="AP246" s="3"/>
      <c r="AQ246" s="985" t="str">
        <f t="shared" si="165"/>
        <v>.</v>
      </c>
      <c r="AR246" s="702" t="str">
        <f t="shared" si="159"/>
        <v>.</v>
      </c>
      <c r="AS246" s="702" t="str">
        <f t="shared" si="160"/>
        <v>.</v>
      </c>
      <c r="AT246" s="702" t="str">
        <f t="shared" si="161"/>
        <v>.</v>
      </c>
      <c r="AU246" s="702" t="str">
        <f t="shared" si="162"/>
        <v>.</v>
      </c>
      <c r="AV246" s="702" t="str">
        <f t="shared" si="163"/>
        <v>.</v>
      </c>
      <c r="AW246" s="986" t="str">
        <f t="shared" si="164"/>
        <v>.</v>
      </c>
      <c r="AX246" s="214"/>
      <c r="AY246" s="3"/>
      <c r="AZ246" s="3"/>
      <c r="BA246" s="3"/>
      <c r="BB246" s="3"/>
    </row>
    <row r="247" spans="1:54" ht="12" x14ac:dyDescent="0.25">
      <c r="A247" s="3"/>
      <c r="B247" s="212"/>
      <c r="C247" s="279" t="str">
        <f t="shared" si="143"/>
        <v>Special rate</v>
      </c>
      <c r="D247" s="279" t="str">
        <f t="shared" si="143"/>
        <v/>
      </c>
      <c r="E247" s="557" t="str">
        <f t="shared" si="143"/>
        <v>.</v>
      </c>
      <c r="F247" s="579"/>
      <c r="G247" s="578"/>
      <c r="H247" s="578"/>
      <c r="I247" s="578"/>
      <c r="J247" s="578"/>
      <c r="K247" s="578"/>
      <c r="L247" s="578"/>
      <c r="M247" s="220"/>
      <c r="N247" s="3"/>
      <c r="O247" s="655">
        <f t="shared" si="167"/>
        <v>0</v>
      </c>
      <c r="P247" s="657">
        <f t="shared" si="167"/>
        <v>0</v>
      </c>
      <c r="Q247" s="3"/>
      <c r="R247" s="212"/>
      <c r="S247" s="699" t="str">
        <f t="shared" si="145"/>
        <v>.</v>
      </c>
      <c r="T247" s="700" t="str">
        <f t="shared" si="146"/>
        <v>.</v>
      </c>
      <c r="U247" s="700" t="str">
        <f t="shared" si="147"/>
        <v>.</v>
      </c>
      <c r="V247" s="700" t="str">
        <f t="shared" si="148"/>
        <v>.</v>
      </c>
      <c r="W247" s="700" t="str">
        <f t="shared" si="149"/>
        <v>.</v>
      </c>
      <c r="X247" s="700" t="str">
        <f t="shared" si="150"/>
        <v>.</v>
      </c>
      <c r="Y247" s="701" t="str">
        <f t="shared" si="151"/>
        <v>.</v>
      </c>
      <c r="Z247" s="3"/>
      <c r="AA247" s="985" t="str">
        <f t="shared" si="166"/>
        <v>.</v>
      </c>
      <c r="AB247" s="702" t="str">
        <f t="shared" si="153"/>
        <v>.</v>
      </c>
      <c r="AC247" s="702" t="str">
        <f t="shared" si="154"/>
        <v>.</v>
      </c>
      <c r="AD247" s="702" t="str">
        <f t="shared" si="155"/>
        <v>.</v>
      </c>
      <c r="AE247" s="702" t="str">
        <f t="shared" si="156"/>
        <v>.</v>
      </c>
      <c r="AF247" s="702" t="str">
        <f t="shared" si="157"/>
        <v>.</v>
      </c>
      <c r="AG247" s="986" t="str">
        <f t="shared" si="158"/>
        <v>.</v>
      </c>
      <c r="AH247" s="3"/>
      <c r="AI247" s="699" t="str">
        <f>IF(S247=".",".",SUM($S247:S247))</f>
        <v>.</v>
      </c>
      <c r="AJ247" s="700" t="str">
        <f>IF(T247=".",".",SUM($S247:T247))</f>
        <v>.</v>
      </c>
      <c r="AK247" s="700" t="str">
        <f>IF(U247=".",".",SUM($S247:U247))</f>
        <v>.</v>
      </c>
      <c r="AL247" s="700" t="str">
        <f>IF(V247=".",".",SUM($S247:V247))</f>
        <v>.</v>
      </c>
      <c r="AM247" s="700" t="str">
        <f>IF(W247=".",".",SUM($S247:W247))</f>
        <v>.</v>
      </c>
      <c r="AN247" s="700" t="str">
        <f>IF(X247=".",".",SUM($S247:X247))</f>
        <v>.</v>
      </c>
      <c r="AO247" s="701" t="str">
        <f>IF(Y247=".",".",SUM($S247:Y247))</f>
        <v>.</v>
      </c>
      <c r="AP247" s="3"/>
      <c r="AQ247" s="985" t="str">
        <f t="shared" si="165"/>
        <v>.</v>
      </c>
      <c r="AR247" s="702" t="str">
        <f t="shared" si="159"/>
        <v>.</v>
      </c>
      <c r="AS247" s="702" t="str">
        <f t="shared" si="160"/>
        <v>.</v>
      </c>
      <c r="AT247" s="702" t="str">
        <f t="shared" si="161"/>
        <v>.</v>
      </c>
      <c r="AU247" s="702" t="str">
        <f t="shared" si="162"/>
        <v>.</v>
      </c>
      <c r="AV247" s="702" t="str">
        <f t="shared" si="163"/>
        <v>.</v>
      </c>
      <c r="AW247" s="986" t="str">
        <f t="shared" si="164"/>
        <v>.</v>
      </c>
      <c r="AX247" s="214"/>
      <c r="AY247" s="3"/>
      <c r="AZ247" s="3"/>
      <c r="BA247" s="3"/>
      <c r="BB247" s="3"/>
    </row>
    <row r="248" spans="1:54" ht="12" x14ac:dyDescent="0.25">
      <c r="A248" s="3"/>
      <c r="B248" s="212"/>
      <c r="C248" s="279" t="str">
        <f t="shared" si="143"/>
        <v>Special rate</v>
      </c>
      <c r="D248" s="279" t="str">
        <f t="shared" si="143"/>
        <v/>
      </c>
      <c r="E248" s="557" t="str">
        <f t="shared" si="143"/>
        <v>.</v>
      </c>
      <c r="F248" s="579"/>
      <c r="G248" s="578"/>
      <c r="H248" s="578"/>
      <c r="I248" s="578"/>
      <c r="J248" s="578"/>
      <c r="K248" s="578"/>
      <c r="L248" s="578"/>
      <c r="M248" s="220"/>
      <c r="N248" s="3"/>
      <c r="O248" s="655">
        <f t="shared" si="167"/>
        <v>0</v>
      </c>
      <c r="P248" s="657">
        <f t="shared" si="167"/>
        <v>0</v>
      </c>
      <c r="Q248" s="3"/>
      <c r="R248" s="212"/>
      <c r="S248" s="699" t="str">
        <f t="shared" si="145"/>
        <v>.</v>
      </c>
      <c r="T248" s="700" t="str">
        <f t="shared" si="146"/>
        <v>.</v>
      </c>
      <c r="U248" s="700" t="str">
        <f t="shared" si="147"/>
        <v>.</v>
      </c>
      <c r="V248" s="700" t="str">
        <f t="shared" si="148"/>
        <v>.</v>
      </c>
      <c r="W248" s="700" t="str">
        <f t="shared" si="149"/>
        <v>.</v>
      </c>
      <c r="X248" s="700" t="str">
        <f t="shared" si="150"/>
        <v>.</v>
      </c>
      <c r="Y248" s="701" t="str">
        <f t="shared" si="151"/>
        <v>.</v>
      </c>
      <c r="Z248" s="3"/>
      <c r="AA248" s="985" t="str">
        <f t="shared" si="166"/>
        <v>.</v>
      </c>
      <c r="AB248" s="702" t="str">
        <f t="shared" si="153"/>
        <v>.</v>
      </c>
      <c r="AC248" s="702" t="str">
        <f t="shared" si="154"/>
        <v>.</v>
      </c>
      <c r="AD248" s="702" t="str">
        <f t="shared" si="155"/>
        <v>.</v>
      </c>
      <c r="AE248" s="702" t="str">
        <f t="shared" si="156"/>
        <v>.</v>
      </c>
      <c r="AF248" s="702" t="str">
        <f t="shared" si="157"/>
        <v>.</v>
      </c>
      <c r="AG248" s="986" t="str">
        <f t="shared" si="158"/>
        <v>.</v>
      </c>
      <c r="AH248" s="3"/>
      <c r="AI248" s="699" t="str">
        <f>IF(S248=".",".",SUM($S248:S248))</f>
        <v>.</v>
      </c>
      <c r="AJ248" s="700" t="str">
        <f>IF(T248=".",".",SUM($S248:T248))</f>
        <v>.</v>
      </c>
      <c r="AK248" s="700" t="str">
        <f>IF(U248=".",".",SUM($S248:U248))</f>
        <v>.</v>
      </c>
      <c r="AL248" s="700" t="str">
        <f>IF(V248=".",".",SUM($S248:V248))</f>
        <v>.</v>
      </c>
      <c r="AM248" s="700" t="str">
        <f>IF(W248=".",".",SUM($S248:W248))</f>
        <v>.</v>
      </c>
      <c r="AN248" s="700" t="str">
        <f>IF(X248=".",".",SUM($S248:X248))</f>
        <v>.</v>
      </c>
      <c r="AO248" s="701" t="str">
        <f>IF(Y248=".",".",SUM($S248:Y248))</f>
        <v>.</v>
      </c>
      <c r="AP248" s="3"/>
      <c r="AQ248" s="985" t="str">
        <f t="shared" si="165"/>
        <v>.</v>
      </c>
      <c r="AR248" s="702" t="str">
        <f t="shared" si="159"/>
        <v>.</v>
      </c>
      <c r="AS248" s="702" t="str">
        <f t="shared" si="160"/>
        <v>.</v>
      </c>
      <c r="AT248" s="702" t="str">
        <f t="shared" si="161"/>
        <v>.</v>
      </c>
      <c r="AU248" s="702" t="str">
        <f t="shared" si="162"/>
        <v>.</v>
      </c>
      <c r="AV248" s="702" t="str">
        <f t="shared" si="163"/>
        <v>.</v>
      </c>
      <c r="AW248" s="986" t="str">
        <f t="shared" si="164"/>
        <v>.</v>
      </c>
      <c r="AX248" s="214"/>
      <c r="AY248" s="3"/>
      <c r="AZ248" s="3"/>
      <c r="BA248" s="3"/>
      <c r="BB248" s="3"/>
    </row>
    <row r="249" spans="1:54" ht="12" x14ac:dyDescent="0.25">
      <c r="A249" s="3"/>
      <c r="B249" s="212"/>
      <c r="C249" s="279" t="str">
        <f t="shared" si="143"/>
        <v>Special rate</v>
      </c>
      <c r="D249" s="279" t="str">
        <f t="shared" si="143"/>
        <v/>
      </c>
      <c r="E249" s="557" t="str">
        <f t="shared" si="143"/>
        <v>.</v>
      </c>
      <c r="F249" s="579"/>
      <c r="G249" s="578"/>
      <c r="H249" s="578"/>
      <c r="I249" s="578"/>
      <c r="J249" s="578"/>
      <c r="K249" s="578"/>
      <c r="L249" s="578"/>
      <c r="M249" s="220"/>
      <c r="N249" s="3"/>
      <c r="O249" s="655">
        <f t="shared" si="167"/>
        <v>0</v>
      </c>
      <c r="P249" s="657">
        <f t="shared" si="167"/>
        <v>0</v>
      </c>
      <c r="Q249" s="3"/>
      <c r="R249" s="212"/>
      <c r="S249" s="699" t="str">
        <f t="shared" si="145"/>
        <v>.</v>
      </c>
      <c r="T249" s="700" t="str">
        <f t="shared" si="146"/>
        <v>.</v>
      </c>
      <c r="U249" s="700" t="str">
        <f t="shared" si="147"/>
        <v>.</v>
      </c>
      <c r="V249" s="700" t="str">
        <f t="shared" si="148"/>
        <v>.</v>
      </c>
      <c r="W249" s="700" t="str">
        <f t="shared" si="149"/>
        <v>.</v>
      </c>
      <c r="X249" s="700" t="str">
        <f t="shared" si="150"/>
        <v>.</v>
      </c>
      <c r="Y249" s="701" t="str">
        <f t="shared" si="151"/>
        <v>.</v>
      </c>
      <c r="Z249" s="3"/>
      <c r="AA249" s="985" t="str">
        <f t="shared" si="166"/>
        <v>.</v>
      </c>
      <c r="AB249" s="702" t="str">
        <f t="shared" si="153"/>
        <v>.</v>
      </c>
      <c r="AC249" s="702" t="str">
        <f t="shared" si="154"/>
        <v>.</v>
      </c>
      <c r="AD249" s="702" t="str">
        <f t="shared" si="155"/>
        <v>.</v>
      </c>
      <c r="AE249" s="702" t="str">
        <f t="shared" si="156"/>
        <v>.</v>
      </c>
      <c r="AF249" s="702" t="str">
        <f t="shared" si="157"/>
        <v>.</v>
      </c>
      <c r="AG249" s="986" t="str">
        <f t="shared" si="158"/>
        <v>.</v>
      </c>
      <c r="AH249" s="3"/>
      <c r="AI249" s="699" t="str">
        <f>IF(S249=".",".",SUM($S249:S249))</f>
        <v>.</v>
      </c>
      <c r="AJ249" s="700" t="str">
        <f>IF(T249=".",".",SUM($S249:T249))</f>
        <v>.</v>
      </c>
      <c r="AK249" s="700" t="str">
        <f>IF(U249=".",".",SUM($S249:U249))</f>
        <v>.</v>
      </c>
      <c r="AL249" s="700" t="str">
        <f>IF(V249=".",".",SUM($S249:V249))</f>
        <v>.</v>
      </c>
      <c r="AM249" s="700" t="str">
        <f>IF(W249=".",".",SUM($S249:W249))</f>
        <v>.</v>
      </c>
      <c r="AN249" s="700" t="str">
        <f>IF(X249=".",".",SUM($S249:X249))</f>
        <v>.</v>
      </c>
      <c r="AO249" s="701" t="str">
        <f>IF(Y249=".",".",SUM($S249:Y249))</f>
        <v>.</v>
      </c>
      <c r="AP249" s="3"/>
      <c r="AQ249" s="985" t="str">
        <f t="shared" si="165"/>
        <v>.</v>
      </c>
      <c r="AR249" s="702" t="str">
        <f t="shared" si="159"/>
        <v>.</v>
      </c>
      <c r="AS249" s="702" t="str">
        <f t="shared" si="160"/>
        <v>.</v>
      </c>
      <c r="AT249" s="702" t="str">
        <f t="shared" si="161"/>
        <v>.</v>
      </c>
      <c r="AU249" s="702" t="str">
        <f t="shared" si="162"/>
        <v>.</v>
      </c>
      <c r="AV249" s="702" t="str">
        <f t="shared" si="163"/>
        <v>.</v>
      </c>
      <c r="AW249" s="986" t="str">
        <f t="shared" si="164"/>
        <v>.</v>
      </c>
      <c r="AX249" s="214"/>
      <c r="AY249" s="3"/>
      <c r="AZ249" s="3"/>
      <c r="BA249" s="3"/>
      <c r="BB249" s="3"/>
    </row>
    <row r="250" spans="1:54" ht="12" x14ac:dyDescent="0.25">
      <c r="A250" s="3"/>
      <c r="B250" s="212"/>
      <c r="C250" s="279" t="str">
        <f t="shared" si="143"/>
        <v>Special rate</v>
      </c>
      <c r="D250" s="279" t="str">
        <f t="shared" si="143"/>
        <v/>
      </c>
      <c r="E250" s="557" t="str">
        <f t="shared" si="143"/>
        <v>.</v>
      </c>
      <c r="F250" s="579"/>
      <c r="G250" s="578"/>
      <c r="H250" s="578"/>
      <c r="I250" s="578"/>
      <c r="J250" s="578"/>
      <c r="K250" s="578"/>
      <c r="L250" s="579"/>
      <c r="M250" s="220"/>
      <c r="N250" s="3"/>
      <c r="O250" s="655">
        <f t="shared" si="167"/>
        <v>0</v>
      </c>
      <c r="P250" s="657">
        <f t="shared" si="167"/>
        <v>0</v>
      </c>
      <c r="Q250" s="3"/>
      <c r="R250" s="212"/>
      <c r="S250" s="699" t="str">
        <f t="shared" si="145"/>
        <v>.</v>
      </c>
      <c r="T250" s="700" t="str">
        <f t="shared" si="146"/>
        <v>.</v>
      </c>
      <c r="U250" s="700" t="str">
        <f t="shared" si="147"/>
        <v>.</v>
      </c>
      <c r="V250" s="700" t="str">
        <f t="shared" si="148"/>
        <v>.</v>
      </c>
      <c r="W250" s="700" t="str">
        <f t="shared" si="149"/>
        <v>.</v>
      </c>
      <c r="X250" s="700" t="str">
        <f t="shared" si="150"/>
        <v>.</v>
      </c>
      <c r="Y250" s="701" t="str">
        <f t="shared" si="151"/>
        <v>.</v>
      </c>
      <c r="Z250" s="3"/>
      <c r="AA250" s="985" t="str">
        <f t="shared" si="166"/>
        <v>.</v>
      </c>
      <c r="AB250" s="702" t="str">
        <f t="shared" si="153"/>
        <v>.</v>
      </c>
      <c r="AC250" s="702" t="str">
        <f t="shared" si="154"/>
        <v>.</v>
      </c>
      <c r="AD250" s="702" t="str">
        <f t="shared" si="155"/>
        <v>.</v>
      </c>
      <c r="AE250" s="702" t="str">
        <f t="shared" si="156"/>
        <v>.</v>
      </c>
      <c r="AF250" s="702" t="str">
        <f t="shared" si="157"/>
        <v>.</v>
      </c>
      <c r="AG250" s="986" t="str">
        <f t="shared" si="158"/>
        <v>.</v>
      </c>
      <c r="AH250" s="3"/>
      <c r="AI250" s="699" t="str">
        <f>IF(S250=".",".",SUM($S250:S250))</f>
        <v>.</v>
      </c>
      <c r="AJ250" s="700" t="str">
        <f>IF(T250=".",".",SUM($S250:T250))</f>
        <v>.</v>
      </c>
      <c r="AK250" s="700" t="str">
        <f>IF(U250=".",".",SUM($S250:U250))</f>
        <v>.</v>
      </c>
      <c r="AL250" s="700" t="str">
        <f>IF(V250=".",".",SUM($S250:V250))</f>
        <v>.</v>
      </c>
      <c r="AM250" s="700" t="str">
        <f>IF(W250=".",".",SUM($S250:W250))</f>
        <v>.</v>
      </c>
      <c r="AN250" s="700" t="str">
        <f>IF(X250=".",".",SUM($S250:X250))</f>
        <v>.</v>
      </c>
      <c r="AO250" s="701" t="str">
        <f>IF(Y250=".",".",SUM($S250:Y250))</f>
        <v>.</v>
      </c>
      <c r="AP250" s="3"/>
      <c r="AQ250" s="985" t="str">
        <f t="shared" si="165"/>
        <v>.</v>
      </c>
      <c r="AR250" s="702" t="str">
        <f t="shared" si="159"/>
        <v>.</v>
      </c>
      <c r="AS250" s="702" t="str">
        <f t="shared" si="160"/>
        <v>.</v>
      </c>
      <c r="AT250" s="702" t="str">
        <f t="shared" si="161"/>
        <v>.</v>
      </c>
      <c r="AU250" s="702" t="str">
        <f t="shared" si="162"/>
        <v>.</v>
      </c>
      <c r="AV250" s="702" t="str">
        <f t="shared" si="163"/>
        <v>.</v>
      </c>
      <c r="AW250" s="986" t="str">
        <f t="shared" si="164"/>
        <v>.</v>
      </c>
      <c r="AX250" s="214"/>
      <c r="AY250" s="3"/>
      <c r="AZ250" s="3"/>
      <c r="BA250" s="3"/>
      <c r="BB250" s="3"/>
    </row>
    <row r="251" spans="1:54" ht="12" x14ac:dyDescent="0.25">
      <c r="A251" s="3"/>
      <c r="B251" s="212"/>
      <c r="C251" s="279" t="str">
        <f t="shared" si="143"/>
        <v>Special rate</v>
      </c>
      <c r="D251" s="279" t="str">
        <f t="shared" si="143"/>
        <v/>
      </c>
      <c r="E251" s="557" t="str">
        <f t="shared" si="143"/>
        <v>.</v>
      </c>
      <c r="F251" s="579"/>
      <c r="G251" s="578"/>
      <c r="H251" s="578"/>
      <c r="I251" s="578"/>
      <c r="J251" s="578"/>
      <c r="K251" s="578"/>
      <c r="L251" s="579"/>
      <c r="M251" s="220"/>
      <c r="N251" s="3"/>
      <c r="O251" s="655">
        <f t="shared" si="167"/>
        <v>0</v>
      </c>
      <c r="P251" s="657">
        <f t="shared" si="167"/>
        <v>0</v>
      </c>
      <c r="Q251" s="3"/>
      <c r="R251" s="212"/>
      <c r="S251" s="699" t="str">
        <f t="shared" si="145"/>
        <v>.</v>
      </c>
      <c r="T251" s="700" t="str">
        <f t="shared" si="146"/>
        <v>.</v>
      </c>
      <c r="U251" s="700" t="str">
        <f t="shared" si="147"/>
        <v>.</v>
      </c>
      <c r="V251" s="700" t="str">
        <f t="shared" si="148"/>
        <v>.</v>
      </c>
      <c r="W251" s="700" t="str">
        <f t="shared" si="149"/>
        <v>.</v>
      </c>
      <c r="X251" s="700" t="str">
        <f t="shared" si="150"/>
        <v>.</v>
      </c>
      <c r="Y251" s="701" t="str">
        <f t="shared" si="151"/>
        <v>.</v>
      </c>
      <c r="Z251" s="3"/>
      <c r="AA251" s="985" t="str">
        <f t="shared" si="166"/>
        <v>.</v>
      </c>
      <c r="AB251" s="702" t="str">
        <f t="shared" si="153"/>
        <v>.</v>
      </c>
      <c r="AC251" s="702" t="str">
        <f t="shared" si="154"/>
        <v>.</v>
      </c>
      <c r="AD251" s="702" t="str">
        <f t="shared" si="155"/>
        <v>.</v>
      </c>
      <c r="AE251" s="702" t="str">
        <f t="shared" si="156"/>
        <v>.</v>
      </c>
      <c r="AF251" s="702" t="str">
        <f t="shared" si="157"/>
        <v>.</v>
      </c>
      <c r="AG251" s="986" t="str">
        <f t="shared" si="158"/>
        <v>.</v>
      </c>
      <c r="AH251" s="3"/>
      <c r="AI251" s="699" t="str">
        <f>IF(S251=".",".",SUM($S251:S251))</f>
        <v>.</v>
      </c>
      <c r="AJ251" s="700" t="str">
        <f>IF(T251=".",".",SUM($S251:T251))</f>
        <v>.</v>
      </c>
      <c r="AK251" s="700" t="str">
        <f>IF(U251=".",".",SUM($S251:U251))</f>
        <v>.</v>
      </c>
      <c r="AL251" s="700" t="str">
        <f>IF(V251=".",".",SUM($S251:V251))</f>
        <v>.</v>
      </c>
      <c r="AM251" s="700" t="str">
        <f>IF(W251=".",".",SUM($S251:W251))</f>
        <v>.</v>
      </c>
      <c r="AN251" s="700" t="str">
        <f>IF(X251=".",".",SUM($S251:X251))</f>
        <v>.</v>
      </c>
      <c r="AO251" s="701" t="str">
        <f>IF(Y251=".",".",SUM($S251:Y251))</f>
        <v>.</v>
      </c>
      <c r="AP251" s="3"/>
      <c r="AQ251" s="985" t="str">
        <f t="shared" si="165"/>
        <v>.</v>
      </c>
      <c r="AR251" s="702" t="str">
        <f t="shared" si="159"/>
        <v>.</v>
      </c>
      <c r="AS251" s="702" t="str">
        <f t="shared" si="160"/>
        <v>.</v>
      </c>
      <c r="AT251" s="702" t="str">
        <f t="shared" si="161"/>
        <v>.</v>
      </c>
      <c r="AU251" s="702" t="str">
        <f t="shared" si="162"/>
        <v>.</v>
      </c>
      <c r="AV251" s="702" t="str">
        <f t="shared" si="163"/>
        <v>.</v>
      </c>
      <c r="AW251" s="986" t="str">
        <f t="shared" si="164"/>
        <v>.</v>
      </c>
      <c r="AX251" s="214"/>
      <c r="AY251" s="3"/>
      <c r="AZ251" s="3"/>
      <c r="BA251" s="3"/>
      <c r="BB251" s="3"/>
    </row>
    <row r="252" spans="1:54" ht="12" x14ac:dyDescent="0.25">
      <c r="A252" s="3"/>
      <c r="B252" s="212"/>
      <c r="C252" s="141" t="str">
        <f t="shared" si="143"/>
        <v>Special rate</v>
      </c>
      <c r="D252" s="141" t="str">
        <f t="shared" si="143"/>
        <v/>
      </c>
      <c r="E252" s="558" t="str">
        <f t="shared" si="143"/>
        <v>.</v>
      </c>
      <c r="F252" s="581"/>
      <c r="G252" s="163"/>
      <c r="H252" s="163"/>
      <c r="I252" s="163"/>
      <c r="J252" s="163"/>
      <c r="K252" s="163"/>
      <c r="L252" s="581"/>
      <c r="M252" s="220"/>
      <c r="N252" s="3"/>
      <c r="O252" s="655">
        <f t="shared" si="167"/>
        <v>0</v>
      </c>
      <c r="P252" s="657">
        <f t="shared" si="167"/>
        <v>0</v>
      </c>
      <c r="Q252" s="3"/>
      <c r="R252" s="212"/>
      <c r="S252" s="699" t="str">
        <f t="shared" si="145"/>
        <v>.</v>
      </c>
      <c r="T252" s="700" t="str">
        <f t="shared" si="146"/>
        <v>.</v>
      </c>
      <c r="U252" s="700" t="str">
        <f t="shared" si="147"/>
        <v>.</v>
      </c>
      <c r="V252" s="700" t="str">
        <f t="shared" si="148"/>
        <v>.</v>
      </c>
      <c r="W252" s="700" t="str">
        <f t="shared" si="149"/>
        <v>.</v>
      </c>
      <c r="X252" s="700" t="str">
        <f t="shared" si="150"/>
        <v>.</v>
      </c>
      <c r="Y252" s="701" t="str">
        <f t="shared" si="151"/>
        <v>.</v>
      </c>
      <c r="Z252" s="3"/>
      <c r="AA252" s="985" t="str">
        <f t="shared" si="166"/>
        <v>.</v>
      </c>
      <c r="AB252" s="702" t="str">
        <f t="shared" si="153"/>
        <v>.</v>
      </c>
      <c r="AC252" s="702" t="str">
        <f t="shared" si="154"/>
        <v>.</v>
      </c>
      <c r="AD252" s="702" t="str">
        <f t="shared" si="155"/>
        <v>.</v>
      </c>
      <c r="AE252" s="702" t="str">
        <f t="shared" si="156"/>
        <v>.</v>
      </c>
      <c r="AF252" s="702" t="str">
        <f t="shared" si="157"/>
        <v>.</v>
      </c>
      <c r="AG252" s="986" t="str">
        <f t="shared" si="158"/>
        <v>.</v>
      </c>
      <c r="AH252" s="3"/>
      <c r="AI252" s="699" t="str">
        <f>IF(S252=".",".",SUM($S252:S252))</f>
        <v>.</v>
      </c>
      <c r="AJ252" s="700" t="str">
        <f>IF(T252=".",".",SUM($S252:T252))</f>
        <v>.</v>
      </c>
      <c r="AK252" s="700" t="str">
        <f>IF(U252=".",".",SUM($S252:U252))</f>
        <v>.</v>
      </c>
      <c r="AL252" s="700" t="str">
        <f>IF(V252=".",".",SUM($S252:V252))</f>
        <v>.</v>
      </c>
      <c r="AM252" s="700" t="str">
        <f>IF(W252=".",".",SUM($S252:W252))</f>
        <v>.</v>
      </c>
      <c r="AN252" s="700" t="str">
        <f>IF(X252=".",".",SUM($S252:X252))</f>
        <v>.</v>
      </c>
      <c r="AO252" s="701" t="str">
        <f>IF(Y252=".",".",SUM($S252:Y252))</f>
        <v>.</v>
      </c>
      <c r="AP252" s="3"/>
      <c r="AQ252" s="985" t="str">
        <f t="shared" si="165"/>
        <v>.</v>
      </c>
      <c r="AR252" s="702" t="str">
        <f t="shared" si="159"/>
        <v>.</v>
      </c>
      <c r="AS252" s="702" t="str">
        <f t="shared" si="160"/>
        <v>.</v>
      </c>
      <c r="AT252" s="702" t="str">
        <f t="shared" si="161"/>
        <v>.</v>
      </c>
      <c r="AU252" s="702" t="str">
        <f t="shared" si="162"/>
        <v>.</v>
      </c>
      <c r="AV252" s="702" t="str">
        <f t="shared" si="163"/>
        <v>.</v>
      </c>
      <c r="AW252" s="986" t="str">
        <f t="shared" si="164"/>
        <v>.</v>
      </c>
      <c r="AX252" s="214"/>
      <c r="AY252" s="3"/>
      <c r="AZ252" s="3"/>
      <c r="BA252" s="3"/>
      <c r="BB252" s="3"/>
    </row>
    <row r="253" spans="1:54" s="26" customFormat="1" ht="11.25" customHeight="1" x14ac:dyDescent="0.25">
      <c r="A253" s="3"/>
      <c r="B253" s="221"/>
      <c r="C253" s="148"/>
      <c r="D253" s="148" t="s">
        <v>820</v>
      </c>
      <c r="E253" s="559">
        <f t="shared" ref="E253:E284" si="169">E128</f>
        <v>1271.6436324105043</v>
      </c>
      <c r="F253" s="251">
        <f>IF($P253=0,".",SUMPRODUCT(F223:F252,$P223:$P252)/$P253)</f>
        <v>1318.6944468096931</v>
      </c>
      <c r="G253" s="140">
        <f t="shared" ref="G253:L253" si="170">IF($P253=0,".",SUMPRODUCT(G223:G252,$P223:$P252)/$P253)</f>
        <v>1351.6618079799352</v>
      </c>
      <c r="H253" s="140">
        <f t="shared" si="170"/>
        <v>1385.4533531794334</v>
      </c>
      <c r="I253" s="140">
        <f t="shared" si="170"/>
        <v>1420.0896870089191</v>
      </c>
      <c r="J253" s="140">
        <f t="shared" si="170"/>
        <v>1455.5919291841419</v>
      </c>
      <c r="K253" s="140">
        <f t="shared" si="170"/>
        <v>1491.9817274137454</v>
      </c>
      <c r="L253" s="140">
        <f t="shared" si="170"/>
        <v>1529.2812705990889</v>
      </c>
      <c r="M253" s="220"/>
      <c r="N253" s="2"/>
      <c r="O253" s="713">
        <f t="shared" si="167"/>
        <v>52016</v>
      </c>
      <c r="P253" s="714">
        <f t="shared" si="167"/>
        <v>52016</v>
      </c>
      <c r="Q253" s="2"/>
      <c r="R253" s="221"/>
      <c r="S253" s="706">
        <f t="shared" ref="S253:Y253" si="171">IF(F253=".",".",F253-E253)</f>
        <v>47.050814399188766</v>
      </c>
      <c r="T253" s="707">
        <f t="shared" si="171"/>
        <v>32.967361170242157</v>
      </c>
      <c r="U253" s="707">
        <f t="shared" si="171"/>
        <v>33.791545199498159</v>
      </c>
      <c r="V253" s="707">
        <f t="shared" si="171"/>
        <v>34.636333829485693</v>
      </c>
      <c r="W253" s="707">
        <f t="shared" si="171"/>
        <v>35.502242175222818</v>
      </c>
      <c r="X253" s="707">
        <f t="shared" si="171"/>
        <v>36.389798229603457</v>
      </c>
      <c r="Y253" s="708">
        <f t="shared" si="171"/>
        <v>37.299543185343509</v>
      </c>
      <c r="Z253" s="2"/>
      <c r="AA253" s="990">
        <f t="shared" si="166"/>
        <v>3.7000000000000144E-2</v>
      </c>
      <c r="AB253" s="991">
        <f t="shared" si="153"/>
        <v>2.4999999999999911E-2</v>
      </c>
      <c r="AC253" s="991">
        <f t="shared" si="154"/>
        <v>2.4999999999999911E-2</v>
      </c>
      <c r="AD253" s="991">
        <f t="shared" si="155"/>
        <v>2.4999999999999911E-2</v>
      </c>
      <c r="AE253" s="991">
        <f t="shared" si="156"/>
        <v>2.4999999999999911E-2</v>
      </c>
      <c r="AF253" s="991">
        <f t="shared" si="157"/>
        <v>2.4999999999999911E-2</v>
      </c>
      <c r="AG253" s="992">
        <f t="shared" si="158"/>
        <v>2.4999999999999911E-2</v>
      </c>
      <c r="AH253" s="2"/>
      <c r="AI253" s="706">
        <f>IF(S253=".",".",SUM($S253:S253))</f>
        <v>47.050814399188766</v>
      </c>
      <c r="AJ253" s="707">
        <f>IF(T253=".",".",SUM($S253:T253))</f>
        <v>80.018175569430923</v>
      </c>
      <c r="AK253" s="707">
        <f>IF(U253=".",".",SUM($S253:U253))</f>
        <v>113.80972076892908</v>
      </c>
      <c r="AL253" s="707">
        <f>IF(V253=".",".",SUM($S253:V253))</f>
        <v>148.44605459841478</v>
      </c>
      <c r="AM253" s="707">
        <f>IF(W253=".",".",SUM($S253:W253))</f>
        <v>183.94829677363759</v>
      </c>
      <c r="AN253" s="707">
        <f>IF(X253=".",".",SUM($S253:X253))</f>
        <v>220.33809500324105</v>
      </c>
      <c r="AO253" s="708">
        <f>IF(Y253=".",".",SUM($S253:Y253))</f>
        <v>257.63763818858456</v>
      </c>
      <c r="AP253" s="2"/>
      <c r="AQ253" s="990">
        <f t="shared" si="165"/>
        <v>3.7000000000000144E-2</v>
      </c>
      <c r="AR253" s="991">
        <f t="shared" si="159"/>
        <v>6.2924999999999898E-2</v>
      </c>
      <c r="AS253" s="991">
        <f t="shared" si="160"/>
        <v>8.9498124999999762E-2</v>
      </c>
      <c r="AT253" s="991">
        <f t="shared" si="161"/>
        <v>0.11673557812499968</v>
      </c>
      <c r="AU253" s="991">
        <f t="shared" si="162"/>
        <v>0.14465396757812443</v>
      </c>
      <c r="AV253" s="991">
        <f t="shared" si="163"/>
        <v>0.17327031676757754</v>
      </c>
      <c r="AW253" s="992">
        <f t="shared" si="164"/>
        <v>0.20260207468676694</v>
      </c>
      <c r="AX253" s="229"/>
      <c r="AY253" s="2"/>
      <c r="AZ253" s="2"/>
      <c r="BA253" s="2"/>
      <c r="BB253" s="2"/>
    </row>
    <row r="254" spans="1:54" ht="12" x14ac:dyDescent="0.25">
      <c r="A254" s="3"/>
      <c r="B254" s="212"/>
      <c r="C254" s="1242" t="str">
        <f t="shared" ref="C254:D273" si="172">C129</f>
        <v>Business</v>
      </c>
      <c r="D254" s="1242" t="str">
        <f t="shared" si="172"/>
        <v>Business</v>
      </c>
      <c r="E254" s="1243">
        <f t="shared" si="169"/>
        <v>2294.7511914154138</v>
      </c>
      <c r="F254" s="1237">
        <f t="shared" ref="F254:F256" si="173">+E254*1.037</f>
        <v>2379.6569854977838</v>
      </c>
      <c r="G254" s="1266">
        <f t="shared" ref="G254:H256" si="174">+F254*1.025</f>
        <v>2439.148410135228</v>
      </c>
      <c r="H254" s="1266">
        <f t="shared" si="174"/>
        <v>2500.1271203886085</v>
      </c>
      <c r="I254" s="1237">
        <f t="shared" ref="I254:L256" si="175">+H254*1.025</f>
        <v>2562.6302983983237</v>
      </c>
      <c r="J254" s="1237">
        <f t="shared" si="175"/>
        <v>2626.6960558582814</v>
      </c>
      <c r="K254" s="1237">
        <f t="shared" si="175"/>
        <v>2692.363457254738</v>
      </c>
      <c r="L254" s="1237">
        <f t="shared" si="175"/>
        <v>2759.6725436861061</v>
      </c>
      <c r="M254" s="220"/>
      <c r="N254" s="3"/>
      <c r="O254" s="1244">
        <f t="shared" si="167"/>
        <v>2126</v>
      </c>
      <c r="P254" s="1176">
        <f t="shared" si="167"/>
        <v>2126</v>
      </c>
      <c r="Q254" s="3"/>
      <c r="R254" s="212"/>
      <c r="S254" s="1239">
        <f t="shared" si="145"/>
        <v>84.905794082369994</v>
      </c>
      <c r="T254" s="1172">
        <f t="shared" si="146"/>
        <v>59.491424637444197</v>
      </c>
      <c r="U254" s="1172">
        <f t="shared" si="147"/>
        <v>60.978710253380541</v>
      </c>
      <c r="V254" s="1172">
        <f t="shared" si="148"/>
        <v>62.503178009715157</v>
      </c>
      <c r="W254" s="1172">
        <f t="shared" si="149"/>
        <v>64.065757459957695</v>
      </c>
      <c r="X254" s="1172">
        <f t="shared" si="150"/>
        <v>65.667401396456626</v>
      </c>
      <c r="Y254" s="1173">
        <f t="shared" si="151"/>
        <v>67.309086431368087</v>
      </c>
      <c r="Z254" s="3"/>
      <c r="AA254" s="1240">
        <f t="shared" si="166"/>
        <v>3.6999999999999922E-2</v>
      </c>
      <c r="AB254" s="1174">
        <f t="shared" si="153"/>
        <v>2.4999999999999911E-2</v>
      </c>
      <c r="AC254" s="1174">
        <f t="shared" si="154"/>
        <v>2.4999999999999911E-2</v>
      </c>
      <c r="AD254" s="1174">
        <f t="shared" si="155"/>
        <v>2.4999999999999911E-2</v>
      </c>
      <c r="AE254" s="1174">
        <f t="shared" si="156"/>
        <v>2.4999999999999911E-2</v>
      </c>
      <c r="AF254" s="1174">
        <f t="shared" si="157"/>
        <v>2.4999999999999911E-2</v>
      </c>
      <c r="AG254" s="1175">
        <f t="shared" si="158"/>
        <v>2.4999999999999911E-2</v>
      </c>
      <c r="AH254" s="3"/>
      <c r="AI254" s="1239">
        <f>IF(S254=".",".",SUM($S254:S254))</f>
        <v>84.905794082369994</v>
      </c>
      <c r="AJ254" s="1172">
        <f>IF(T254=".",".",SUM($S254:T254))</f>
        <v>144.39721871981419</v>
      </c>
      <c r="AK254" s="1172">
        <f>IF(U254=".",".",SUM($S254:U254))</f>
        <v>205.37592897319473</v>
      </c>
      <c r="AL254" s="1172">
        <f>IF(V254=".",".",SUM($S254:V254))</f>
        <v>267.87910698290989</v>
      </c>
      <c r="AM254" s="1172">
        <f>IF(W254=".",".",SUM($S254:W254))</f>
        <v>331.94486444286758</v>
      </c>
      <c r="AN254" s="1172">
        <f>IF(X254=".",".",SUM($S254:X254))</f>
        <v>397.61226583932421</v>
      </c>
      <c r="AO254" s="1173">
        <f>IF(Y254=".",".",SUM($S254:Y254))</f>
        <v>464.9213522706923</v>
      </c>
      <c r="AP254" s="3"/>
      <c r="AQ254" s="1240">
        <f t="shared" si="165"/>
        <v>3.6999999999999922E-2</v>
      </c>
      <c r="AR254" s="1174">
        <f t="shared" si="159"/>
        <v>6.2924999999999676E-2</v>
      </c>
      <c r="AS254" s="1174">
        <f t="shared" si="160"/>
        <v>8.949812499999954E-2</v>
      </c>
      <c r="AT254" s="1174">
        <f t="shared" si="161"/>
        <v>0.11673557812499968</v>
      </c>
      <c r="AU254" s="1174">
        <f t="shared" si="162"/>
        <v>0.14465396757812443</v>
      </c>
      <c r="AV254" s="1174">
        <f t="shared" si="163"/>
        <v>0.17327031676757731</v>
      </c>
      <c r="AW254" s="1175">
        <f t="shared" si="164"/>
        <v>0.2026020746867665</v>
      </c>
      <c r="AX254" s="214"/>
      <c r="AY254" s="3"/>
      <c r="AZ254" s="3"/>
      <c r="BA254" s="3"/>
      <c r="BB254" s="3"/>
    </row>
    <row r="255" spans="1:54" ht="12" x14ac:dyDescent="0.25">
      <c r="A255" s="3"/>
      <c r="B255" s="212"/>
      <c r="C255" s="279" t="str">
        <f t="shared" si="172"/>
        <v>Business</v>
      </c>
      <c r="D255" s="279" t="str">
        <f t="shared" si="172"/>
        <v>Hornsby CBD</v>
      </c>
      <c r="E255" s="557">
        <f t="shared" si="169"/>
        <v>4903.9505338577901</v>
      </c>
      <c r="F255" s="579">
        <f t="shared" si="173"/>
        <v>5085.3967036105278</v>
      </c>
      <c r="G255" s="1266">
        <f t="shared" si="174"/>
        <v>5212.5316212007901</v>
      </c>
      <c r="H255" s="1266">
        <f t="shared" si="174"/>
        <v>5342.8449117308091</v>
      </c>
      <c r="I255" s="578">
        <f t="shared" si="175"/>
        <v>5476.4160345240789</v>
      </c>
      <c r="J255" s="578">
        <f t="shared" si="175"/>
        <v>5613.32643538718</v>
      </c>
      <c r="K255" s="578">
        <f t="shared" si="175"/>
        <v>5753.6595962718593</v>
      </c>
      <c r="L255" s="578">
        <f t="shared" si="175"/>
        <v>5897.501086178655</v>
      </c>
      <c r="M255" s="220"/>
      <c r="N255" s="3"/>
      <c r="O255" s="655">
        <f t="shared" si="167"/>
        <v>507</v>
      </c>
      <c r="P255" s="657">
        <f t="shared" si="167"/>
        <v>507</v>
      </c>
      <c r="Q255" s="3"/>
      <c r="R255" s="212"/>
      <c r="S255" s="699">
        <f t="shared" ref="S255:S286" si="176">IF(F255="",".",F255-E255)</f>
        <v>181.44616975273766</v>
      </c>
      <c r="T255" s="700">
        <f t="shared" ref="T255:T286" si="177">IF(G255="",".",G255-F255)</f>
        <v>127.13491759026238</v>
      </c>
      <c r="U255" s="700">
        <f t="shared" ref="U255:U286" si="178">IF(H255="",".",H255-G255)</f>
        <v>130.313290530019</v>
      </c>
      <c r="V255" s="700">
        <f t="shared" ref="V255:V286" si="179">IF(I255="",".",I255-H255)</f>
        <v>133.57112279326975</v>
      </c>
      <c r="W255" s="700">
        <f t="shared" ref="W255:W286" si="180">IF(J255="",".",J255-I255)</f>
        <v>136.91040086310113</v>
      </c>
      <c r="X255" s="700">
        <f t="shared" ref="X255:X286" si="181">IF(K255="",".",K255-J255)</f>
        <v>140.33316088467927</v>
      </c>
      <c r="Y255" s="701">
        <f t="shared" ref="Y255:Y286" si="182">IF(L255="",".",L255-K255)</f>
        <v>143.84148990679569</v>
      </c>
      <c r="Z255" s="3"/>
      <c r="AA255" s="985">
        <f t="shared" si="166"/>
        <v>3.6999999999999922E-2</v>
      </c>
      <c r="AB255" s="702">
        <f t="shared" si="153"/>
        <v>2.4999999999999911E-2</v>
      </c>
      <c r="AC255" s="702">
        <f t="shared" si="154"/>
        <v>2.4999999999999911E-2</v>
      </c>
      <c r="AD255" s="702">
        <f t="shared" si="155"/>
        <v>2.4999999999999911E-2</v>
      </c>
      <c r="AE255" s="702">
        <f t="shared" si="156"/>
        <v>2.4999999999999911E-2</v>
      </c>
      <c r="AF255" s="702">
        <f t="shared" si="157"/>
        <v>2.4999999999999911E-2</v>
      </c>
      <c r="AG255" s="986">
        <f t="shared" si="158"/>
        <v>2.4999999999999911E-2</v>
      </c>
      <c r="AH255" s="3"/>
      <c r="AI255" s="699">
        <f>IF(S255=".",".",SUM($S255:S255))</f>
        <v>181.44616975273766</v>
      </c>
      <c r="AJ255" s="700">
        <f>IF(T255=".",".",SUM($S255:T255))</f>
        <v>308.58108734300004</v>
      </c>
      <c r="AK255" s="700">
        <f>IF(U255=".",".",SUM($S255:U255))</f>
        <v>438.89437787301904</v>
      </c>
      <c r="AL255" s="700">
        <f>IF(V255=".",".",SUM($S255:V255))</f>
        <v>572.46550066628879</v>
      </c>
      <c r="AM255" s="700">
        <f>IF(W255=".",".",SUM($S255:W255))</f>
        <v>709.37590152938992</v>
      </c>
      <c r="AN255" s="700">
        <f>IF(X255=".",".",SUM($S255:X255))</f>
        <v>849.70906241406919</v>
      </c>
      <c r="AO255" s="701">
        <f>IF(Y255=".",".",SUM($S255:Y255))</f>
        <v>993.55055232086488</v>
      </c>
      <c r="AP255" s="3"/>
      <c r="AQ255" s="985">
        <f t="shared" si="165"/>
        <v>3.6999999999999922E-2</v>
      </c>
      <c r="AR255" s="702">
        <f t="shared" si="159"/>
        <v>6.2924999999999676E-2</v>
      </c>
      <c r="AS255" s="702">
        <f t="shared" si="160"/>
        <v>8.949812499999954E-2</v>
      </c>
      <c r="AT255" s="702">
        <f t="shared" si="161"/>
        <v>0.11673557812499946</v>
      </c>
      <c r="AU255" s="702">
        <f t="shared" si="162"/>
        <v>0.14465396757812421</v>
      </c>
      <c r="AV255" s="702">
        <f t="shared" si="163"/>
        <v>0.17327031676757731</v>
      </c>
      <c r="AW255" s="986">
        <f t="shared" si="164"/>
        <v>0.2026020746867665</v>
      </c>
      <c r="AX255" s="214"/>
      <c r="AY255" s="3"/>
      <c r="AZ255" s="3"/>
      <c r="BA255" s="3"/>
      <c r="BB255" s="3"/>
    </row>
    <row r="256" spans="1:54" ht="12" x14ac:dyDescent="0.25">
      <c r="A256" s="3"/>
      <c r="B256" s="212"/>
      <c r="C256" s="279" t="str">
        <f t="shared" si="172"/>
        <v>Business</v>
      </c>
      <c r="D256" s="279" t="str">
        <f t="shared" si="172"/>
        <v>Shopping Centre</v>
      </c>
      <c r="E256" s="557">
        <f t="shared" si="169"/>
        <v>255857.87926799999</v>
      </c>
      <c r="F256" s="579">
        <f t="shared" si="173"/>
        <v>265324.62080091599</v>
      </c>
      <c r="G256" s="1266">
        <f t="shared" si="174"/>
        <v>271957.73632093886</v>
      </c>
      <c r="H256" s="1266">
        <f t="shared" si="174"/>
        <v>278756.67972896231</v>
      </c>
      <c r="I256" s="578">
        <f t="shared" si="175"/>
        <v>285725.59672218631</v>
      </c>
      <c r="J256" s="578">
        <f t="shared" si="175"/>
        <v>292868.73664024094</v>
      </c>
      <c r="K256" s="578">
        <f t="shared" si="175"/>
        <v>300190.45505624695</v>
      </c>
      <c r="L256" s="578">
        <f t="shared" si="175"/>
        <v>307695.21643265308</v>
      </c>
      <c r="M256" s="220"/>
      <c r="N256" s="3"/>
      <c r="O256" s="655">
        <f t="shared" si="167"/>
        <v>5</v>
      </c>
      <c r="P256" s="657">
        <f t="shared" si="167"/>
        <v>5</v>
      </c>
      <c r="Q256" s="3"/>
      <c r="R256" s="212"/>
      <c r="S256" s="699">
        <f t="shared" si="176"/>
        <v>9466.7415329159994</v>
      </c>
      <c r="T256" s="700">
        <f t="shared" si="177"/>
        <v>6633.1155200228677</v>
      </c>
      <c r="U256" s="700">
        <f t="shared" si="178"/>
        <v>6798.9434080234496</v>
      </c>
      <c r="V256" s="700">
        <f t="shared" si="179"/>
        <v>6968.9169932240038</v>
      </c>
      <c r="W256" s="700">
        <f t="shared" si="180"/>
        <v>7143.1399180546287</v>
      </c>
      <c r="X256" s="700">
        <f t="shared" si="181"/>
        <v>7321.7184160060133</v>
      </c>
      <c r="Y256" s="701">
        <f t="shared" si="182"/>
        <v>7504.7613764061243</v>
      </c>
      <c r="Z256" s="3"/>
      <c r="AA256" s="985">
        <f t="shared" si="166"/>
        <v>3.6999999999999922E-2</v>
      </c>
      <c r="AB256" s="702">
        <f t="shared" si="153"/>
        <v>2.4999999999999911E-2</v>
      </c>
      <c r="AC256" s="702">
        <f t="shared" si="154"/>
        <v>2.4999999999999911E-2</v>
      </c>
      <c r="AD256" s="702">
        <f t="shared" si="155"/>
        <v>2.4999999999999911E-2</v>
      </c>
      <c r="AE256" s="702">
        <f t="shared" si="156"/>
        <v>2.4999999999999911E-2</v>
      </c>
      <c r="AF256" s="702">
        <f t="shared" si="157"/>
        <v>2.4999999999999911E-2</v>
      </c>
      <c r="AG256" s="986">
        <f t="shared" si="158"/>
        <v>2.4999999999999911E-2</v>
      </c>
      <c r="AH256" s="3"/>
      <c r="AI256" s="699">
        <f>IF(S256=".",".",SUM($S256:S256))</f>
        <v>9466.7415329159994</v>
      </c>
      <c r="AJ256" s="700">
        <f>IF(T256=".",".",SUM($S256:T256))</f>
        <v>16099.857052938867</v>
      </c>
      <c r="AK256" s="700">
        <f>IF(U256=".",".",SUM($S256:U256))</f>
        <v>22898.800460962317</v>
      </c>
      <c r="AL256" s="700">
        <f>IF(V256=".",".",SUM($S256:V256))</f>
        <v>29867.717454186321</v>
      </c>
      <c r="AM256" s="700">
        <f>IF(W256=".",".",SUM($S256:W256))</f>
        <v>37010.857372240949</v>
      </c>
      <c r="AN256" s="700">
        <f>IF(X256=".",".",SUM($S256:X256))</f>
        <v>44332.575788246962</v>
      </c>
      <c r="AO256" s="701">
        <f>IF(Y256=".",".",SUM($S256:Y256))</f>
        <v>51837.337164653087</v>
      </c>
      <c r="AP256" s="3"/>
      <c r="AQ256" s="985">
        <f t="shared" si="165"/>
        <v>3.6999999999999922E-2</v>
      </c>
      <c r="AR256" s="702">
        <f t="shared" si="159"/>
        <v>6.2924999999999898E-2</v>
      </c>
      <c r="AS256" s="702">
        <f t="shared" si="160"/>
        <v>8.9498124999999762E-2</v>
      </c>
      <c r="AT256" s="702">
        <f t="shared" si="161"/>
        <v>0.11673557812499946</v>
      </c>
      <c r="AU256" s="702">
        <f t="shared" si="162"/>
        <v>0.14465396757812443</v>
      </c>
      <c r="AV256" s="702">
        <f t="shared" si="163"/>
        <v>0.17327031676757754</v>
      </c>
      <c r="AW256" s="986">
        <f t="shared" si="164"/>
        <v>0.20260207468676672</v>
      </c>
      <c r="AX256" s="214"/>
      <c r="AY256" s="3"/>
      <c r="AZ256" s="3"/>
      <c r="BA256" s="3"/>
      <c r="BB256" s="3"/>
    </row>
    <row r="257" spans="1:54" ht="12" x14ac:dyDescent="0.25">
      <c r="A257" s="3"/>
      <c r="B257" s="212"/>
      <c r="C257" s="279" t="str">
        <f t="shared" si="172"/>
        <v>Business</v>
      </c>
      <c r="D257" s="279" t="str">
        <f t="shared" si="172"/>
        <v/>
      </c>
      <c r="E257" s="557" t="str">
        <f t="shared" si="169"/>
        <v>.</v>
      </c>
      <c r="F257" s="579"/>
      <c r="G257" s="1266"/>
      <c r="H257" s="1266"/>
      <c r="I257" s="578"/>
      <c r="J257" s="578"/>
      <c r="K257" s="578"/>
      <c r="L257" s="578"/>
      <c r="M257" s="220"/>
      <c r="N257" s="3"/>
      <c r="O257" s="655">
        <f t="shared" si="167"/>
        <v>0</v>
      </c>
      <c r="P257" s="657">
        <f t="shared" si="167"/>
        <v>0</v>
      </c>
      <c r="Q257" s="3"/>
      <c r="R257" s="212"/>
      <c r="S257" s="699" t="str">
        <f t="shared" si="176"/>
        <v>.</v>
      </c>
      <c r="T257" s="700" t="str">
        <f t="shared" si="177"/>
        <v>.</v>
      </c>
      <c r="U257" s="700" t="str">
        <f t="shared" si="178"/>
        <v>.</v>
      </c>
      <c r="V257" s="700" t="str">
        <f t="shared" si="179"/>
        <v>.</v>
      </c>
      <c r="W257" s="700" t="str">
        <f t="shared" si="180"/>
        <v>.</v>
      </c>
      <c r="X257" s="700" t="str">
        <f t="shared" si="181"/>
        <v>.</v>
      </c>
      <c r="Y257" s="701" t="str">
        <f t="shared" si="182"/>
        <v>.</v>
      </c>
      <c r="Z257" s="3"/>
      <c r="AA257" s="985" t="str">
        <f t="shared" si="166"/>
        <v>.</v>
      </c>
      <c r="AB257" s="702" t="str">
        <f t="shared" si="153"/>
        <v>.</v>
      </c>
      <c r="AC257" s="702" t="str">
        <f t="shared" si="154"/>
        <v>.</v>
      </c>
      <c r="AD257" s="702" t="str">
        <f t="shared" si="155"/>
        <v>.</v>
      </c>
      <c r="AE257" s="702" t="str">
        <f t="shared" si="156"/>
        <v>.</v>
      </c>
      <c r="AF257" s="702" t="str">
        <f t="shared" si="157"/>
        <v>.</v>
      </c>
      <c r="AG257" s="986" t="str">
        <f t="shared" si="158"/>
        <v>.</v>
      </c>
      <c r="AH257" s="3"/>
      <c r="AI257" s="699" t="str">
        <f>IF(S257=".",".",SUM($S257:S257))</f>
        <v>.</v>
      </c>
      <c r="AJ257" s="700" t="str">
        <f>IF(T257=".",".",SUM($S257:T257))</f>
        <v>.</v>
      </c>
      <c r="AK257" s="700" t="str">
        <f>IF(U257=".",".",SUM($S257:U257))</f>
        <v>.</v>
      </c>
      <c r="AL257" s="700" t="str">
        <f>IF(V257=".",".",SUM($S257:V257))</f>
        <v>.</v>
      </c>
      <c r="AM257" s="700" t="str">
        <f>IF(W257=".",".",SUM($S257:W257))</f>
        <v>.</v>
      </c>
      <c r="AN257" s="700" t="str">
        <f>IF(X257=".",".",SUM($S257:X257))</f>
        <v>.</v>
      </c>
      <c r="AO257" s="701" t="str">
        <f>IF(Y257=".",".",SUM($S257:Y257))</f>
        <v>.</v>
      </c>
      <c r="AP257" s="3"/>
      <c r="AQ257" s="985" t="str">
        <f t="shared" si="165"/>
        <v>.</v>
      </c>
      <c r="AR257" s="702" t="str">
        <f t="shared" si="159"/>
        <v>.</v>
      </c>
      <c r="AS257" s="702" t="str">
        <f t="shared" si="160"/>
        <v>.</v>
      </c>
      <c r="AT257" s="702" t="str">
        <f t="shared" si="161"/>
        <v>.</v>
      </c>
      <c r="AU257" s="702" t="str">
        <f t="shared" si="162"/>
        <v>.</v>
      </c>
      <c r="AV257" s="702" t="str">
        <f t="shared" si="163"/>
        <v>.</v>
      </c>
      <c r="AW257" s="986" t="str">
        <f t="shared" si="164"/>
        <v>.</v>
      </c>
      <c r="AX257" s="214"/>
      <c r="AY257" s="3"/>
      <c r="AZ257" s="3"/>
      <c r="BA257" s="3"/>
      <c r="BB257" s="3"/>
    </row>
    <row r="258" spans="1:54" ht="12" x14ac:dyDescent="0.25">
      <c r="A258" s="3"/>
      <c r="B258" s="212"/>
      <c r="C258" s="279" t="str">
        <f t="shared" si="172"/>
        <v>Business</v>
      </c>
      <c r="D258" s="279" t="str">
        <f t="shared" si="172"/>
        <v/>
      </c>
      <c r="E258" s="557" t="str">
        <f t="shared" si="169"/>
        <v>.</v>
      </c>
      <c r="F258" s="579"/>
      <c r="G258" s="578"/>
      <c r="H258" s="1266"/>
      <c r="I258" s="578"/>
      <c r="J258" s="578"/>
      <c r="K258" s="578"/>
      <c r="L258" s="578"/>
      <c r="M258" s="220"/>
      <c r="N258" s="3"/>
      <c r="O258" s="655">
        <f t="shared" si="167"/>
        <v>0</v>
      </c>
      <c r="P258" s="657">
        <f t="shared" si="167"/>
        <v>0</v>
      </c>
      <c r="Q258" s="3"/>
      <c r="R258" s="212"/>
      <c r="S258" s="699" t="str">
        <f t="shared" si="176"/>
        <v>.</v>
      </c>
      <c r="T258" s="700" t="str">
        <f t="shared" si="177"/>
        <v>.</v>
      </c>
      <c r="U258" s="700" t="str">
        <f t="shared" si="178"/>
        <v>.</v>
      </c>
      <c r="V258" s="700" t="str">
        <f t="shared" si="179"/>
        <v>.</v>
      </c>
      <c r="W258" s="700" t="str">
        <f t="shared" si="180"/>
        <v>.</v>
      </c>
      <c r="X258" s="700" t="str">
        <f t="shared" si="181"/>
        <v>.</v>
      </c>
      <c r="Y258" s="701" t="str">
        <f t="shared" si="182"/>
        <v>.</v>
      </c>
      <c r="Z258" s="3"/>
      <c r="AA258" s="985" t="str">
        <f t="shared" si="166"/>
        <v>.</v>
      </c>
      <c r="AB258" s="702" t="str">
        <f t="shared" si="153"/>
        <v>.</v>
      </c>
      <c r="AC258" s="702" t="str">
        <f t="shared" si="154"/>
        <v>.</v>
      </c>
      <c r="AD258" s="702" t="str">
        <f t="shared" si="155"/>
        <v>.</v>
      </c>
      <c r="AE258" s="702" t="str">
        <f t="shared" si="156"/>
        <v>.</v>
      </c>
      <c r="AF258" s="702" t="str">
        <f t="shared" si="157"/>
        <v>.</v>
      </c>
      <c r="AG258" s="986" t="str">
        <f t="shared" si="158"/>
        <v>.</v>
      </c>
      <c r="AH258" s="3"/>
      <c r="AI258" s="699" t="str">
        <f>IF(S258=".",".",SUM($S258:S258))</f>
        <v>.</v>
      </c>
      <c r="AJ258" s="700" t="str">
        <f>IF(T258=".",".",SUM($S258:T258))</f>
        <v>.</v>
      </c>
      <c r="AK258" s="700" t="str">
        <f>IF(U258=".",".",SUM($S258:U258))</f>
        <v>.</v>
      </c>
      <c r="AL258" s="700" t="str">
        <f>IF(V258=".",".",SUM($S258:V258))</f>
        <v>.</v>
      </c>
      <c r="AM258" s="700" t="str">
        <f>IF(W258=".",".",SUM($S258:W258))</f>
        <v>.</v>
      </c>
      <c r="AN258" s="700" t="str">
        <f>IF(X258=".",".",SUM($S258:X258))</f>
        <v>.</v>
      </c>
      <c r="AO258" s="701" t="str">
        <f>IF(Y258=".",".",SUM($S258:Y258))</f>
        <v>.</v>
      </c>
      <c r="AP258" s="3"/>
      <c r="AQ258" s="985" t="str">
        <f t="shared" si="165"/>
        <v>.</v>
      </c>
      <c r="AR258" s="702" t="str">
        <f t="shared" si="159"/>
        <v>.</v>
      </c>
      <c r="AS258" s="702" t="str">
        <f t="shared" si="160"/>
        <v>.</v>
      </c>
      <c r="AT258" s="702" t="str">
        <f t="shared" si="161"/>
        <v>.</v>
      </c>
      <c r="AU258" s="702" t="str">
        <f t="shared" si="162"/>
        <v>.</v>
      </c>
      <c r="AV258" s="702" t="str">
        <f t="shared" si="163"/>
        <v>.</v>
      </c>
      <c r="AW258" s="986" t="str">
        <f t="shared" si="164"/>
        <v>.</v>
      </c>
      <c r="AX258" s="214"/>
      <c r="AY258" s="3"/>
      <c r="AZ258" s="3"/>
      <c r="BA258" s="3"/>
      <c r="BB258" s="3"/>
    </row>
    <row r="259" spans="1:54" ht="12" x14ac:dyDescent="0.25">
      <c r="A259" s="3"/>
      <c r="B259" s="212"/>
      <c r="C259" s="279" t="str">
        <f t="shared" si="172"/>
        <v>Business</v>
      </c>
      <c r="D259" s="279" t="str">
        <f t="shared" si="172"/>
        <v/>
      </c>
      <c r="E259" s="557" t="str">
        <f t="shared" si="169"/>
        <v>.</v>
      </c>
      <c r="F259" s="579"/>
      <c r="G259" s="578"/>
      <c r="H259" s="578"/>
      <c r="I259" s="578"/>
      <c r="J259" s="578"/>
      <c r="K259" s="578"/>
      <c r="L259" s="578"/>
      <c r="M259" s="220"/>
      <c r="N259" s="3"/>
      <c r="O259" s="655">
        <f t="shared" si="167"/>
        <v>0</v>
      </c>
      <c r="P259" s="657">
        <f t="shared" si="167"/>
        <v>0</v>
      </c>
      <c r="Q259" s="3"/>
      <c r="R259" s="212"/>
      <c r="S259" s="699" t="str">
        <f t="shared" si="176"/>
        <v>.</v>
      </c>
      <c r="T259" s="700" t="str">
        <f t="shared" si="177"/>
        <v>.</v>
      </c>
      <c r="U259" s="700" t="str">
        <f t="shared" si="178"/>
        <v>.</v>
      </c>
      <c r="V259" s="700" t="str">
        <f t="shared" si="179"/>
        <v>.</v>
      </c>
      <c r="W259" s="700" t="str">
        <f t="shared" si="180"/>
        <v>.</v>
      </c>
      <c r="X259" s="700" t="str">
        <f t="shared" si="181"/>
        <v>.</v>
      </c>
      <c r="Y259" s="701" t="str">
        <f t="shared" si="182"/>
        <v>.</v>
      </c>
      <c r="Z259" s="3"/>
      <c r="AA259" s="985" t="str">
        <f t="shared" si="166"/>
        <v>.</v>
      </c>
      <c r="AB259" s="702" t="str">
        <f t="shared" si="153"/>
        <v>.</v>
      </c>
      <c r="AC259" s="702" t="str">
        <f t="shared" si="154"/>
        <v>.</v>
      </c>
      <c r="AD259" s="702" t="str">
        <f t="shared" si="155"/>
        <v>.</v>
      </c>
      <c r="AE259" s="702" t="str">
        <f t="shared" si="156"/>
        <v>.</v>
      </c>
      <c r="AF259" s="702" t="str">
        <f t="shared" si="157"/>
        <v>.</v>
      </c>
      <c r="AG259" s="986" t="str">
        <f t="shared" si="158"/>
        <v>.</v>
      </c>
      <c r="AH259" s="3"/>
      <c r="AI259" s="699" t="str">
        <f>IF(S259=".",".",SUM($S259:S259))</f>
        <v>.</v>
      </c>
      <c r="AJ259" s="700" t="str">
        <f>IF(T259=".",".",SUM($S259:T259))</f>
        <v>.</v>
      </c>
      <c r="AK259" s="700" t="str">
        <f>IF(U259=".",".",SUM($S259:U259))</f>
        <v>.</v>
      </c>
      <c r="AL259" s="700" t="str">
        <f>IF(V259=".",".",SUM($S259:V259))</f>
        <v>.</v>
      </c>
      <c r="AM259" s="700" t="str">
        <f>IF(W259=".",".",SUM($S259:W259))</f>
        <v>.</v>
      </c>
      <c r="AN259" s="700" t="str">
        <f>IF(X259=".",".",SUM($S259:X259))</f>
        <v>.</v>
      </c>
      <c r="AO259" s="701" t="str">
        <f>IF(Y259=".",".",SUM($S259:Y259))</f>
        <v>.</v>
      </c>
      <c r="AP259" s="3"/>
      <c r="AQ259" s="985" t="str">
        <f t="shared" si="165"/>
        <v>.</v>
      </c>
      <c r="AR259" s="702" t="str">
        <f t="shared" si="159"/>
        <v>.</v>
      </c>
      <c r="AS259" s="702" t="str">
        <f t="shared" si="160"/>
        <v>.</v>
      </c>
      <c r="AT259" s="702" t="str">
        <f t="shared" si="161"/>
        <v>.</v>
      </c>
      <c r="AU259" s="702" t="str">
        <f t="shared" si="162"/>
        <v>.</v>
      </c>
      <c r="AV259" s="702" t="str">
        <f t="shared" si="163"/>
        <v>.</v>
      </c>
      <c r="AW259" s="986" t="str">
        <f t="shared" si="164"/>
        <v>.</v>
      </c>
      <c r="AX259" s="214"/>
      <c r="AY259" s="3"/>
      <c r="AZ259" s="3"/>
      <c r="BA259" s="3"/>
      <c r="BB259" s="3"/>
    </row>
    <row r="260" spans="1:54" ht="12" x14ac:dyDescent="0.25">
      <c r="A260" s="3"/>
      <c r="B260" s="212"/>
      <c r="C260" s="279" t="str">
        <f t="shared" si="172"/>
        <v>Business</v>
      </c>
      <c r="D260" s="279" t="str">
        <f t="shared" si="172"/>
        <v/>
      </c>
      <c r="E260" s="557" t="str">
        <f t="shared" si="169"/>
        <v>.</v>
      </c>
      <c r="F260" s="579"/>
      <c r="G260" s="578"/>
      <c r="H260" s="578"/>
      <c r="I260" s="578"/>
      <c r="J260" s="578"/>
      <c r="K260" s="578"/>
      <c r="L260" s="578"/>
      <c r="M260" s="220"/>
      <c r="N260" s="3"/>
      <c r="O260" s="655">
        <f t="shared" si="167"/>
        <v>0</v>
      </c>
      <c r="P260" s="657">
        <f t="shared" si="167"/>
        <v>0</v>
      </c>
      <c r="Q260" s="3"/>
      <c r="R260" s="212"/>
      <c r="S260" s="699" t="str">
        <f t="shared" si="176"/>
        <v>.</v>
      </c>
      <c r="T260" s="700" t="str">
        <f t="shared" si="177"/>
        <v>.</v>
      </c>
      <c r="U260" s="700" t="str">
        <f t="shared" si="178"/>
        <v>.</v>
      </c>
      <c r="V260" s="700" t="str">
        <f t="shared" si="179"/>
        <v>.</v>
      </c>
      <c r="W260" s="700" t="str">
        <f t="shared" si="180"/>
        <v>.</v>
      </c>
      <c r="X260" s="700" t="str">
        <f t="shared" si="181"/>
        <v>.</v>
      </c>
      <c r="Y260" s="701" t="str">
        <f t="shared" si="182"/>
        <v>.</v>
      </c>
      <c r="Z260" s="3"/>
      <c r="AA260" s="985" t="str">
        <f t="shared" si="166"/>
        <v>.</v>
      </c>
      <c r="AB260" s="702" t="str">
        <f t="shared" si="153"/>
        <v>.</v>
      </c>
      <c r="AC260" s="702" t="str">
        <f t="shared" si="154"/>
        <v>.</v>
      </c>
      <c r="AD260" s="702" t="str">
        <f t="shared" si="155"/>
        <v>.</v>
      </c>
      <c r="AE260" s="702" t="str">
        <f t="shared" si="156"/>
        <v>.</v>
      </c>
      <c r="AF260" s="702" t="str">
        <f t="shared" si="157"/>
        <v>.</v>
      </c>
      <c r="AG260" s="986" t="str">
        <f t="shared" si="158"/>
        <v>.</v>
      </c>
      <c r="AH260" s="3"/>
      <c r="AI260" s="699" t="str">
        <f>IF(S260=".",".",SUM($S260:S260))</f>
        <v>.</v>
      </c>
      <c r="AJ260" s="700" t="str">
        <f>IF(T260=".",".",SUM($S260:T260))</f>
        <v>.</v>
      </c>
      <c r="AK260" s="700" t="str">
        <f>IF(U260=".",".",SUM($S260:U260))</f>
        <v>.</v>
      </c>
      <c r="AL260" s="700" t="str">
        <f>IF(V260=".",".",SUM($S260:V260))</f>
        <v>.</v>
      </c>
      <c r="AM260" s="700" t="str">
        <f>IF(W260=".",".",SUM($S260:W260))</f>
        <v>.</v>
      </c>
      <c r="AN260" s="700" t="str">
        <f>IF(X260=".",".",SUM($S260:X260))</f>
        <v>.</v>
      </c>
      <c r="AO260" s="701" t="str">
        <f>IF(Y260=".",".",SUM($S260:Y260))</f>
        <v>.</v>
      </c>
      <c r="AP260" s="3"/>
      <c r="AQ260" s="985" t="str">
        <f t="shared" si="165"/>
        <v>.</v>
      </c>
      <c r="AR260" s="702" t="str">
        <f t="shared" si="159"/>
        <v>.</v>
      </c>
      <c r="AS260" s="702" t="str">
        <f t="shared" si="160"/>
        <v>.</v>
      </c>
      <c r="AT260" s="702" t="str">
        <f t="shared" si="161"/>
        <v>.</v>
      </c>
      <c r="AU260" s="702" t="str">
        <f t="shared" si="162"/>
        <v>.</v>
      </c>
      <c r="AV260" s="702" t="str">
        <f t="shared" si="163"/>
        <v>.</v>
      </c>
      <c r="AW260" s="986" t="str">
        <f t="shared" si="164"/>
        <v>.</v>
      </c>
      <c r="AX260" s="214"/>
      <c r="AY260" s="3"/>
      <c r="AZ260" s="3"/>
      <c r="BA260" s="3"/>
      <c r="BB260" s="3"/>
    </row>
    <row r="261" spans="1:54" ht="12" x14ac:dyDescent="0.25">
      <c r="A261" s="3"/>
      <c r="B261" s="212"/>
      <c r="C261" s="279" t="str">
        <f t="shared" si="172"/>
        <v>Business</v>
      </c>
      <c r="D261" s="279" t="str">
        <f t="shared" si="172"/>
        <v/>
      </c>
      <c r="E261" s="557" t="str">
        <f t="shared" si="169"/>
        <v>.</v>
      </c>
      <c r="F261" s="579"/>
      <c r="G261" s="578"/>
      <c r="H261" s="1266"/>
      <c r="I261" s="578"/>
      <c r="J261" s="578"/>
      <c r="K261" s="578"/>
      <c r="L261" s="578"/>
      <c r="M261" s="220"/>
      <c r="N261" s="3"/>
      <c r="O261" s="655">
        <f t="shared" si="167"/>
        <v>0</v>
      </c>
      <c r="P261" s="657">
        <f t="shared" si="167"/>
        <v>0</v>
      </c>
      <c r="Q261" s="3"/>
      <c r="R261" s="212"/>
      <c r="S261" s="699" t="str">
        <f t="shared" si="176"/>
        <v>.</v>
      </c>
      <c r="T261" s="700" t="str">
        <f t="shared" si="177"/>
        <v>.</v>
      </c>
      <c r="U261" s="700" t="str">
        <f t="shared" si="178"/>
        <v>.</v>
      </c>
      <c r="V261" s="700" t="str">
        <f t="shared" si="179"/>
        <v>.</v>
      </c>
      <c r="W261" s="700" t="str">
        <f t="shared" si="180"/>
        <v>.</v>
      </c>
      <c r="X261" s="700" t="str">
        <f t="shared" si="181"/>
        <v>.</v>
      </c>
      <c r="Y261" s="701" t="str">
        <f t="shared" si="182"/>
        <v>.</v>
      </c>
      <c r="Z261" s="3"/>
      <c r="AA261" s="985" t="str">
        <f t="shared" si="166"/>
        <v>.</v>
      </c>
      <c r="AB261" s="702" t="str">
        <f t="shared" si="153"/>
        <v>.</v>
      </c>
      <c r="AC261" s="702" t="str">
        <f t="shared" si="154"/>
        <v>.</v>
      </c>
      <c r="AD261" s="702" t="str">
        <f t="shared" si="155"/>
        <v>.</v>
      </c>
      <c r="AE261" s="702" t="str">
        <f t="shared" si="156"/>
        <v>.</v>
      </c>
      <c r="AF261" s="702" t="str">
        <f t="shared" si="157"/>
        <v>.</v>
      </c>
      <c r="AG261" s="986" t="str">
        <f t="shared" si="158"/>
        <v>.</v>
      </c>
      <c r="AH261" s="3"/>
      <c r="AI261" s="699" t="str">
        <f>IF(S261=".",".",SUM($S261:S261))</f>
        <v>.</v>
      </c>
      <c r="AJ261" s="700" t="str">
        <f>IF(T261=".",".",SUM($S261:T261))</f>
        <v>.</v>
      </c>
      <c r="AK261" s="700" t="str">
        <f>IF(U261=".",".",SUM($S261:U261))</f>
        <v>.</v>
      </c>
      <c r="AL261" s="700" t="str">
        <f>IF(V261=".",".",SUM($S261:V261))</f>
        <v>.</v>
      </c>
      <c r="AM261" s="700" t="str">
        <f>IF(W261=".",".",SUM($S261:W261))</f>
        <v>.</v>
      </c>
      <c r="AN261" s="700" t="str">
        <f>IF(X261=".",".",SUM($S261:X261))</f>
        <v>.</v>
      </c>
      <c r="AO261" s="701" t="str">
        <f>IF(Y261=".",".",SUM($S261:Y261))</f>
        <v>.</v>
      </c>
      <c r="AP261" s="3"/>
      <c r="AQ261" s="985" t="str">
        <f t="shared" si="165"/>
        <v>.</v>
      </c>
      <c r="AR261" s="702" t="str">
        <f t="shared" si="159"/>
        <v>.</v>
      </c>
      <c r="AS261" s="702" t="str">
        <f t="shared" si="160"/>
        <v>.</v>
      </c>
      <c r="AT261" s="702" t="str">
        <f t="shared" si="161"/>
        <v>.</v>
      </c>
      <c r="AU261" s="702" t="str">
        <f t="shared" si="162"/>
        <v>.</v>
      </c>
      <c r="AV261" s="702" t="str">
        <f t="shared" si="163"/>
        <v>.</v>
      </c>
      <c r="AW261" s="986" t="str">
        <f t="shared" si="164"/>
        <v>.</v>
      </c>
      <c r="AX261" s="214"/>
      <c r="AY261" s="3"/>
      <c r="AZ261" s="3"/>
      <c r="BA261" s="3"/>
      <c r="BB261" s="3"/>
    </row>
    <row r="262" spans="1:54" ht="12" x14ac:dyDescent="0.25">
      <c r="A262" s="3"/>
      <c r="B262" s="212"/>
      <c r="C262" s="279" t="str">
        <f t="shared" si="172"/>
        <v>Business</v>
      </c>
      <c r="D262" s="279" t="str">
        <f t="shared" si="172"/>
        <v/>
      </c>
      <c r="E262" s="557" t="str">
        <f t="shared" si="169"/>
        <v>.</v>
      </c>
      <c r="F262" s="579"/>
      <c r="G262" s="578"/>
      <c r="H262" s="578"/>
      <c r="I262" s="578"/>
      <c r="J262" s="578"/>
      <c r="K262" s="578"/>
      <c r="L262" s="578"/>
      <c r="M262" s="220"/>
      <c r="N262" s="3"/>
      <c r="O262" s="655">
        <f t="shared" ref="O262:P281" si="183">O137</f>
        <v>0</v>
      </c>
      <c r="P262" s="657">
        <f t="shared" si="183"/>
        <v>0</v>
      </c>
      <c r="Q262" s="3"/>
      <c r="R262" s="212"/>
      <c r="S262" s="699" t="str">
        <f t="shared" si="176"/>
        <v>.</v>
      </c>
      <c r="T262" s="700" t="str">
        <f t="shared" si="177"/>
        <v>.</v>
      </c>
      <c r="U262" s="700" t="str">
        <f t="shared" si="178"/>
        <v>.</v>
      </c>
      <c r="V262" s="700" t="str">
        <f t="shared" si="179"/>
        <v>.</v>
      </c>
      <c r="W262" s="700" t="str">
        <f t="shared" si="180"/>
        <v>.</v>
      </c>
      <c r="X262" s="700" t="str">
        <f t="shared" si="181"/>
        <v>.</v>
      </c>
      <c r="Y262" s="701" t="str">
        <f t="shared" si="182"/>
        <v>.</v>
      </c>
      <c r="Z262" s="3"/>
      <c r="AA262" s="985" t="str">
        <f t="shared" si="166"/>
        <v>.</v>
      </c>
      <c r="AB262" s="702" t="str">
        <f t="shared" si="153"/>
        <v>.</v>
      </c>
      <c r="AC262" s="702" t="str">
        <f t="shared" si="154"/>
        <v>.</v>
      </c>
      <c r="AD262" s="702" t="str">
        <f t="shared" si="155"/>
        <v>.</v>
      </c>
      <c r="AE262" s="702" t="str">
        <f t="shared" si="156"/>
        <v>.</v>
      </c>
      <c r="AF262" s="702" t="str">
        <f t="shared" si="157"/>
        <v>.</v>
      </c>
      <c r="AG262" s="986" t="str">
        <f t="shared" si="158"/>
        <v>.</v>
      </c>
      <c r="AH262" s="3"/>
      <c r="AI262" s="699" t="str">
        <f>IF(S262=".",".",SUM($S262:S262))</f>
        <v>.</v>
      </c>
      <c r="AJ262" s="700" t="str">
        <f>IF(T262=".",".",SUM($S262:T262))</f>
        <v>.</v>
      </c>
      <c r="AK262" s="700" t="str">
        <f>IF(U262=".",".",SUM($S262:U262))</f>
        <v>.</v>
      </c>
      <c r="AL262" s="700" t="str">
        <f>IF(V262=".",".",SUM($S262:V262))</f>
        <v>.</v>
      </c>
      <c r="AM262" s="700" t="str">
        <f>IF(W262=".",".",SUM($S262:W262))</f>
        <v>.</v>
      </c>
      <c r="AN262" s="700" t="str">
        <f>IF(X262=".",".",SUM($S262:X262))</f>
        <v>.</v>
      </c>
      <c r="AO262" s="701" t="str">
        <f>IF(Y262=".",".",SUM($S262:Y262))</f>
        <v>.</v>
      </c>
      <c r="AP262" s="3"/>
      <c r="AQ262" s="985" t="str">
        <f t="shared" si="165"/>
        <v>.</v>
      </c>
      <c r="AR262" s="702" t="str">
        <f t="shared" si="159"/>
        <v>.</v>
      </c>
      <c r="AS262" s="702" t="str">
        <f t="shared" si="160"/>
        <v>.</v>
      </c>
      <c r="AT262" s="702" t="str">
        <f t="shared" si="161"/>
        <v>.</v>
      </c>
      <c r="AU262" s="702" t="str">
        <f t="shared" si="162"/>
        <v>.</v>
      </c>
      <c r="AV262" s="702" t="str">
        <f t="shared" si="163"/>
        <v>.</v>
      </c>
      <c r="AW262" s="986" t="str">
        <f t="shared" si="164"/>
        <v>.</v>
      </c>
      <c r="AX262" s="214"/>
      <c r="AY262" s="3"/>
      <c r="AZ262" s="3"/>
      <c r="BA262" s="3"/>
      <c r="BB262" s="3"/>
    </row>
    <row r="263" spans="1:54" ht="12" x14ac:dyDescent="0.25">
      <c r="A263" s="3"/>
      <c r="B263" s="212"/>
      <c r="C263" s="279" t="str">
        <f t="shared" si="172"/>
        <v>Business</v>
      </c>
      <c r="D263" s="279" t="str">
        <f t="shared" si="172"/>
        <v/>
      </c>
      <c r="E263" s="557" t="str">
        <f t="shared" si="169"/>
        <v>.</v>
      </c>
      <c r="F263" s="579"/>
      <c r="G263" s="578"/>
      <c r="H263" s="578"/>
      <c r="I263" s="578"/>
      <c r="J263" s="578"/>
      <c r="K263" s="578"/>
      <c r="L263" s="578"/>
      <c r="M263" s="220"/>
      <c r="N263" s="3"/>
      <c r="O263" s="655">
        <f t="shared" si="183"/>
        <v>0</v>
      </c>
      <c r="P263" s="657">
        <f t="shared" si="183"/>
        <v>0</v>
      </c>
      <c r="Q263" s="3"/>
      <c r="R263" s="212"/>
      <c r="S263" s="699" t="str">
        <f t="shared" si="176"/>
        <v>.</v>
      </c>
      <c r="T263" s="700" t="str">
        <f t="shared" si="177"/>
        <v>.</v>
      </c>
      <c r="U263" s="700" t="str">
        <f t="shared" si="178"/>
        <v>.</v>
      </c>
      <c r="V263" s="700" t="str">
        <f t="shared" si="179"/>
        <v>.</v>
      </c>
      <c r="W263" s="700" t="str">
        <f t="shared" si="180"/>
        <v>.</v>
      </c>
      <c r="X263" s="700" t="str">
        <f t="shared" si="181"/>
        <v>.</v>
      </c>
      <c r="Y263" s="701" t="str">
        <f t="shared" si="182"/>
        <v>.</v>
      </c>
      <c r="Z263" s="3"/>
      <c r="AA263" s="985" t="str">
        <f t="shared" si="166"/>
        <v>.</v>
      </c>
      <c r="AB263" s="702" t="str">
        <f t="shared" si="153"/>
        <v>.</v>
      </c>
      <c r="AC263" s="702" t="str">
        <f t="shared" si="154"/>
        <v>.</v>
      </c>
      <c r="AD263" s="702" t="str">
        <f t="shared" si="155"/>
        <v>.</v>
      </c>
      <c r="AE263" s="702" t="str">
        <f t="shared" si="156"/>
        <v>.</v>
      </c>
      <c r="AF263" s="702" t="str">
        <f t="shared" si="157"/>
        <v>.</v>
      </c>
      <c r="AG263" s="986" t="str">
        <f t="shared" si="158"/>
        <v>.</v>
      </c>
      <c r="AH263" s="3"/>
      <c r="AI263" s="699" t="str">
        <f>IF(S263=".",".",SUM($S263:S263))</f>
        <v>.</v>
      </c>
      <c r="AJ263" s="700" t="str">
        <f>IF(T263=".",".",SUM($S263:T263))</f>
        <v>.</v>
      </c>
      <c r="AK263" s="700" t="str">
        <f>IF(U263=".",".",SUM($S263:U263))</f>
        <v>.</v>
      </c>
      <c r="AL263" s="700" t="str">
        <f>IF(V263=".",".",SUM($S263:V263))</f>
        <v>.</v>
      </c>
      <c r="AM263" s="700" t="str">
        <f>IF(W263=".",".",SUM($S263:W263))</f>
        <v>.</v>
      </c>
      <c r="AN263" s="700" t="str">
        <f>IF(X263=".",".",SUM($S263:X263))</f>
        <v>.</v>
      </c>
      <c r="AO263" s="701" t="str">
        <f>IF(Y263=".",".",SUM($S263:Y263))</f>
        <v>.</v>
      </c>
      <c r="AP263" s="3"/>
      <c r="AQ263" s="985" t="str">
        <f t="shared" si="165"/>
        <v>.</v>
      </c>
      <c r="AR263" s="702" t="str">
        <f t="shared" si="159"/>
        <v>.</v>
      </c>
      <c r="AS263" s="702" t="str">
        <f t="shared" si="160"/>
        <v>.</v>
      </c>
      <c r="AT263" s="702" t="str">
        <f t="shared" si="161"/>
        <v>.</v>
      </c>
      <c r="AU263" s="702" t="str">
        <f t="shared" si="162"/>
        <v>.</v>
      </c>
      <c r="AV263" s="702" t="str">
        <f t="shared" si="163"/>
        <v>.</v>
      </c>
      <c r="AW263" s="986" t="str">
        <f t="shared" si="164"/>
        <v>.</v>
      </c>
      <c r="AX263" s="214"/>
      <c r="AY263" s="3"/>
      <c r="AZ263" s="3"/>
      <c r="BA263" s="3"/>
      <c r="BB263" s="3"/>
    </row>
    <row r="264" spans="1:54" ht="12" x14ac:dyDescent="0.25">
      <c r="A264" s="3"/>
      <c r="B264" s="212"/>
      <c r="C264" s="279" t="str">
        <f t="shared" si="172"/>
        <v>Business</v>
      </c>
      <c r="D264" s="279" t="str">
        <f t="shared" si="172"/>
        <v/>
      </c>
      <c r="E264" s="557" t="str">
        <f t="shared" si="169"/>
        <v>.</v>
      </c>
      <c r="F264" s="579"/>
      <c r="G264" s="578"/>
      <c r="H264" s="578"/>
      <c r="I264" s="578"/>
      <c r="J264" s="578"/>
      <c r="K264" s="578"/>
      <c r="L264" s="578"/>
      <c r="M264" s="220"/>
      <c r="N264" s="3"/>
      <c r="O264" s="655">
        <f t="shared" si="183"/>
        <v>0</v>
      </c>
      <c r="P264" s="657">
        <f t="shared" si="183"/>
        <v>0</v>
      </c>
      <c r="Q264" s="3"/>
      <c r="R264" s="212"/>
      <c r="S264" s="699" t="str">
        <f t="shared" si="176"/>
        <v>.</v>
      </c>
      <c r="T264" s="700" t="str">
        <f t="shared" si="177"/>
        <v>.</v>
      </c>
      <c r="U264" s="700" t="str">
        <f t="shared" si="178"/>
        <v>.</v>
      </c>
      <c r="V264" s="700" t="str">
        <f t="shared" si="179"/>
        <v>.</v>
      </c>
      <c r="W264" s="700" t="str">
        <f t="shared" si="180"/>
        <v>.</v>
      </c>
      <c r="X264" s="700" t="str">
        <f t="shared" si="181"/>
        <v>.</v>
      </c>
      <c r="Y264" s="701" t="str">
        <f t="shared" si="182"/>
        <v>.</v>
      </c>
      <c r="Z264" s="3"/>
      <c r="AA264" s="985" t="str">
        <f t="shared" si="166"/>
        <v>.</v>
      </c>
      <c r="AB264" s="702" t="str">
        <f t="shared" si="153"/>
        <v>.</v>
      </c>
      <c r="AC264" s="702" t="str">
        <f t="shared" si="154"/>
        <v>.</v>
      </c>
      <c r="AD264" s="702" t="str">
        <f t="shared" si="155"/>
        <v>.</v>
      </c>
      <c r="AE264" s="702" t="str">
        <f t="shared" si="156"/>
        <v>.</v>
      </c>
      <c r="AF264" s="702" t="str">
        <f t="shared" si="157"/>
        <v>.</v>
      </c>
      <c r="AG264" s="986" t="str">
        <f t="shared" si="158"/>
        <v>.</v>
      </c>
      <c r="AH264" s="3"/>
      <c r="AI264" s="699" t="str">
        <f>IF(S264=".",".",SUM($S264:S264))</f>
        <v>.</v>
      </c>
      <c r="AJ264" s="700" t="str">
        <f>IF(T264=".",".",SUM($S264:T264))</f>
        <v>.</v>
      </c>
      <c r="AK264" s="700" t="str">
        <f>IF(U264=".",".",SUM($S264:U264))</f>
        <v>.</v>
      </c>
      <c r="AL264" s="700" t="str">
        <f>IF(V264=".",".",SUM($S264:V264))</f>
        <v>.</v>
      </c>
      <c r="AM264" s="700" t="str">
        <f>IF(W264=".",".",SUM($S264:W264))</f>
        <v>.</v>
      </c>
      <c r="AN264" s="700" t="str">
        <f>IF(X264=".",".",SUM($S264:X264))</f>
        <v>.</v>
      </c>
      <c r="AO264" s="701" t="str">
        <f>IF(Y264=".",".",SUM($S264:Y264))</f>
        <v>.</v>
      </c>
      <c r="AP264" s="3"/>
      <c r="AQ264" s="985" t="str">
        <f t="shared" si="165"/>
        <v>.</v>
      </c>
      <c r="AR264" s="702" t="str">
        <f t="shared" si="159"/>
        <v>.</v>
      </c>
      <c r="AS264" s="702" t="str">
        <f t="shared" si="160"/>
        <v>.</v>
      </c>
      <c r="AT264" s="702" t="str">
        <f t="shared" si="161"/>
        <v>.</v>
      </c>
      <c r="AU264" s="702" t="str">
        <f t="shared" si="162"/>
        <v>.</v>
      </c>
      <c r="AV264" s="702" t="str">
        <f t="shared" si="163"/>
        <v>.</v>
      </c>
      <c r="AW264" s="986" t="str">
        <f t="shared" si="164"/>
        <v>.</v>
      </c>
      <c r="AX264" s="214"/>
      <c r="AY264" s="3"/>
      <c r="AZ264" s="3"/>
      <c r="BA264" s="3"/>
      <c r="BB264" s="3"/>
    </row>
    <row r="265" spans="1:54" ht="12" x14ac:dyDescent="0.25">
      <c r="A265" s="3"/>
      <c r="B265" s="212"/>
      <c r="C265" s="279" t="str">
        <f t="shared" si="172"/>
        <v>Business</v>
      </c>
      <c r="D265" s="279" t="str">
        <f t="shared" si="172"/>
        <v/>
      </c>
      <c r="E265" s="557" t="str">
        <f t="shared" si="169"/>
        <v>.</v>
      </c>
      <c r="F265" s="579"/>
      <c r="G265" s="578"/>
      <c r="H265" s="578"/>
      <c r="I265" s="578"/>
      <c r="J265" s="578"/>
      <c r="K265" s="578"/>
      <c r="L265" s="578"/>
      <c r="M265" s="220"/>
      <c r="N265" s="3"/>
      <c r="O265" s="655">
        <f t="shared" si="183"/>
        <v>0</v>
      </c>
      <c r="P265" s="657">
        <f t="shared" si="183"/>
        <v>0</v>
      </c>
      <c r="Q265" s="3"/>
      <c r="R265" s="212"/>
      <c r="S265" s="699" t="str">
        <f t="shared" si="176"/>
        <v>.</v>
      </c>
      <c r="T265" s="700" t="str">
        <f t="shared" si="177"/>
        <v>.</v>
      </c>
      <c r="U265" s="700" t="str">
        <f t="shared" si="178"/>
        <v>.</v>
      </c>
      <c r="V265" s="700" t="str">
        <f t="shared" si="179"/>
        <v>.</v>
      </c>
      <c r="W265" s="700" t="str">
        <f t="shared" si="180"/>
        <v>.</v>
      </c>
      <c r="X265" s="700" t="str">
        <f t="shared" si="181"/>
        <v>.</v>
      </c>
      <c r="Y265" s="701" t="str">
        <f t="shared" si="182"/>
        <v>.</v>
      </c>
      <c r="Z265" s="3"/>
      <c r="AA265" s="985" t="str">
        <f t="shared" si="166"/>
        <v>.</v>
      </c>
      <c r="AB265" s="702" t="str">
        <f t="shared" si="153"/>
        <v>.</v>
      </c>
      <c r="AC265" s="702" t="str">
        <f t="shared" si="154"/>
        <v>.</v>
      </c>
      <c r="AD265" s="702" t="str">
        <f t="shared" si="155"/>
        <v>.</v>
      </c>
      <c r="AE265" s="702" t="str">
        <f t="shared" si="156"/>
        <v>.</v>
      </c>
      <c r="AF265" s="702" t="str">
        <f t="shared" si="157"/>
        <v>.</v>
      </c>
      <c r="AG265" s="986" t="str">
        <f t="shared" si="158"/>
        <v>.</v>
      </c>
      <c r="AH265" s="3"/>
      <c r="AI265" s="699" t="str">
        <f>IF(S265=".",".",SUM($S265:S265))</f>
        <v>.</v>
      </c>
      <c r="AJ265" s="700" t="str">
        <f>IF(T265=".",".",SUM($S265:T265))</f>
        <v>.</v>
      </c>
      <c r="AK265" s="700" t="str">
        <f>IF(U265=".",".",SUM($S265:U265))</f>
        <v>.</v>
      </c>
      <c r="AL265" s="700" t="str">
        <f>IF(V265=".",".",SUM($S265:V265))</f>
        <v>.</v>
      </c>
      <c r="AM265" s="700" t="str">
        <f>IF(W265=".",".",SUM($S265:W265))</f>
        <v>.</v>
      </c>
      <c r="AN265" s="700" t="str">
        <f>IF(X265=".",".",SUM($S265:X265))</f>
        <v>.</v>
      </c>
      <c r="AO265" s="701" t="str">
        <f>IF(Y265=".",".",SUM($S265:Y265))</f>
        <v>.</v>
      </c>
      <c r="AP265" s="3"/>
      <c r="AQ265" s="985" t="str">
        <f t="shared" si="165"/>
        <v>.</v>
      </c>
      <c r="AR265" s="702" t="str">
        <f t="shared" si="159"/>
        <v>.</v>
      </c>
      <c r="AS265" s="702" t="str">
        <f t="shared" si="160"/>
        <v>.</v>
      </c>
      <c r="AT265" s="702" t="str">
        <f t="shared" si="161"/>
        <v>.</v>
      </c>
      <c r="AU265" s="702" t="str">
        <f t="shared" si="162"/>
        <v>.</v>
      </c>
      <c r="AV265" s="702" t="str">
        <f t="shared" si="163"/>
        <v>.</v>
      </c>
      <c r="AW265" s="986" t="str">
        <f t="shared" si="164"/>
        <v>.</v>
      </c>
      <c r="AX265" s="214"/>
      <c r="AY265" s="3"/>
      <c r="AZ265" s="3"/>
      <c r="BA265" s="3"/>
      <c r="BB265" s="3"/>
    </row>
    <row r="266" spans="1:54" ht="12" x14ac:dyDescent="0.25">
      <c r="A266" s="3"/>
      <c r="B266" s="212"/>
      <c r="C266" s="279" t="str">
        <f t="shared" si="172"/>
        <v>Business</v>
      </c>
      <c r="D266" s="279" t="str">
        <f t="shared" si="172"/>
        <v/>
      </c>
      <c r="E266" s="557" t="str">
        <f t="shared" si="169"/>
        <v>.</v>
      </c>
      <c r="F266" s="579"/>
      <c r="G266" s="578"/>
      <c r="H266" s="578"/>
      <c r="I266" s="578"/>
      <c r="J266" s="578"/>
      <c r="K266" s="578"/>
      <c r="L266" s="578"/>
      <c r="M266" s="220"/>
      <c r="N266" s="3"/>
      <c r="O266" s="655">
        <f t="shared" si="183"/>
        <v>0</v>
      </c>
      <c r="P266" s="657">
        <f t="shared" si="183"/>
        <v>0</v>
      </c>
      <c r="Q266" s="3"/>
      <c r="R266" s="212"/>
      <c r="S266" s="699" t="str">
        <f t="shared" si="176"/>
        <v>.</v>
      </c>
      <c r="T266" s="700" t="str">
        <f t="shared" si="177"/>
        <v>.</v>
      </c>
      <c r="U266" s="700" t="str">
        <f t="shared" si="178"/>
        <v>.</v>
      </c>
      <c r="V266" s="700" t="str">
        <f t="shared" si="179"/>
        <v>.</v>
      </c>
      <c r="W266" s="700" t="str">
        <f t="shared" si="180"/>
        <v>.</v>
      </c>
      <c r="X266" s="700" t="str">
        <f t="shared" si="181"/>
        <v>.</v>
      </c>
      <c r="Y266" s="701" t="str">
        <f t="shared" si="182"/>
        <v>.</v>
      </c>
      <c r="Z266" s="3"/>
      <c r="AA266" s="985" t="str">
        <f t="shared" si="166"/>
        <v>.</v>
      </c>
      <c r="AB266" s="702" t="str">
        <f t="shared" si="153"/>
        <v>.</v>
      </c>
      <c r="AC266" s="702" t="str">
        <f t="shared" si="154"/>
        <v>.</v>
      </c>
      <c r="AD266" s="702" t="str">
        <f t="shared" si="155"/>
        <v>.</v>
      </c>
      <c r="AE266" s="702" t="str">
        <f t="shared" si="156"/>
        <v>.</v>
      </c>
      <c r="AF266" s="702" t="str">
        <f t="shared" si="157"/>
        <v>.</v>
      </c>
      <c r="AG266" s="986" t="str">
        <f t="shared" si="158"/>
        <v>.</v>
      </c>
      <c r="AH266" s="3"/>
      <c r="AI266" s="699" t="str">
        <f>IF(S266=".",".",SUM($S266:S266))</f>
        <v>.</v>
      </c>
      <c r="AJ266" s="700" t="str">
        <f>IF(T266=".",".",SUM($S266:T266))</f>
        <v>.</v>
      </c>
      <c r="AK266" s="700" t="str">
        <f>IF(U266=".",".",SUM($S266:U266))</f>
        <v>.</v>
      </c>
      <c r="AL266" s="700" t="str">
        <f>IF(V266=".",".",SUM($S266:V266))</f>
        <v>.</v>
      </c>
      <c r="AM266" s="700" t="str">
        <f>IF(W266=".",".",SUM($S266:W266))</f>
        <v>.</v>
      </c>
      <c r="AN266" s="700" t="str">
        <f>IF(X266=".",".",SUM($S266:X266))</f>
        <v>.</v>
      </c>
      <c r="AO266" s="701" t="str">
        <f>IF(Y266=".",".",SUM($S266:Y266))</f>
        <v>.</v>
      </c>
      <c r="AP266" s="3"/>
      <c r="AQ266" s="985" t="str">
        <f t="shared" si="165"/>
        <v>.</v>
      </c>
      <c r="AR266" s="702" t="str">
        <f t="shared" si="159"/>
        <v>.</v>
      </c>
      <c r="AS266" s="702" t="str">
        <f t="shared" si="160"/>
        <v>.</v>
      </c>
      <c r="AT266" s="702" t="str">
        <f t="shared" si="161"/>
        <v>.</v>
      </c>
      <c r="AU266" s="702" t="str">
        <f t="shared" si="162"/>
        <v>.</v>
      </c>
      <c r="AV266" s="702" t="str">
        <f t="shared" si="163"/>
        <v>.</v>
      </c>
      <c r="AW266" s="986" t="str">
        <f t="shared" si="164"/>
        <v>.</v>
      </c>
      <c r="AX266" s="214"/>
      <c r="AY266" s="3"/>
      <c r="AZ266" s="3"/>
      <c r="BA266" s="3"/>
      <c r="BB266" s="3"/>
    </row>
    <row r="267" spans="1:54" ht="12" x14ac:dyDescent="0.25">
      <c r="A267" s="3"/>
      <c r="B267" s="212"/>
      <c r="C267" s="279" t="str">
        <f t="shared" si="172"/>
        <v>Business</v>
      </c>
      <c r="D267" s="279" t="str">
        <f t="shared" si="172"/>
        <v/>
      </c>
      <c r="E267" s="557" t="str">
        <f t="shared" si="169"/>
        <v>.</v>
      </c>
      <c r="F267" s="579"/>
      <c r="G267" s="578"/>
      <c r="H267" s="578"/>
      <c r="I267" s="578"/>
      <c r="J267" s="578"/>
      <c r="K267" s="578"/>
      <c r="L267" s="578"/>
      <c r="M267" s="220"/>
      <c r="N267" s="3"/>
      <c r="O267" s="655">
        <f t="shared" si="183"/>
        <v>0</v>
      </c>
      <c r="P267" s="657">
        <f t="shared" si="183"/>
        <v>0</v>
      </c>
      <c r="Q267" s="3"/>
      <c r="R267" s="212"/>
      <c r="S267" s="699" t="str">
        <f t="shared" si="176"/>
        <v>.</v>
      </c>
      <c r="T267" s="700" t="str">
        <f t="shared" si="177"/>
        <v>.</v>
      </c>
      <c r="U267" s="700" t="str">
        <f t="shared" si="178"/>
        <v>.</v>
      </c>
      <c r="V267" s="700" t="str">
        <f t="shared" si="179"/>
        <v>.</v>
      </c>
      <c r="W267" s="700" t="str">
        <f t="shared" si="180"/>
        <v>.</v>
      </c>
      <c r="X267" s="700" t="str">
        <f t="shared" si="181"/>
        <v>.</v>
      </c>
      <c r="Y267" s="701" t="str">
        <f t="shared" si="182"/>
        <v>.</v>
      </c>
      <c r="Z267" s="3"/>
      <c r="AA267" s="985" t="str">
        <f t="shared" si="166"/>
        <v>.</v>
      </c>
      <c r="AB267" s="702" t="str">
        <f t="shared" si="153"/>
        <v>.</v>
      </c>
      <c r="AC267" s="702" t="str">
        <f t="shared" si="154"/>
        <v>.</v>
      </c>
      <c r="AD267" s="702" t="str">
        <f t="shared" si="155"/>
        <v>.</v>
      </c>
      <c r="AE267" s="702" t="str">
        <f t="shared" si="156"/>
        <v>.</v>
      </c>
      <c r="AF267" s="702" t="str">
        <f t="shared" si="157"/>
        <v>.</v>
      </c>
      <c r="AG267" s="986" t="str">
        <f t="shared" si="158"/>
        <v>.</v>
      </c>
      <c r="AH267" s="3"/>
      <c r="AI267" s="699" t="str">
        <f>IF(S267=".",".",SUM($S267:S267))</f>
        <v>.</v>
      </c>
      <c r="AJ267" s="700" t="str">
        <f>IF(T267=".",".",SUM($S267:T267))</f>
        <v>.</v>
      </c>
      <c r="AK267" s="700" t="str">
        <f>IF(U267=".",".",SUM($S267:U267))</f>
        <v>.</v>
      </c>
      <c r="AL267" s="700" t="str">
        <f>IF(V267=".",".",SUM($S267:V267))</f>
        <v>.</v>
      </c>
      <c r="AM267" s="700" t="str">
        <f>IF(W267=".",".",SUM($S267:W267))</f>
        <v>.</v>
      </c>
      <c r="AN267" s="700" t="str">
        <f>IF(X267=".",".",SUM($S267:X267))</f>
        <v>.</v>
      </c>
      <c r="AO267" s="701" t="str">
        <f>IF(Y267=".",".",SUM($S267:Y267))</f>
        <v>.</v>
      </c>
      <c r="AP267" s="3"/>
      <c r="AQ267" s="985" t="str">
        <f t="shared" si="165"/>
        <v>.</v>
      </c>
      <c r="AR267" s="702" t="str">
        <f t="shared" si="159"/>
        <v>.</v>
      </c>
      <c r="AS267" s="702" t="str">
        <f t="shared" si="160"/>
        <v>.</v>
      </c>
      <c r="AT267" s="702" t="str">
        <f t="shared" si="161"/>
        <v>.</v>
      </c>
      <c r="AU267" s="702" t="str">
        <f t="shared" si="162"/>
        <v>.</v>
      </c>
      <c r="AV267" s="702" t="str">
        <f t="shared" si="163"/>
        <v>.</v>
      </c>
      <c r="AW267" s="986" t="str">
        <f t="shared" si="164"/>
        <v>.</v>
      </c>
      <c r="AX267" s="214"/>
      <c r="AY267" s="3"/>
      <c r="AZ267" s="3"/>
      <c r="BA267" s="3"/>
      <c r="BB267" s="3"/>
    </row>
    <row r="268" spans="1:54" ht="12" x14ac:dyDescent="0.25">
      <c r="A268" s="3"/>
      <c r="B268" s="212"/>
      <c r="C268" s="279" t="str">
        <f t="shared" si="172"/>
        <v>Business</v>
      </c>
      <c r="D268" s="279" t="str">
        <f t="shared" si="172"/>
        <v/>
      </c>
      <c r="E268" s="557" t="str">
        <f t="shared" si="169"/>
        <v>.</v>
      </c>
      <c r="F268" s="579"/>
      <c r="G268" s="578"/>
      <c r="H268" s="578"/>
      <c r="I268" s="578"/>
      <c r="J268" s="578"/>
      <c r="K268" s="578"/>
      <c r="L268" s="578"/>
      <c r="M268" s="220"/>
      <c r="N268" s="3"/>
      <c r="O268" s="655">
        <f t="shared" si="183"/>
        <v>0</v>
      </c>
      <c r="P268" s="657">
        <f t="shared" si="183"/>
        <v>0</v>
      </c>
      <c r="Q268" s="3"/>
      <c r="R268" s="212"/>
      <c r="S268" s="699" t="str">
        <f t="shared" si="176"/>
        <v>.</v>
      </c>
      <c r="T268" s="700" t="str">
        <f t="shared" si="177"/>
        <v>.</v>
      </c>
      <c r="U268" s="700" t="str">
        <f t="shared" si="178"/>
        <v>.</v>
      </c>
      <c r="V268" s="700" t="str">
        <f t="shared" si="179"/>
        <v>.</v>
      </c>
      <c r="W268" s="700" t="str">
        <f t="shared" si="180"/>
        <v>.</v>
      </c>
      <c r="X268" s="700" t="str">
        <f t="shared" si="181"/>
        <v>.</v>
      </c>
      <c r="Y268" s="701" t="str">
        <f t="shared" si="182"/>
        <v>.</v>
      </c>
      <c r="Z268" s="3"/>
      <c r="AA268" s="985" t="str">
        <f t="shared" si="166"/>
        <v>.</v>
      </c>
      <c r="AB268" s="702" t="str">
        <f t="shared" si="153"/>
        <v>.</v>
      </c>
      <c r="AC268" s="702" t="str">
        <f t="shared" si="154"/>
        <v>.</v>
      </c>
      <c r="AD268" s="702" t="str">
        <f t="shared" si="155"/>
        <v>.</v>
      </c>
      <c r="AE268" s="702" t="str">
        <f t="shared" si="156"/>
        <v>.</v>
      </c>
      <c r="AF268" s="702" t="str">
        <f t="shared" si="157"/>
        <v>.</v>
      </c>
      <c r="AG268" s="986" t="str">
        <f t="shared" si="158"/>
        <v>.</v>
      </c>
      <c r="AH268" s="3"/>
      <c r="AI268" s="699" t="str">
        <f>IF(S268=".",".",SUM($S268:S268))</f>
        <v>.</v>
      </c>
      <c r="AJ268" s="700" t="str">
        <f>IF(T268=".",".",SUM($S268:T268))</f>
        <v>.</v>
      </c>
      <c r="AK268" s="700" t="str">
        <f>IF(U268=".",".",SUM($S268:U268))</f>
        <v>.</v>
      </c>
      <c r="AL268" s="700" t="str">
        <f>IF(V268=".",".",SUM($S268:V268))</f>
        <v>.</v>
      </c>
      <c r="AM268" s="700" t="str">
        <f>IF(W268=".",".",SUM($S268:W268))</f>
        <v>.</v>
      </c>
      <c r="AN268" s="700" t="str">
        <f>IF(X268=".",".",SUM($S268:X268))</f>
        <v>.</v>
      </c>
      <c r="AO268" s="701" t="str">
        <f>IF(Y268=".",".",SUM($S268:Y268))</f>
        <v>.</v>
      </c>
      <c r="AP268" s="3"/>
      <c r="AQ268" s="985" t="str">
        <f t="shared" si="165"/>
        <v>.</v>
      </c>
      <c r="AR268" s="702" t="str">
        <f t="shared" si="159"/>
        <v>.</v>
      </c>
      <c r="AS268" s="702" t="str">
        <f t="shared" si="160"/>
        <v>.</v>
      </c>
      <c r="AT268" s="702" t="str">
        <f t="shared" si="161"/>
        <v>.</v>
      </c>
      <c r="AU268" s="702" t="str">
        <f t="shared" si="162"/>
        <v>.</v>
      </c>
      <c r="AV268" s="702" t="str">
        <f t="shared" si="163"/>
        <v>.</v>
      </c>
      <c r="AW268" s="986" t="str">
        <f t="shared" si="164"/>
        <v>.</v>
      </c>
      <c r="AX268" s="214"/>
      <c r="AY268" s="3"/>
      <c r="AZ268" s="3"/>
      <c r="BA268" s="3"/>
      <c r="BB268" s="3"/>
    </row>
    <row r="269" spans="1:54" ht="12" x14ac:dyDescent="0.25">
      <c r="A269" s="3"/>
      <c r="B269" s="212"/>
      <c r="C269" s="279" t="str">
        <f t="shared" si="172"/>
        <v>Business</v>
      </c>
      <c r="D269" s="279" t="str">
        <f t="shared" si="172"/>
        <v/>
      </c>
      <c r="E269" s="557" t="str">
        <f t="shared" si="169"/>
        <v>.</v>
      </c>
      <c r="F269" s="579"/>
      <c r="G269" s="578"/>
      <c r="H269" s="578"/>
      <c r="I269" s="578"/>
      <c r="J269" s="578"/>
      <c r="K269" s="578"/>
      <c r="L269" s="578"/>
      <c r="M269" s="220"/>
      <c r="N269" s="3"/>
      <c r="O269" s="655">
        <f t="shared" si="183"/>
        <v>0</v>
      </c>
      <c r="P269" s="657">
        <f t="shared" si="183"/>
        <v>0</v>
      </c>
      <c r="Q269" s="3"/>
      <c r="R269" s="212"/>
      <c r="S269" s="699" t="str">
        <f t="shared" si="176"/>
        <v>.</v>
      </c>
      <c r="T269" s="700" t="str">
        <f t="shared" si="177"/>
        <v>.</v>
      </c>
      <c r="U269" s="700" t="str">
        <f t="shared" si="178"/>
        <v>.</v>
      </c>
      <c r="V269" s="700" t="str">
        <f t="shared" si="179"/>
        <v>.</v>
      </c>
      <c r="W269" s="700" t="str">
        <f t="shared" si="180"/>
        <v>.</v>
      </c>
      <c r="X269" s="700" t="str">
        <f t="shared" si="181"/>
        <v>.</v>
      </c>
      <c r="Y269" s="701" t="str">
        <f t="shared" si="182"/>
        <v>.</v>
      </c>
      <c r="Z269" s="3"/>
      <c r="AA269" s="985" t="str">
        <f t="shared" si="166"/>
        <v>.</v>
      </c>
      <c r="AB269" s="702" t="str">
        <f t="shared" si="153"/>
        <v>.</v>
      </c>
      <c r="AC269" s="702" t="str">
        <f t="shared" si="154"/>
        <v>.</v>
      </c>
      <c r="AD269" s="702" t="str">
        <f t="shared" si="155"/>
        <v>.</v>
      </c>
      <c r="AE269" s="702" t="str">
        <f t="shared" si="156"/>
        <v>.</v>
      </c>
      <c r="AF269" s="702" t="str">
        <f t="shared" si="157"/>
        <v>.</v>
      </c>
      <c r="AG269" s="986" t="str">
        <f t="shared" si="158"/>
        <v>.</v>
      </c>
      <c r="AH269" s="3"/>
      <c r="AI269" s="699" t="str">
        <f>IF(S269=".",".",SUM($S269:S269))</f>
        <v>.</v>
      </c>
      <c r="AJ269" s="700" t="str">
        <f>IF(T269=".",".",SUM($S269:T269))</f>
        <v>.</v>
      </c>
      <c r="AK269" s="700" t="str">
        <f>IF(U269=".",".",SUM($S269:U269))</f>
        <v>.</v>
      </c>
      <c r="AL269" s="700" t="str">
        <f>IF(V269=".",".",SUM($S269:V269))</f>
        <v>.</v>
      </c>
      <c r="AM269" s="700" t="str">
        <f>IF(W269=".",".",SUM($S269:W269))</f>
        <v>.</v>
      </c>
      <c r="AN269" s="700" t="str">
        <f>IF(X269=".",".",SUM($S269:X269))</f>
        <v>.</v>
      </c>
      <c r="AO269" s="701" t="str">
        <f>IF(Y269=".",".",SUM($S269:Y269))</f>
        <v>.</v>
      </c>
      <c r="AP269" s="3"/>
      <c r="AQ269" s="985" t="str">
        <f t="shared" si="165"/>
        <v>.</v>
      </c>
      <c r="AR269" s="702" t="str">
        <f t="shared" si="159"/>
        <v>.</v>
      </c>
      <c r="AS269" s="702" t="str">
        <f t="shared" si="160"/>
        <v>.</v>
      </c>
      <c r="AT269" s="702" t="str">
        <f t="shared" si="161"/>
        <v>.</v>
      </c>
      <c r="AU269" s="702" t="str">
        <f t="shared" si="162"/>
        <v>.</v>
      </c>
      <c r="AV269" s="702" t="str">
        <f t="shared" si="163"/>
        <v>.</v>
      </c>
      <c r="AW269" s="986" t="str">
        <f t="shared" si="164"/>
        <v>.</v>
      </c>
      <c r="AX269" s="214"/>
      <c r="AY269" s="3"/>
      <c r="AZ269" s="3"/>
      <c r="BA269" s="3"/>
      <c r="BB269" s="3"/>
    </row>
    <row r="270" spans="1:54" ht="12" x14ac:dyDescent="0.25">
      <c r="A270" s="3"/>
      <c r="B270" s="212"/>
      <c r="C270" s="279" t="str">
        <f t="shared" si="172"/>
        <v>Business</v>
      </c>
      <c r="D270" s="279" t="str">
        <f t="shared" si="172"/>
        <v/>
      </c>
      <c r="E270" s="557" t="str">
        <f t="shared" si="169"/>
        <v>.</v>
      </c>
      <c r="F270" s="579"/>
      <c r="G270" s="578"/>
      <c r="H270" s="578"/>
      <c r="I270" s="578"/>
      <c r="J270" s="578"/>
      <c r="K270" s="578"/>
      <c r="L270" s="578"/>
      <c r="M270" s="220"/>
      <c r="N270" s="3"/>
      <c r="O270" s="655">
        <f t="shared" si="183"/>
        <v>0</v>
      </c>
      <c r="P270" s="657">
        <f t="shared" si="183"/>
        <v>0</v>
      </c>
      <c r="Q270" s="3"/>
      <c r="R270" s="212"/>
      <c r="S270" s="699" t="str">
        <f t="shared" si="176"/>
        <v>.</v>
      </c>
      <c r="T270" s="700" t="str">
        <f t="shared" si="177"/>
        <v>.</v>
      </c>
      <c r="U270" s="700" t="str">
        <f t="shared" si="178"/>
        <v>.</v>
      </c>
      <c r="V270" s="700" t="str">
        <f t="shared" si="179"/>
        <v>.</v>
      </c>
      <c r="W270" s="700" t="str">
        <f t="shared" si="180"/>
        <v>.</v>
      </c>
      <c r="X270" s="700" t="str">
        <f t="shared" si="181"/>
        <v>.</v>
      </c>
      <c r="Y270" s="701" t="str">
        <f t="shared" si="182"/>
        <v>.</v>
      </c>
      <c r="Z270" s="3"/>
      <c r="AA270" s="985" t="str">
        <f t="shared" si="166"/>
        <v>.</v>
      </c>
      <c r="AB270" s="702" t="str">
        <f t="shared" si="153"/>
        <v>.</v>
      </c>
      <c r="AC270" s="702" t="str">
        <f t="shared" si="154"/>
        <v>.</v>
      </c>
      <c r="AD270" s="702" t="str">
        <f t="shared" si="155"/>
        <v>.</v>
      </c>
      <c r="AE270" s="702" t="str">
        <f t="shared" si="156"/>
        <v>.</v>
      </c>
      <c r="AF270" s="702" t="str">
        <f t="shared" si="157"/>
        <v>.</v>
      </c>
      <c r="AG270" s="986" t="str">
        <f t="shared" si="158"/>
        <v>.</v>
      </c>
      <c r="AH270" s="3"/>
      <c r="AI270" s="699" t="str">
        <f>IF(S270=".",".",SUM($S270:S270))</f>
        <v>.</v>
      </c>
      <c r="AJ270" s="700" t="str">
        <f>IF(T270=".",".",SUM($S270:T270))</f>
        <v>.</v>
      </c>
      <c r="AK270" s="700" t="str">
        <f>IF(U270=".",".",SUM($S270:U270))</f>
        <v>.</v>
      </c>
      <c r="AL270" s="700" t="str">
        <f>IF(V270=".",".",SUM($S270:V270))</f>
        <v>.</v>
      </c>
      <c r="AM270" s="700" t="str">
        <f>IF(W270=".",".",SUM($S270:W270))</f>
        <v>.</v>
      </c>
      <c r="AN270" s="700" t="str">
        <f>IF(X270=".",".",SUM($S270:X270))</f>
        <v>.</v>
      </c>
      <c r="AO270" s="701" t="str">
        <f>IF(Y270=".",".",SUM($S270:Y270))</f>
        <v>.</v>
      </c>
      <c r="AP270" s="3"/>
      <c r="AQ270" s="985" t="str">
        <f t="shared" si="165"/>
        <v>.</v>
      </c>
      <c r="AR270" s="702" t="str">
        <f t="shared" si="159"/>
        <v>.</v>
      </c>
      <c r="AS270" s="702" t="str">
        <f t="shared" si="160"/>
        <v>.</v>
      </c>
      <c r="AT270" s="702" t="str">
        <f t="shared" si="161"/>
        <v>.</v>
      </c>
      <c r="AU270" s="702" t="str">
        <f t="shared" si="162"/>
        <v>.</v>
      </c>
      <c r="AV270" s="702" t="str">
        <f t="shared" si="163"/>
        <v>.</v>
      </c>
      <c r="AW270" s="986" t="str">
        <f t="shared" si="164"/>
        <v>.</v>
      </c>
      <c r="AX270" s="214"/>
      <c r="AY270" s="3"/>
      <c r="AZ270" s="3"/>
      <c r="BA270" s="3"/>
      <c r="BB270" s="3"/>
    </row>
    <row r="271" spans="1:54" ht="12" x14ac:dyDescent="0.25">
      <c r="A271" s="3"/>
      <c r="B271" s="212"/>
      <c r="C271" s="279" t="str">
        <f t="shared" si="172"/>
        <v>Business</v>
      </c>
      <c r="D271" s="279" t="str">
        <f t="shared" si="172"/>
        <v/>
      </c>
      <c r="E271" s="557" t="str">
        <f t="shared" si="169"/>
        <v>.</v>
      </c>
      <c r="F271" s="579"/>
      <c r="G271" s="578"/>
      <c r="H271" s="578"/>
      <c r="I271" s="578"/>
      <c r="J271" s="578"/>
      <c r="K271" s="578"/>
      <c r="L271" s="578"/>
      <c r="M271" s="220"/>
      <c r="N271" s="3"/>
      <c r="O271" s="655">
        <f t="shared" si="183"/>
        <v>0</v>
      </c>
      <c r="P271" s="657">
        <f t="shared" si="183"/>
        <v>0</v>
      </c>
      <c r="Q271" s="3"/>
      <c r="R271" s="212"/>
      <c r="S271" s="699" t="str">
        <f t="shared" si="176"/>
        <v>.</v>
      </c>
      <c r="T271" s="700" t="str">
        <f t="shared" si="177"/>
        <v>.</v>
      </c>
      <c r="U271" s="700" t="str">
        <f t="shared" si="178"/>
        <v>.</v>
      </c>
      <c r="V271" s="700" t="str">
        <f t="shared" si="179"/>
        <v>.</v>
      </c>
      <c r="W271" s="700" t="str">
        <f t="shared" si="180"/>
        <v>.</v>
      </c>
      <c r="X271" s="700" t="str">
        <f t="shared" si="181"/>
        <v>.</v>
      </c>
      <c r="Y271" s="701" t="str">
        <f t="shared" si="182"/>
        <v>.</v>
      </c>
      <c r="Z271" s="3"/>
      <c r="AA271" s="985" t="str">
        <f t="shared" si="166"/>
        <v>.</v>
      </c>
      <c r="AB271" s="702" t="str">
        <f t="shared" si="153"/>
        <v>.</v>
      </c>
      <c r="AC271" s="702" t="str">
        <f t="shared" si="154"/>
        <v>.</v>
      </c>
      <c r="AD271" s="702" t="str">
        <f t="shared" si="155"/>
        <v>.</v>
      </c>
      <c r="AE271" s="702" t="str">
        <f t="shared" si="156"/>
        <v>.</v>
      </c>
      <c r="AF271" s="702" t="str">
        <f t="shared" si="157"/>
        <v>.</v>
      </c>
      <c r="AG271" s="986" t="str">
        <f t="shared" si="158"/>
        <v>.</v>
      </c>
      <c r="AH271" s="3"/>
      <c r="AI271" s="699" t="str">
        <f>IF(S271=".",".",SUM($S271:S271))</f>
        <v>.</v>
      </c>
      <c r="AJ271" s="700" t="str">
        <f>IF(T271=".",".",SUM($S271:T271))</f>
        <v>.</v>
      </c>
      <c r="AK271" s="700" t="str">
        <f>IF(U271=".",".",SUM($S271:U271))</f>
        <v>.</v>
      </c>
      <c r="AL271" s="700" t="str">
        <f>IF(V271=".",".",SUM($S271:V271))</f>
        <v>.</v>
      </c>
      <c r="AM271" s="700" t="str">
        <f>IF(W271=".",".",SUM($S271:W271))</f>
        <v>.</v>
      </c>
      <c r="AN271" s="700" t="str">
        <f>IF(X271=".",".",SUM($S271:X271))</f>
        <v>.</v>
      </c>
      <c r="AO271" s="701" t="str">
        <f>IF(Y271=".",".",SUM($S271:Y271))</f>
        <v>.</v>
      </c>
      <c r="AP271" s="3"/>
      <c r="AQ271" s="985" t="str">
        <f t="shared" si="165"/>
        <v>.</v>
      </c>
      <c r="AR271" s="702" t="str">
        <f t="shared" si="159"/>
        <v>.</v>
      </c>
      <c r="AS271" s="702" t="str">
        <f t="shared" si="160"/>
        <v>.</v>
      </c>
      <c r="AT271" s="702" t="str">
        <f t="shared" si="161"/>
        <v>.</v>
      </c>
      <c r="AU271" s="702" t="str">
        <f t="shared" si="162"/>
        <v>.</v>
      </c>
      <c r="AV271" s="702" t="str">
        <f t="shared" si="163"/>
        <v>.</v>
      </c>
      <c r="AW271" s="986" t="str">
        <f t="shared" si="164"/>
        <v>.</v>
      </c>
      <c r="AX271" s="214"/>
      <c r="AY271" s="3"/>
      <c r="AZ271" s="3"/>
      <c r="BA271" s="3"/>
      <c r="BB271" s="3"/>
    </row>
    <row r="272" spans="1:54" ht="12" x14ac:dyDescent="0.25">
      <c r="A272" s="3"/>
      <c r="B272" s="212"/>
      <c r="C272" s="279" t="str">
        <f t="shared" si="172"/>
        <v>Business</v>
      </c>
      <c r="D272" s="279" t="str">
        <f t="shared" si="172"/>
        <v/>
      </c>
      <c r="E272" s="557" t="str">
        <f t="shared" si="169"/>
        <v>.</v>
      </c>
      <c r="F272" s="579"/>
      <c r="G272" s="578"/>
      <c r="H272" s="578"/>
      <c r="I272" s="578"/>
      <c r="J272" s="578"/>
      <c r="K272" s="578"/>
      <c r="L272" s="578"/>
      <c r="M272" s="220"/>
      <c r="N272" s="3"/>
      <c r="O272" s="655">
        <f t="shared" si="183"/>
        <v>0</v>
      </c>
      <c r="P272" s="657">
        <f t="shared" si="183"/>
        <v>0</v>
      </c>
      <c r="Q272" s="3"/>
      <c r="R272" s="212"/>
      <c r="S272" s="699" t="str">
        <f t="shared" si="176"/>
        <v>.</v>
      </c>
      <c r="T272" s="700" t="str">
        <f t="shared" si="177"/>
        <v>.</v>
      </c>
      <c r="U272" s="700" t="str">
        <f t="shared" si="178"/>
        <v>.</v>
      </c>
      <c r="V272" s="700" t="str">
        <f t="shared" si="179"/>
        <v>.</v>
      </c>
      <c r="W272" s="700" t="str">
        <f t="shared" si="180"/>
        <v>.</v>
      </c>
      <c r="X272" s="700" t="str">
        <f t="shared" si="181"/>
        <v>.</v>
      </c>
      <c r="Y272" s="701" t="str">
        <f t="shared" si="182"/>
        <v>.</v>
      </c>
      <c r="Z272" s="3"/>
      <c r="AA272" s="985" t="str">
        <f t="shared" si="166"/>
        <v>.</v>
      </c>
      <c r="AB272" s="702" t="str">
        <f t="shared" si="153"/>
        <v>.</v>
      </c>
      <c r="AC272" s="702" t="str">
        <f t="shared" si="154"/>
        <v>.</v>
      </c>
      <c r="AD272" s="702" t="str">
        <f t="shared" si="155"/>
        <v>.</v>
      </c>
      <c r="AE272" s="702" t="str">
        <f t="shared" si="156"/>
        <v>.</v>
      </c>
      <c r="AF272" s="702" t="str">
        <f t="shared" si="157"/>
        <v>.</v>
      </c>
      <c r="AG272" s="986" t="str">
        <f t="shared" si="158"/>
        <v>.</v>
      </c>
      <c r="AH272" s="3"/>
      <c r="AI272" s="699" t="str">
        <f>IF(S272=".",".",SUM($S272:S272))</f>
        <v>.</v>
      </c>
      <c r="AJ272" s="700" t="str">
        <f>IF(T272=".",".",SUM($S272:T272))</f>
        <v>.</v>
      </c>
      <c r="AK272" s="700" t="str">
        <f>IF(U272=".",".",SUM($S272:U272))</f>
        <v>.</v>
      </c>
      <c r="AL272" s="700" t="str">
        <f>IF(V272=".",".",SUM($S272:V272))</f>
        <v>.</v>
      </c>
      <c r="AM272" s="700" t="str">
        <f>IF(W272=".",".",SUM($S272:W272))</f>
        <v>.</v>
      </c>
      <c r="AN272" s="700" t="str">
        <f>IF(X272=".",".",SUM($S272:X272))</f>
        <v>.</v>
      </c>
      <c r="AO272" s="701" t="str">
        <f>IF(Y272=".",".",SUM($S272:Y272))</f>
        <v>.</v>
      </c>
      <c r="AP272" s="3"/>
      <c r="AQ272" s="985" t="str">
        <f t="shared" si="165"/>
        <v>.</v>
      </c>
      <c r="AR272" s="702" t="str">
        <f t="shared" si="159"/>
        <v>.</v>
      </c>
      <c r="AS272" s="702" t="str">
        <f t="shared" si="160"/>
        <v>.</v>
      </c>
      <c r="AT272" s="702" t="str">
        <f t="shared" si="161"/>
        <v>.</v>
      </c>
      <c r="AU272" s="702" t="str">
        <f t="shared" si="162"/>
        <v>.</v>
      </c>
      <c r="AV272" s="702" t="str">
        <f t="shared" si="163"/>
        <v>.</v>
      </c>
      <c r="AW272" s="986" t="str">
        <f t="shared" si="164"/>
        <v>.</v>
      </c>
      <c r="AX272" s="214"/>
      <c r="AY272" s="3"/>
      <c r="AZ272" s="3"/>
      <c r="BA272" s="3"/>
      <c r="BB272" s="3"/>
    </row>
    <row r="273" spans="1:54" ht="12" x14ac:dyDescent="0.25">
      <c r="A273" s="3"/>
      <c r="B273" s="212"/>
      <c r="C273" s="279" t="str">
        <f t="shared" si="172"/>
        <v>Business</v>
      </c>
      <c r="D273" s="279" t="str">
        <f t="shared" si="172"/>
        <v/>
      </c>
      <c r="E273" s="557" t="str">
        <f t="shared" si="169"/>
        <v>.</v>
      </c>
      <c r="F273" s="579"/>
      <c r="G273" s="578"/>
      <c r="H273" s="578"/>
      <c r="I273" s="578"/>
      <c r="J273" s="578"/>
      <c r="K273" s="578"/>
      <c r="L273" s="578"/>
      <c r="M273" s="220"/>
      <c r="N273" s="3"/>
      <c r="O273" s="655">
        <f t="shared" si="183"/>
        <v>0</v>
      </c>
      <c r="P273" s="657">
        <f t="shared" si="183"/>
        <v>0</v>
      </c>
      <c r="Q273" s="3"/>
      <c r="R273" s="212"/>
      <c r="S273" s="699" t="str">
        <f t="shared" si="176"/>
        <v>.</v>
      </c>
      <c r="T273" s="700" t="str">
        <f t="shared" si="177"/>
        <v>.</v>
      </c>
      <c r="U273" s="700" t="str">
        <f t="shared" si="178"/>
        <v>.</v>
      </c>
      <c r="V273" s="700" t="str">
        <f t="shared" si="179"/>
        <v>.</v>
      </c>
      <c r="W273" s="700" t="str">
        <f t="shared" si="180"/>
        <v>.</v>
      </c>
      <c r="X273" s="700" t="str">
        <f t="shared" si="181"/>
        <v>.</v>
      </c>
      <c r="Y273" s="701" t="str">
        <f t="shared" si="182"/>
        <v>.</v>
      </c>
      <c r="Z273" s="3"/>
      <c r="AA273" s="985" t="str">
        <f t="shared" si="166"/>
        <v>.</v>
      </c>
      <c r="AB273" s="702" t="str">
        <f t="shared" si="153"/>
        <v>.</v>
      </c>
      <c r="AC273" s="702" t="str">
        <f t="shared" si="154"/>
        <v>.</v>
      </c>
      <c r="AD273" s="702" t="str">
        <f t="shared" si="155"/>
        <v>.</v>
      </c>
      <c r="AE273" s="702" t="str">
        <f t="shared" si="156"/>
        <v>.</v>
      </c>
      <c r="AF273" s="702" t="str">
        <f t="shared" si="157"/>
        <v>.</v>
      </c>
      <c r="AG273" s="986" t="str">
        <f t="shared" si="158"/>
        <v>.</v>
      </c>
      <c r="AH273" s="3"/>
      <c r="AI273" s="699" t="str">
        <f>IF(S273=".",".",SUM($S273:S273))</f>
        <v>.</v>
      </c>
      <c r="AJ273" s="700" t="str">
        <f>IF(T273=".",".",SUM($S273:T273))</f>
        <v>.</v>
      </c>
      <c r="AK273" s="700" t="str">
        <f>IF(U273=".",".",SUM($S273:U273))</f>
        <v>.</v>
      </c>
      <c r="AL273" s="700" t="str">
        <f>IF(V273=".",".",SUM($S273:V273))</f>
        <v>.</v>
      </c>
      <c r="AM273" s="700" t="str">
        <f>IF(W273=".",".",SUM($S273:W273))</f>
        <v>.</v>
      </c>
      <c r="AN273" s="700" t="str">
        <f>IF(X273=".",".",SUM($S273:X273))</f>
        <v>.</v>
      </c>
      <c r="AO273" s="701" t="str">
        <f>IF(Y273=".",".",SUM($S273:Y273))</f>
        <v>.</v>
      </c>
      <c r="AP273" s="3"/>
      <c r="AQ273" s="985" t="str">
        <f t="shared" si="165"/>
        <v>.</v>
      </c>
      <c r="AR273" s="702" t="str">
        <f t="shared" si="159"/>
        <v>.</v>
      </c>
      <c r="AS273" s="702" t="str">
        <f t="shared" si="160"/>
        <v>.</v>
      </c>
      <c r="AT273" s="702" t="str">
        <f t="shared" si="161"/>
        <v>.</v>
      </c>
      <c r="AU273" s="702" t="str">
        <f t="shared" si="162"/>
        <v>.</v>
      </c>
      <c r="AV273" s="702" t="str">
        <f t="shared" si="163"/>
        <v>.</v>
      </c>
      <c r="AW273" s="986" t="str">
        <f t="shared" si="164"/>
        <v>.</v>
      </c>
      <c r="AX273" s="214"/>
      <c r="AY273" s="3"/>
      <c r="AZ273" s="3"/>
      <c r="BA273" s="3"/>
      <c r="BB273" s="3"/>
    </row>
    <row r="274" spans="1:54" ht="12" x14ac:dyDescent="0.25">
      <c r="A274" s="3"/>
      <c r="B274" s="212"/>
      <c r="C274" s="279" t="str">
        <f t="shared" ref="C274:D293" si="184">C149</f>
        <v>Business</v>
      </c>
      <c r="D274" s="279" t="str">
        <f t="shared" si="184"/>
        <v/>
      </c>
      <c r="E274" s="557" t="str">
        <f t="shared" si="169"/>
        <v>.</v>
      </c>
      <c r="F274" s="579"/>
      <c r="G274" s="578"/>
      <c r="H274" s="578"/>
      <c r="I274" s="578"/>
      <c r="J274" s="578"/>
      <c r="K274" s="578"/>
      <c r="L274" s="578"/>
      <c r="M274" s="220"/>
      <c r="N274" s="3"/>
      <c r="O274" s="655">
        <f t="shared" si="183"/>
        <v>0</v>
      </c>
      <c r="P274" s="657">
        <f t="shared" si="183"/>
        <v>0</v>
      </c>
      <c r="Q274" s="3"/>
      <c r="R274" s="212"/>
      <c r="S274" s="699" t="str">
        <f t="shared" si="176"/>
        <v>.</v>
      </c>
      <c r="T274" s="700" t="str">
        <f t="shared" si="177"/>
        <v>.</v>
      </c>
      <c r="U274" s="700" t="str">
        <f t="shared" si="178"/>
        <v>.</v>
      </c>
      <c r="V274" s="700" t="str">
        <f t="shared" si="179"/>
        <v>.</v>
      </c>
      <c r="W274" s="700" t="str">
        <f t="shared" si="180"/>
        <v>.</v>
      </c>
      <c r="X274" s="700" t="str">
        <f t="shared" si="181"/>
        <v>.</v>
      </c>
      <c r="Y274" s="701" t="str">
        <f t="shared" si="182"/>
        <v>.</v>
      </c>
      <c r="Z274" s="3"/>
      <c r="AA274" s="985" t="str">
        <f t="shared" si="166"/>
        <v>.</v>
      </c>
      <c r="AB274" s="702" t="str">
        <f t="shared" si="153"/>
        <v>.</v>
      </c>
      <c r="AC274" s="702" t="str">
        <f t="shared" si="154"/>
        <v>.</v>
      </c>
      <c r="AD274" s="702" t="str">
        <f t="shared" si="155"/>
        <v>.</v>
      </c>
      <c r="AE274" s="702" t="str">
        <f t="shared" si="156"/>
        <v>.</v>
      </c>
      <c r="AF274" s="702" t="str">
        <f t="shared" si="157"/>
        <v>.</v>
      </c>
      <c r="AG274" s="986" t="str">
        <f t="shared" si="158"/>
        <v>.</v>
      </c>
      <c r="AH274" s="3"/>
      <c r="AI274" s="699" t="str">
        <f>IF(S274=".",".",SUM($S274:S274))</f>
        <v>.</v>
      </c>
      <c r="AJ274" s="700" t="str">
        <f>IF(T274=".",".",SUM($S274:T274))</f>
        <v>.</v>
      </c>
      <c r="AK274" s="700" t="str">
        <f>IF(U274=".",".",SUM($S274:U274))</f>
        <v>.</v>
      </c>
      <c r="AL274" s="700" t="str">
        <f>IF(V274=".",".",SUM($S274:V274))</f>
        <v>.</v>
      </c>
      <c r="AM274" s="700" t="str">
        <f>IF(W274=".",".",SUM($S274:W274))</f>
        <v>.</v>
      </c>
      <c r="AN274" s="700" t="str">
        <f>IF(X274=".",".",SUM($S274:X274))</f>
        <v>.</v>
      </c>
      <c r="AO274" s="701" t="str">
        <f>IF(Y274=".",".",SUM($S274:Y274))</f>
        <v>.</v>
      </c>
      <c r="AP274" s="3"/>
      <c r="AQ274" s="985" t="str">
        <f t="shared" si="165"/>
        <v>.</v>
      </c>
      <c r="AR274" s="702" t="str">
        <f t="shared" si="159"/>
        <v>.</v>
      </c>
      <c r="AS274" s="702" t="str">
        <f t="shared" si="160"/>
        <v>.</v>
      </c>
      <c r="AT274" s="702" t="str">
        <f t="shared" si="161"/>
        <v>.</v>
      </c>
      <c r="AU274" s="702" t="str">
        <f t="shared" si="162"/>
        <v>.</v>
      </c>
      <c r="AV274" s="702" t="str">
        <f t="shared" si="163"/>
        <v>.</v>
      </c>
      <c r="AW274" s="986" t="str">
        <f t="shared" si="164"/>
        <v>.</v>
      </c>
      <c r="AX274" s="214"/>
      <c r="AY274" s="3"/>
      <c r="AZ274" s="3"/>
      <c r="BA274" s="3"/>
      <c r="BB274" s="3"/>
    </row>
    <row r="275" spans="1:54" ht="12" x14ac:dyDescent="0.25">
      <c r="A275" s="3"/>
      <c r="B275" s="212"/>
      <c r="C275" s="279" t="str">
        <f t="shared" si="184"/>
        <v>Business</v>
      </c>
      <c r="D275" s="279" t="str">
        <f t="shared" si="184"/>
        <v/>
      </c>
      <c r="E275" s="557" t="str">
        <f t="shared" si="169"/>
        <v>.</v>
      </c>
      <c r="F275" s="579"/>
      <c r="G275" s="578"/>
      <c r="H275" s="578"/>
      <c r="I275" s="578"/>
      <c r="J275" s="578"/>
      <c r="K275" s="578"/>
      <c r="L275" s="578"/>
      <c r="M275" s="220"/>
      <c r="N275" s="3"/>
      <c r="O275" s="655">
        <f t="shared" si="183"/>
        <v>0</v>
      </c>
      <c r="P275" s="657">
        <f t="shared" si="183"/>
        <v>0</v>
      </c>
      <c r="Q275" s="3"/>
      <c r="R275" s="212"/>
      <c r="S275" s="699" t="str">
        <f t="shared" si="176"/>
        <v>.</v>
      </c>
      <c r="T275" s="700" t="str">
        <f t="shared" si="177"/>
        <v>.</v>
      </c>
      <c r="U275" s="700" t="str">
        <f t="shared" si="178"/>
        <v>.</v>
      </c>
      <c r="V275" s="700" t="str">
        <f t="shared" si="179"/>
        <v>.</v>
      </c>
      <c r="W275" s="700" t="str">
        <f t="shared" si="180"/>
        <v>.</v>
      </c>
      <c r="X275" s="700" t="str">
        <f t="shared" si="181"/>
        <v>.</v>
      </c>
      <c r="Y275" s="701" t="str">
        <f t="shared" si="182"/>
        <v>.</v>
      </c>
      <c r="Z275" s="3"/>
      <c r="AA275" s="985" t="str">
        <f t="shared" si="166"/>
        <v>.</v>
      </c>
      <c r="AB275" s="702" t="str">
        <f t="shared" si="153"/>
        <v>.</v>
      </c>
      <c r="AC275" s="702" t="str">
        <f t="shared" si="154"/>
        <v>.</v>
      </c>
      <c r="AD275" s="702" t="str">
        <f t="shared" si="155"/>
        <v>.</v>
      </c>
      <c r="AE275" s="702" t="str">
        <f t="shared" si="156"/>
        <v>.</v>
      </c>
      <c r="AF275" s="702" t="str">
        <f t="shared" si="157"/>
        <v>.</v>
      </c>
      <c r="AG275" s="986" t="str">
        <f t="shared" si="158"/>
        <v>.</v>
      </c>
      <c r="AH275" s="3"/>
      <c r="AI275" s="699" t="str">
        <f>IF(S275=".",".",SUM($S275:S275))</f>
        <v>.</v>
      </c>
      <c r="AJ275" s="700" t="str">
        <f>IF(T275=".",".",SUM($S275:T275))</f>
        <v>.</v>
      </c>
      <c r="AK275" s="700" t="str">
        <f>IF(U275=".",".",SUM($S275:U275))</f>
        <v>.</v>
      </c>
      <c r="AL275" s="700" t="str">
        <f>IF(V275=".",".",SUM($S275:V275))</f>
        <v>.</v>
      </c>
      <c r="AM275" s="700" t="str">
        <f>IF(W275=".",".",SUM($S275:W275))</f>
        <v>.</v>
      </c>
      <c r="AN275" s="700" t="str">
        <f>IF(X275=".",".",SUM($S275:X275))</f>
        <v>.</v>
      </c>
      <c r="AO275" s="701" t="str">
        <f>IF(Y275=".",".",SUM($S275:Y275))</f>
        <v>.</v>
      </c>
      <c r="AP275" s="3"/>
      <c r="AQ275" s="985" t="str">
        <f t="shared" si="165"/>
        <v>.</v>
      </c>
      <c r="AR275" s="702" t="str">
        <f t="shared" si="159"/>
        <v>.</v>
      </c>
      <c r="AS275" s="702" t="str">
        <f t="shared" si="160"/>
        <v>.</v>
      </c>
      <c r="AT275" s="702" t="str">
        <f t="shared" si="161"/>
        <v>.</v>
      </c>
      <c r="AU275" s="702" t="str">
        <f t="shared" si="162"/>
        <v>.</v>
      </c>
      <c r="AV275" s="702" t="str">
        <f t="shared" si="163"/>
        <v>.</v>
      </c>
      <c r="AW275" s="986" t="str">
        <f t="shared" si="164"/>
        <v>.</v>
      </c>
      <c r="AX275" s="214"/>
      <c r="AY275" s="3"/>
      <c r="AZ275" s="3"/>
      <c r="BA275" s="3"/>
      <c r="BB275" s="3"/>
    </row>
    <row r="276" spans="1:54" ht="12" x14ac:dyDescent="0.25">
      <c r="A276" s="3"/>
      <c r="B276" s="212"/>
      <c r="C276" s="279" t="str">
        <f t="shared" si="184"/>
        <v>Business</v>
      </c>
      <c r="D276" s="279" t="str">
        <f t="shared" si="184"/>
        <v/>
      </c>
      <c r="E276" s="557" t="str">
        <f t="shared" si="169"/>
        <v>.</v>
      </c>
      <c r="F276" s="579"/>
      <c r="G276" s="578"/>
      <c r="H276" s="578"/>
      <c r="I276" s="578"/>
      <c r="J276" s="578"/>
      <c r="K276" s="578"/>
      <c r="L276" s="578"/>
      <c r="M276" s="220"/>
      <c r="N276" s="3"/>
      <c r="O276" s="655">
        <f t="shared" si="183"/>
        <v>0</v>
      </c>
      <c r="P276" s="657">
        <f t="shared" si="183"/>
        <v>0</v>
      </c>
      <c r="Q276" s="3"/>
      <c r="R276" s="212"/>
      <c r="S276" s="699" t="str">
        <f t="shared" si="176"/>
        <v>.</v>
      </c>
      <c r="T276" s="700" t="str">
        <f t="shared" si="177"/>
        <v>.</v>
      </c>
      <c r="U276" s="700" t="str">
        <f t="shared" si="178"/>
        <v>.</v>
      </c>
      <c r="V276" s="700" t="str">
        <f t="shared" si="179"/>
        <v>.</v>
      </c>
      <c r="W276" s="700" t="str">
        <f t="shared" si="180"/>
        <v>.</v>
      </c>
      <c r="X276" s="700" t="str">
        <f t="shared" si="181"/>
        <v>.</v>
      </c>
      <c r="Y276" s="701" t="str">
        <f t="shared" si="182"/>
        <v>.</v>
      </c>
      <c r="Z276" s="3"/>
      <c r="AA276" s="985" t="str">
        <f t="shared" si="166"/>
        <v>.</v>
      </c>
      <c r="AB276" s="702" t="str">
        <f t="shared" si="153"/>
        <v>.</v>
      </c>
      <c r="AC276" s="702" t="str">
        <f t="shared" si="154"/>
        <v>.</v>
      </c>
      <c r="AD276" s="702" t="str">
        <f t="shared" si="155"/>
        <v>.</v>
      </c>
      <c r="AE276" s="702" t="str">
        <f t="shared" si="156"/>
        <v>.</v>
      </c>
      <c r="AF276" s="702" t="str">
        <f t="shared" si="157"/>
        <v>.</v>
      </c>
      <c r="AG276" s="986" t="str">
        <f t="shared" si="158"/>
        <v>.</v>
      </c>
      <c r="AH276" s="3"/>
      <c r="AI276" s="699" t="str">
        <f>IF(S276=".",".",SUM($S276:S276))</f>
        <v>.</v>
      </c>
      <c r="AJ276" s="700" t="str">
        <f>IF(T276=".",".",SUM($S276:T276))</f>
        <v>.</v>
      </c>
      <c r="AK276" s="700" t="str">
        <f>IF(U276=".",".",SUM($S276:U276))</f>
        <v>.</v>
      </c>
      <c r="AL276" s="700" t="str">
        <f>IF(V276=".",".",SUM($S276:V276))</f>
        <v>.</v>
      </c>
      <c r="AM276" s="700" t="str">
        <f>IF(W276=".",".",SUM($S276:W276))</f>
        <v>.</v>
      </c>
      <c r="AN276" s="700" t="str">
        <f>IF(X276=".",".",SUM($S276:X276))</f>
        <v>.</v>
      </c>
      <c r="AO276" s="701" t="str">
        <f>IF(Y276=".",".",SUM($S276:Y276))</f>
        <v>.</v>
      </c>
      <c r="AP276" s="3"/>
      <c r="AQ276" s="985" t="str">
        <f t="shared" si="165"/>
        <v>.</v>
      </c>
      <c r="AR276" s="702" t="str">
        <f t="shared" si="159"/>
        <v>.</v>
      </c>
      <c r="AS276" s="702" t="str">
        <f t="shared" si="160"/>
        <v>.</v>
      </c>
      <c r="AT276" s="702" t="str">
        <f t="shared" si="161"/>
        <v>.</v>
      </c>
      <c r="AU276" s="702" t="str">
        <f t="shared" si="162"/>
        <v>.</v>
      </c>
      <c r="AV276" s="702" t="str">
        <f t="shared" si="163"/>
        <v>.</v>
      </c>
      <c r="AW276" s="986" t="str">
        <f t="shared" si="164"/>
        <v>.</v>
      </c>
      <c r="AX276" s="214"/>
      <c r="AY276" s="3"/>
      <c r="AZ276" s="3"/>
      <c r="BA276" s="3"/>
      <c r="BB276" s="3"/>
    </row>
    <row r="277" spans="1:54" ht="12" x14ac:dyDescent="0.25">
      <c r="A277" s="3"/>
      <c r="B277" s="212"/>
      <c r="C277" s="279" t="str">
        <f t="shared" si="184"/>
        <v>Business</v>
      </c>
      <c r="D277" s="279" t="str">
        <f t="shared" si="184"/>
        <v/>
      </c>
      <c r="E277" s="557" t="str">
        <f t="shared" si="169"/>
        <v>.</v>
      </c>
      <c r="F277" s="579"/>
      <c r="G277" s="578"/>
      <c r="H277" s="578"/>
      <c r="I277" s="578"/>
      <c r="J277" s="578"/>
      <c r="K277" s="578"/>
      <c r="L277" s="578"/>
      <c r="M277" s="220"/>
      <c r="N277" s="3"/>
      <c r="O277" s="655">
        <f t="shared" si="183"/>
        <v>0</v>
      </c>
      <c r="P277" s="657">
        <f t="shared" si="183"/>
        <v>0</v>
      </c>
      <c r="Q277" s="3"/>
      <c r="R277" s="212"/>
      <c r="S277" s="699" t="str">
        <f t="shared" si="176"/>
        <v>.</v>
      </c>
      <c r="T277" s="700" t="str">
        <f t="shared" si="177"/>
        <v>.</v>
      </c>
      <c r="U277" s="700" t="str">
        <f t="shared" si="178"/>
        <v>.</v>
      </c>
      <c r="V277" s="700" t="str">
        <f t="shared" si="179"/>
        <v>.</v>
      </c>
      <c r="W277" s="700" t="str">
        <f t="shared" si="180"/>
        <v>.</v>
      </c>
      <c r="X277" s="700" t="str">
        <f t="shared" si="181"/>
        <v>.</v>
      </c>
      <c r="Y277" s="701" t="str">
        <f t="shared" si="182"/>
        <v>.</v>
      </c>
      <c r="Z277" s="3"/>
      <c r="AA277" s="985" t="str">
        <f t="shared" si="166"/>
        <v>.</v>
      </c>
      <c r="AB277" s="702" t="str">
        <f t="shared" si="153"/>
        <v>.</v>
      </c>
      <c r="AC277" s="702" t="str">
        <f t="shared" si="154"/>
        <v>.</v>
      </c>
      <c r="AD277" s="702" t="str">
        <f t="shared" si="155"/>
        <v>.</v>
      </c>
      <c r="AE277" s="702" t="str">
        <f t="shared" si="156"/>
        <v>.</v>
      </c>
      <c r="AF277" s="702" t="str">
        <f t="shared" si="157"/>
        <v>.</v>
      </c>
      <c r="AG277" s="986" t="str">
        <f t="shared" si="158"/>
        <v>.</v>
      </c>
      <c r="AH277" s="3"/>
      <c r="AI277" s="699" t="str">
        <f>IF(S277=".",".",SUM($S277:S277))</f>
        <v>.</v>
      </c>
      <c r="AJ277" s="700" t="str">
        <f>IF(T277=".",".",SUM($S277:T277))</f>
        <v>.</v>
      </c>
      <c r="AK277" s="700" t="str">
        <f>IF(U277=".",".",SUM($S277:U277))</f>
        <v>.</v>
      </c>
      <c r="AL277" s="700" t="str">
        <f>IF(V277=".",".",SUM($S277:V277))</f>
        <v>.</v>
      </c>
      <c r="AM277" s="700" t="str">
        <f>IF(W277=".",".",SUM($S277:W277))</f>
        <v>.</v>
      </c>
      <c r="AN277" s="700" t="str">
        <f>IF(X277=".",".",SUM($S277:X277))</f>
        <v>.</v>
      </c>
      <c r="AO277" s="701" t="str">
        <f>IF(Y277=".",".",SUM($S277:Y277))</f>
        <v>.</v>
      </c>
      <c r="AP277" s="3"/>
      <c r="AQ277" s="985" t="str">
        <f t="shared" si="165"/>
        <v>.</v>
      </c>
      <c r="AR277" s="702" t="str">
        <f t="shared" si="159"/>
        <v>.</v>
      </c>
      <c r="AS277" s="702" t="str">
        <f t="shared" si="160"/>
        <v>.</v>
      </c>
      <c r="AT277" s="702" t="str">
        <f t="shared" si="161"/>
        <v>.</v>
      </c>
      <c r="AU277" s="702" t="str">
        <f t="shared" si="162"/>
        <v>.</v>
      </c>
      <c r="AV277" s="702" t="str">
        <f t="shared" si="163"/>
        <v>.</v>
      </c>
      <c r="AW277" s="986" t="str">
        <f t="shared" si="164"/>
        <v>.</v>
      </c>
      <c r="AX277" s="214"/>
      <c r="AY277" s="3"/>
      <c r="AZ277" s="3"/>
      <c r="BA277" s="3"/>
      <c r="BB277" s="3"/>
    </row>
    <row r="278" spans="1:54" ht="12" x14ac:dyDescent="0.25">
      <c r="A278" s="3"/>
      <c r="B278" s="212"/>
      <c r="C278" s="279" t="str">
        <f t="shared" si="184"/>
        <v>Business</v>
      </c>
      <c r="D278" s="279" t="str">
        <f t="shared" si="184"/>
        <v/>
      </c>
      <c r="E278" s="557" t="str">
        <f t="shared" si="169"/>
        <v>.</v>
      </c>
      <c r="F278" s="579"/>
      <c r="G278" s="578"/>
      <c r="H278" s="578"/>
      <c r="I278" s="578"/>
      <c r="J278" s="578"/>
      <c r="K278" s="578"/>
      <c r="L278" s="578"/>
      <c r="M278" s="220"/>
      <c r="N278" s="3"/>
      <c r="O278" s="655">
        <f t="shared" si="183"/>
        <v>0</v>
      </c>
      <c r="P278" s="657">
        <f t="shared" si="183"/>
        <v>0</v>
      </c>
      <c r="Q278" s="3"/>
      <c r="R278" s="212"/>
      <c r="S278" s="699" t="str">
        <f t="shared" si="176"/>
        <v>.</v>
      </c>
      <c r="T278" s="700" t="str">
        <f t="shared" si="177"/>
        <v>.</v>
      </c>
      <c r="U278" s="700" t="str">
        <f t="shared" si="178"/>
        <v>.</v>
      </c>
      <c r="V278" s="700" t="str">
        <f t="shared" si="179"/>
        <v>.</v>
      </c>
      <c r="W278" s="700" t="str">
        <f t="shared" si="180"/>
        <v>.</v>
      </c>
      <c r="X278" s="700" t="str">
        <f t="shared" si="181"/>
        <v>.</v>
      </c>
      <c r="Y278" s="701" t="str">
        <f t="shared" si="182"/>
        <v>.</v>
      </c>
      <c r="Z278" s="3"/>
      <c r="AA278" s="985" t="str">
        <f t="shared" si="166"/>
        <v>.</v>
      </c>
      <c r="AB278" s="702" t="str">
        <f t="shared" si="153"/>
        <v>.</v>
      </c>
      <c r="AC278" s="702" t="str">
        <f t="shared" si="154"/>
        <v>.</v>
      </c>
      <c r="AD278" s="702" t="str">
        <f t="shared" si="155"/>
        <v>.</v>
      </c>
      <c r="AE278" s="702" t="str">
        <f t="shared" si="156"/>
        <v>.</v>
      </c>
      <c r="AF278" s="702" t="str">
        <f t="shared" si="157"/>
        <v>.</v>
      </c>
      <c r="AG278" s="986" t="str">
        <f t="shared" si="158"/>
        <v>.</v>
      </c>
      <c r="AH278" s="3"/>
      <c r="AI278" s="699" t="str">
        <f>IF(S278=".",".",SUM($S278:S278))</f>
        <v>.</v>
      </c>
      <c r="AJ278" s="700" t="str">
        <f>IF(T278=".",".",SUM($S278:T278))</f>
        <v>.</v>
      </c>
      <c r="AK278" s="700" t="str">
        <f>IF(U278=".",".",SUM($S278:U278))</f>
        <v>.</v>
      </c>
      <c r="AL278" s="700" t="str">
        <f>IF(V278=".",".",SUM($S278:V278))</f>
        <v>.</v>
      </c>
      <c r="AM278" s="700" t="str">
        <f>IF(W278=".",".",SUM($S278:W278))</f>
        <v>.</v>
      </c>
      <c r="AN278" s="700" t="str">
        <f>IF(X278=".",".",SUM($S278:X278))</f>
        <v>.</v>
      </c>
      <c r="AO278" s="701" t="str">
        <f>IF(Y278=".",".",SUM($S278:Y278))</f>
        <v>.</v>
      </c>
      <c r="AP278" s="3"/>
      <c r="AQ278" s="985" t="str">
        <f t="shared" si="165"/>
        <v>.</v>
      </c>
      <c r="AR278" s="702" t="str">
        <f t="shared" si="159"/>
        <v>.</v>
      </c>
      <c r="AS278" s="702" t="str">
        <f t="shared" si="160"/>
        <v>.</v>
      </c>
      <c r="AT278" s="702" t="str">
        <f t="shared" si="161"/>
        <v>.</v>
      </c>
      <c r="AU278" s="702" t="str">
        <f t="shared" si="162"/>
        <v>.</v>
      </c>
      <c r="AV278" s="702" t="str">
        <f t="shared" si="163"/>
        <v>.</v>
      </c>
      <c r="AW278" s="986" t="str">
        <f t="shared" si="164"/>
        <v>.</v>
      </c>
      <c r="AX278" s="214"/>
      <c r="AY278" s="3"/>
      <c r="AZ278" s="3"/>
      <c r="BA278" s="3"/>
      <c r="BB278" s="3"/>
    </row>
    <row r="279" spans="1:54" ht="12" x14ac:dyDescent="0.25">
      <c r="A279" s="3"/>
      <c r="B279" s="212"/>
      <c r="C279" s="279" t="str">
        <f t="shared" si="184"/>
        <v>Special rate</v>
      </c>
      <c r="D279" s="279" t="str">
        <f t="shared" si="184"/>
        <v>Cachments - Business</v>
      </c>
      <c r="E279" s="557">
        <f t="shared" si="169"/>
        <v>114.73799376677329</v>
      </c>
      <c r="F279" s="579">
        <f t="shared" ref="F279:F281" si="185">+E279*1.037</f>
        <v>118.98329953614389</v>
      </c>
      <c r="G279" s="1266">
        <f t="shared" ref="G279:H281" si="186">+F279*1.025</f>
        <v>121.95788202454747</v>
      </c>
      <c r="H279" s="1266">
        <f t="shared" si="186"/>
        <v>125.00682907516115</v>
      </c>
      <c r="I279" s="579">
        <f t="shared" ref="I279:L281" si="187">+H279*1.025</f>
        <v>128.13199980204016</v>
      </c>
      <c r="J279" s="579">
        <f t="shared" si="187"/>
        <v>131.33529979709115</v>
      </c>
      <c r="K279" s="579">
        <f t="shared" si="187"/>
        <v>134.61868229201843</v>
      </c>
      <c r="L279" s="579">
        <f t="shared" si="187"/>
        <v>137.98414934931887</v>
      </c>
      <c r="M279" s="220"/>
      <c r="N279" s="3"/>
      <c r="O279" s="655">
        <f t="shared" si="183"/>
        <v>2126</v>
      </c>
      <c r="P279" s="657">
        <f t="shared" si="183"/>
        <v>2126</v>
      </c>
      <c r="Q279" s="3"/>
      <c r="R279" s="212"/>
      <c r="S279" s="699">
        <f t="shared" si="176"/>
        <v>4.2453057693706029</v>
      </c>
      <c r="T279" s="700">
        <f t="shared" si="177"/>
        <v>2.9745824884035841</v>
      </c>
      <c r="U279" s="700">
        <f t="shared" si="178"/>
        <v>3.0489470506136769</v>
      </c>
      <c r="V279" s="700">
        <f t="shared" si="179"/>
        <v>3.1251707268790057</v>
      </c>
      <c r="W279" s="700">
        <f t="shared" si="180"/>
        <v>3.2032999950509975</v>
      </c>
      <c r="X279" s="700">
        <f t="shared" si="181"/>
        <v>3.283382494927281</v>
      </c>
      <c r="Y279" s="701">
        <f t="shared" si="182"/>
        <v>3.3654670573004353</v>
      </c>
      <c r="Z279" s="3"/>
      <c r="AA279" s="985">
        <f t="shared" si="166"/>
        <v>3.6999999999999922E-2</v>
      </c>
      <c r="AB279" s="702">
        <f t="shared" si="153"/>
        <v>2.4999999999999911E-2</v>
      </c>
      <c r="AC279" s="702">
        <f t="shared" si="154"/>
        <v>2.4999999999999911E-2</v>
      </c>
      <c r="AD279" s="702">
        <f t="shared" si="155"/>
        <v>2.4999999999999911E-2</v>
      </c>
      <c r="AE279" s="702">
        <f t="shared" si="156"/>
        <v>2.4999999999999911E-2</v>
      </c>
      <c r="AF279" s="702">
        <f t="shared" si="157"/>
        <v>2.4999999999999911E-2</v>
      </c>
      <c r="AG279" s="986">
        <f t="shared" si="158"/>
        <v>2.4999999999999911E-2</v>
      </c>
      <c r="AH279" s="3"/>
      <c r="AI279" s="699">
        <f>IF(S279=".",".",SUM($S279:S279))</f>
        <v>4.2453057693706029</v>
      </c>
      <c r="AJ279" s="700">
        <f>IF(T279=".",".",SUM($S279:T279))</f>
        <v>7.219888257774187</v>
      </c>
      <c r="AK279" s="700">
        <f>IF(U279=".",".",SUM($S279:U279))</f>
        <v>10.268835308387864</v>
      </c>
      <c r="AL279" s="700">
        <f>IF(V279=".",".",SUM($S279:V279))</f>
        <v>13.39400603526687</v>
      </c>
      <c r="AM279" s="700">
        <f>IF(W279=".",".",SUM($S279:W279))</f>
        <v>16.597306030317867</v>
      </c>
      <c r="AN279" s="700">
        <f>IF(X279=".",".",SUM($S279:X279))</f>
        <v>19.880688525245148</v>
      </c>
      <c r="AO279" s="701">
        <f>IF(Y279=".",".",SUM($S279:Y279))</f>
        <v>23.246155582545583</v>
      </c>
      <c r="AP279" s="3"/>
      <c r="AQ279" s="985">
        <f t="shared" si="165"/>
        <v>3.6999999999999922E-2</v>
      </c>
      <c r="AR279" s="702">
        <f t="shared" si="159"/>
        <v>6.2924999999999898E-2</v>
      </c>
      <c r="AS279" s="702">
        <f t="shared" si="160"/>
        <v>8.9498124999999762E-2</v>
      </c>
      <c r="AT279" s="702">
        <f t="shared" si="161"/>
        <v>0.11673557812499946</v>
      </c>
      <c r="AU279" s="702">
        <f t="shared" si="162"/>
        <v>0.14465396757812443</v>
      </c>
      <c r="AV279" s="702">
        <f t="shared" si="163"/>
        <v>0.17327031676757754</v>
      </c>
      <c r="AW279" s="986">
        <f t="shared" si="164"/>
        <v>0.20260207468676672</v>
      </c>
      <c r="AX279" s="214"/>
      <c r="AY279" s="3"/>
      <c r="AZ279" s="3"/>
      <c r="BA279" s="3"/>
      <c r="BB279" s="3"/>
    </row>
    <row r="280" spans="1:54" ht="12" x14ac:dyDescent="0.25">
      <c r="A280" s="3"/>
      <c r="B280" s="212"/>
      <c r="C280" s="279" t="str">
        <f t="shared" si="184"/>
        <v>Special rate</v>
      </c>
      <c r="D280" s="279" t="str">
        <f t="shared" si="184"/>
        <v>Cachments - Hornsby CBD</v>
      </c>
      <c r="E280" s="557">
        <f t="shared" si="169"/>
        <v>245.19293451349111</v>
      </c>
      <c r="F280" s="579">
        <f t="shared" si="185"/>
        <v>254.26507309049026</v>
      </c>
      <c r="G280" s="1266">
        <f t="shared" si="186"/>
        <v>260.62169991775249</v>
      </c>
      <c r="H280" s="1266">
        <f t="shared" si="186"/>
        <v>267.13724241569628</v>
      </c>
      <c r="I280" s="579">
        <f t="shared" si="187"/>
        <v>273.81567347608865</v>
      </c>
      <c r="J280" s="579">
        <f t="shared" si="187"/>
        <v>280.66106531299084</v>
      </c>
      <c r="K280" s="579">
        <f t="shared" si="187"/>
        <v>287.67759194581561</v>
      </c>
      <c r="L280" s="579">
        <f t="shared" si="187"/>
        <v>294.86953174446097</v>
      </c>
      <c r="M280" s="220"/>
      <c r="N280" s="3"/>
      <c r="O280" s="655">
        <f t="shared" si="183"/>
        <v>507</v>
      </c>
      <c r="P280" s="657">
        <f t="shared" si="183"/>
        <v>507</v>
      </c>
      <c r="Q280" s="3"/>
      <c r="R280" s="212"/>
      <c r="S280" s="699">
        <f t="shared" si="176"/>
        <v>9.0721385769991514</v>
      </c>
      <c r="T280" s="700">
        <f t="shared" si="177"/>
        <v>6.3566268272622324</v>
      </c>
      <c r="U280" s="700">
        <f t="shared" si="178"/>
        <v>6.5155424979437839</v>
      </c>
      <c r="V280" s="700">
        <f t="shared" si="179"/>
        <v>6.67843106039237</v>
      </c>
      <c r="W280" s="700">
        <f t="shared" si="180"/>
        <v>6.8453918369021949</v>
      </c>
      <c r="X280" s="700">
        <f t="shared" si="181"/>
        <v>7.016526632824764</v>
      </c>
      <c r="Y280" s="701">
        <f t="shared" si="182"/>
        <v>7.1919397986453646</v>
      </c>
      <c r="Z280" s="3"/>
      <c r="AA280" s="985">
        <f t="shared" si="166"/>
        <v>3.6999999999999922E-2</v>
      </c>
      <c r="AB280" s="702">
        <f t="shared" si="153"/>
        <v>2.4999999999999911E-2</v>
      </c>
      <c r="AC280" s="702">
        <f t="shared" si="154"/>
        <v>2.4999999999999911E-2</v>
      </c>
      <c r="AD280" s="702">
        <f t="shared" si="155"/>
        <v>2.4999999999999911E-2</v>
      </c>
      <c r="AE280" s="702">
        <f t="shared" si="156"/>
        <v>2.4999999999999911E-2</v>
      </c>
      <c r="AF280" s="702">
        <f t="shared" si="157"/>
        <v>2.4999999999999911E-2</v>
      </c>
      <c r="AG280" s="986">
        <f t="shared" si="158"/>
        <v>2.4999999999999911E-2</v>
      </c>
      <c r="AH280" s="3"/>
      <c r="AI280" s="699">
        <f>IF(S280=".",".",SUM($S280:S280))</f>
        <v>9.0721385769991514</v>
      </c>
      <c r="AJ280" s="700">
        <f>IF(T280=".",".",SUM($S280:T280))</f>
        <v>15.428765404261384</v>
      </c>
      <c r="AK280" s="700">
        <f>IF(U280=".",".",SUM($S280:U280))</f>
        <v>21.944307902205168</v>
      </c>
      <c r="AL280" s="700">
        <f>IF(V280=".",".",SUM($S280:V280))</f>
        <v>28.622738962597538</v>
      </c>
      <c r="AM280" s="700">
        <f>IF(W280=".",".",SUM($S280:W280))</f>
        <v>35.468130799499733</v>
      </c>
      <c r="AN280" s="700">
        <f>IF(X280=".",".",SUM($S280:X280))</f>
        <v>42.484657432324497</v>
      </c>
      <c r="AO280" s="701">
        <f>IF(Y280=".",".",SUM($S280:Y280))</f>
        <v>49.676597230969861</v>
      </c>
      <c r="AP280" s="3"/>
      <c r="AQ280" s="985">
        <f t="shared" si="165"/>
        <v>3.6999999999999922E-2</v>
      </c>
      <c r="AR280" s="702">
        <f t="shared" si="159"/>
        <v>6.2924999999999898E-2</v>
      </c>
      <c r="AS280" s="702">
        <f t="shared" si="160"/>
        <v>8.9498124999999762E-2</v>
      </c>
      <c r="AT280" s="702">
        <f t="shared" si="161"/>
        <v>0.11673557812499946</v>
      </c>
      <c r="AU280" s="702">
        <f t="shared" si="162"/>
        <v>0.14465396757812443</v>
      </c>
      <c r="AV280" s="702">
        <f t="shared" si="163"/>
        <v>0.17327031676757754</v>
      </c>
      <c r="AW280" s="986">
        <f t="shared" si="164"/>
        <v>0.20260207468676694</v>
      </c>
      <c r="AX280" s="214"/>
      <c r="AY280" s="3"/>
      <c r="AZ280" s="3"/>
      <c r="BA280" s="3"/>
      <c r="BB280" s="3"/>
    </row>
    <row r="281" spans="1:54" ht="12" x14ac:dyDescent="0.25">
      <c r="A281" s="3"/>
      <c r="B281" s="212"/>
      <c r="C281" s="279" t="str">
        <f t="shared" si="184"/>
        <v>Special rate</v>
      </c>
      <c r="D281" s="279" t="str">
        <f t="shared" si="184"/>
        <v>Cachments - Shopping Centre</v>
      </c>
      <c r="E281" s="557">
        <f t="shared" si="169"/>
        <v>12792.841398</v>
      </c>
      <c r="F281" s="579">
        <f t="shared" si="185"/>
        <v>13266.176529725999</v>
      </c>
      <c r="G281" s="1266">
        <f t="shared" si="186"/>
        <v>13597.830942969147</v>
      </c>
      <c r="H281" s="1266">
        <f t="shared" si="186"/>
        <v>13937.776716543374</v>
      </c>
      <c r="I281" s="579">
        <f t="shared" si="187"/>
        <v>14286.221134456957</v>
      </c>
      <c r="J281" s="579">
        <f t="shared" si="187"/>
        <v>14643.37666281838</v>
      </c>
      <c r="K281" s="579">
        <f t="shared" si="187"/>
        <v>15009.461079388839</v>
      </c>
      <c r="L281" s="579">
        <f t="shared" si="187"/>
        <v>15384.697606373558</v>
      </c>
      <c r="M281" s="220"/>
      <c r="N281" s="3"/>
      <c r="O281" s="655">
        <f t="shared" si="183"/>
        <v>5</v>
      </c>
      <c r="P281" s="657">
        <f t="shared" si="183"/>
        <v>5</v>
      </c>
      <c r="Q281" s="3"/>
      <c r="R281" s="212"/>
      <c r="S281" s="699">
        <f t="shared" si="176"/>
        <v>473.33513172599851</v>
      </c>
      <c r="T281" s="700">
        <f t="shared" si="177"/>
        <v>331.65441324314816</v>
      </c>
      <c r="U281" s="700">
        <f t="shared" si="178"/>
        <v>339.94577357422713</v>
      </c>
      <c r="V281" s="700">
        <f t="shared" si="179"/>
        <v>348.44441791358258</v>
      </c>
      <c r="W281" s="700">
        <f t="shared" si="180"/>
        <v>357.15552836142342</v>
      </c>
      <c r="X281" s="700">
        <f t="shared" si="181"/>
        <v>366.08441657045842</v>
      </c>
      <c r="Y281" s="701">
        <f t="shared" si="182"/>
        <v>375.2365269847196</v>
      </c>
      <c r="Z281" s="3"/>
      <c r="AA281" s="985">
        <f t="shared" si="166"/>
        <v>3.6999999999999922E-2</v>
      </c>
      <c r="AB281" s="702">
        <f t="shared" si="153"/>
        <v>2.4999999999999911E-2</v>
      </c>
      <c r="AC281" s="702">
        <f t="shared" si="154"/>
        <v>2.4999999999999911E-2</v>
      </c>
      <c r="AD281" s="702">
        <f t="shared" si="155"/>
        <v>2.4999999999999911E-2</v>
      </c>
      <c r="AE281" s="702">
        <f t="shared" si="156"/>
        <v>2.4999999999999911E-2</v>
      </c>
      <c r="AF281" s="702">
        <f t="shared" si="157"/>
        <v>2.4999999999999911E-2</v>
      </c>
      <c r="AG281" s="986">
        <f t="shared" si="158"/>
        <v>2.4999999999999911E-2</v>
      </c>
      <c r="AH281" s="3"/>
      <c r="AI281" s="699">
        <f>IF(S281=".",".",SUM($S281:S281))</f>
        <v>473.33513172599851</v>
      </c>
      <c r="AJ281" s="700">
        <f>IF(T281=".",".",SUM($S281:T281))</f>
        <v>804.98954496914666</v>
      </c>
      <c r="AK281" s="700">
        <f>IF(U281=".",".",SUM($S281:U281))</f>
        <v>1144.9353185433738</v>
      </c>
      <c r="AL281" s="700">
        <f>IF(V281=".",".",SUM($S281:V281))</f>
        <v>1493.3797364569564</v>
      </c>
      <c r="AM281" s="700">
        <f>IF(W281=".",".",SUM($S281:W281))</f>
        <v>1850.5352648183798</v>
      </c>
      <c r="AN281" s="700">
        <f>IF(X281=".",".",SUM($S281:X281))</f>
        <v>2216.6196813888382</v>
      </c>
      <c r="AO281" s="701">
        <f>IF(Y281=".",".",SUM($S281:Y281))</f>
        <v>2591.8562083735578</v>
      </c>
      <c r="AP281" s="3"/>
      <c r="AQ281" s="985">
        <f t="shared" si="165"/>
        <v>3.6999999999999922E-2</v>
      </c>
      <c r="AR281" s="702">
        <f t="shared" si="159"/>
        <v>6.2924999999999676E-2</v>
      </c>
      <c r="AS281" s="702">
        <f t="shared" si="160"/>
        <v>8.949812499999954E-2</v>
      </c>
      <c r="AT281" s="702">
        <f t="shared" si="161"/>
        <v>0.11673557812499946</v>
      </c>
      <c r="AU281" s="702">
        <f t="shared" si="162"/>
        <v>0.14465396757812443</v>
      </c>
      <c r="AV281" s="702">
        <f t="shared" si="163"/>
        <v>0.17327031676757754</v>
      </c>
      <c r="AW281" s="986">
        <f t="shared" si="164"/>
        <v>0.20260207468676672</v>
      </c>
      <c r="AX281" s="214"/>
      <c r="AY281" s="3"/>
      <c r="AZ281" s="3"/>
      <c r="BA281" s="3"/>
      <c r="BB281" s="3"/>
    </row>
    <row r="282" spans="1:54" ht="12" x14ac:dyDescent="0.25">
      <c r="A282" s="3"/>
      <c r="B282" s="212"/>
      <c r="C282" s="279" t="str">
        <f t="shared" si="184"/>
        <v>Special rate</v>
      </c>
      <c r="D282" s="279" t="str">
        <f t="shared" si="184"/>
        <v/>
      </c>
      <c r="E282" s="557" t="str">
        <f t="shared" si="169"/>
        <v>.</v>
      </c>
      <c r="F282" s="579"/>
      <c r="G282" s="1266"/>
      <c r="H282" s="1266"/>
      <c r="I282" s="579"/>
      <c r="J282" s="579"/>
      <c r="K282" s="579"/>
      <c r="L282" s="579"/>
      <c r="M282" s="220"/>
      <c r="N282" s="3"/>
      <c r="O282" s="655">
        <f t="shared" ref="O282:P301" si="188">O157</f>
        <v>0</v>
      </c>
      <c r="P282" s="657">
        <f t="shared" si="188"/>
        <v>0</v>
      </c>
      <c r="Q282" s="3"/>
      <c r="R282" s="212"/>
      <c r="S282" s="699" t="str">
        <f t="shared" si="176"/>
        <v>.</v>
      </c>
      <c r="T282" s="700" t="str">
        <f t="shared" si="177"/>
        <v>.</v>
      </c>
      <c r="U282" s="700" t="str">
        <f t="shared" si="178"/>
        <v>.</v>
      </c>
      <c r="V282" s="700" t="str">
        <f t="shared" si="179"/>
        <v>.</v>
      </c>
      <c r="W282" s="700" t="str">
        <f t="shared" si="180"/>
        <v>.</v>
      </c>
      <c r="X282" s="700" t="str">
        <f t="shared" si="181"/>
        <v>.</v>
      </c>
      <c r="Y282" s="701" t="str">
        <f t="shared" si="182"/>
        <v>.</v>
      </c>
      <c r="Z282" s="3"/>
      <c r="AA282" s="985" t="str">
        <f t="shared" si="166"/>
        <v>.</v>
      </c>
      <c r="AB282" s="702" t="str">
        <f t="shared" si="153"/>
        <v>.</v>
      </c>
      <c r="AC282" s="702" t="str">
        <f t="shared" si="154"/>
        <v>.</v>
      </c>
      <c r="AD282" s="702" t="str">
        <f t="shared" si="155"/>
        <v>.</v>
      </c>
      <c r="AE282" s="702" t="str">
        <f t="shared" si="156"/>
        <v>.</v>
      </c>
      <c r="AF282" s="702" t="str">
        <f t="shared" si="157"/>
        <v>.</v>
      </c>
      <c r="AG282" s="986" t="str">
        <f t="shared" si="158"/>
        <v>.</v>
      </c>
      <c r="AH282" s="3"/>
      <c r="AI282" s="699" t="str">
        <f>IF(S282=".",".",SUM($S282:S282))</f>
        <v>.</v>
      </c>
      <c r="AJ282" s="700" t="str">
        <f>IF(T282=".",".",SUM($S282:T282))</f>
        <v>.</v>
      </c>
      <c r="AK282" s="700" t="str">
        <f>IF(U282=".",".",SUM($S282:U282))</f>
        <v>.</v>
      </c>
      <c r="AL282" s="700" t="str">
        <f>IF(V282=".",".",SUM($S282:V282))</f>
        <v>.</v>
      </c>
      <c r="AM282" s="700" t="str">
        <f>IF(W282=".",".",SUM($S282:W282))</f>
        <v>.</v>
      </c>
      <c r="AN282" s="700" t="str">
        <f>IF(X282=".",".",SUM($S282:X282))</f>
        <v>.</v>
      </c>
      <c r="AO282" s="701" t="str">
        <f>IF(Y282=".",".",SUM($S282:Y282))</f>
        <v>.</v>
      </c>
      <c r="AP282" s="3"/>
      <c r="AQ282" s="985" t="str">
        <f t="shared" si="165"/>
        <v>.</v>
      </c>
      <c r="AR282" s="702" t="str">
        <f t="shared" si="159"/>
        <v>.</v>
      </c>
      <c r="AS282" s="702" t="str">
        <f t="shared" si="160"/>
        <v>.</v>
      </c>
      <c r="AT282" s="702" t="str">
        <f t="shared" si="161"/>
        <v>.</v>
      </c>
      <c r="AU282" s="702" t="str">
        <f t="shared" si="162"/>
        <v>.</v>
      </c>
      <c r="AV282" s="702" t="str">
        <f t="shared" si="163"/>
        <v>.</v>
      </c>
      <c r="AW282" s="986" t="str">
        <f t="shared" si="164"/>
        <v>.</v>
      </c>
      <c r="AX282" s="214"/>
      <c r="AY282" s="3"/>
      <c r="AZ282" s="3"/>
      <c r="BA282" s="3"/>
      <c r="BB282" s="3"/>
    </row>
    <row r="283" spans="1:54" ht="12" x14ac:dyDescent="0.25">
      <c r="A283" s="3"/>
      <c r="B283" s="212"/>
      <c r="C283" s="279" t="str">
        <f t="shared" si="184"/>
        <v>Special rate</v>
      </c>
      <c r="D283" s="279" t="str">
        <f t="shared" si="184"/>
        <v/>
      </c>
      <c r="E283" s="557" t="str">
        <f t="shared" si="169"/>
        <v>.</v>
      </c>
      <c r="F283" s="579"/>
      <c r="G283" s="1266"/>
      <c r="H283" s="1266"/>
      <c r="I283" s="578"/>
      <c r="J283" s="578"/>
      <c r="K283" s="578"/>
      <c r="L283" s="578"/>
      <c r="M283" s="220"/>
      <c r="N283" s="3"/>
      <c r="O283" s="655">
        <f t="shared" si="188"/>
        <v>0</v>
      </c>
      <c r="P283" s="657">
        <f t="shared" si="188"/>
        <v>0</v>
      </c>
      <c r="Q283" s="3"/>
      <c r="R283" s="212"/>
      <c r="S283" s="699" t="str">
        <f t="shared" si="176"/>
        <v>.</v>
      </c>
      <c r="T283" s="700" t="str">
        <f t="shared" si="177"/>
        <v>.</v>
      </c>
      <c r="U283" s="700" t="str">
        <f t="shared" si="178"/>
        <v>.</v>
      </c>
      <c r="V283" s="700" t="str">
        <f t="shared" si="179"/>
        <v>.</v>
      </c>
      <c r="W283" s="700" t="str">
        <f t="shared" si="180"/>
        <v>.</v>
      </c>
      <c r="X283" s="700" t="str">
        <f t="shared" si="181"/>
        <v>.</v>
      </c>
      <c r="Y283" s="701" t="str">
        <f t="shared" si="182"/>
        <v>.</v>
      </c>
      <c r="Z283" s="3"/>
      <c r="AA283" s="985" t="str">
        <f t="shared" si="166"/>
        <v>.</v>
      </c>
      <c r="AB283" s="702" t="str">
        <f t="shared" si="153"/>
        <v>.</v>
      </c>
      <c r="AC283" s="702" t="str">
        <f t="shared" si="154"/>
        <v>.</v>
      </c>
      <c r="AD283" s="702" t="str">
        <f t="shared" si="155"/>
        <v>.</v>
      </c>
      <c r="AE283" s="702" t="str">
        <f t="shared" si="156"/>
        <v>.</v>
      </c>
      <c r="AF283" s="702" t="str">
        <f t="shared" si="157"/>
        <v>.</v>
      </c>
      <c r="AG283" s="986" t="str">
        <f t="shared" si="158"/>
        <v>.</v>
      </c>
      <c r="AH283" s="3"/>
      <c r="AI283" s="699" t="str">
        <f>IF(S283=".",".",SUM($S283:S283))</f>
        <v>.</v>
      </c>
      <c r="AJ283" s="700" t="str">
        <f>IF(T283=".",".",SUM($S283:T283))</f>
        <v>.</v>
      </c>
      <c r="AK283" s="700" t="str">
        <f>IF(U283=".",".",SUM($S283:U283))</f>
        <v>.</v>
      </c>
      <c r="AL283" s="700" t="str">
        <f>IF(V283=".",".",SUM($S283:V283))</f>
        <v>.</v>
      </c>
      <c r="AM283" s="700" t="str">
        <f>IF(W283=".",".",SUM($S283:W283))</f>
        <v>.</v>
      </c>
      <c r="AN283" s="700" t="str">
        <f>IF(X283=".",".",SUM($S283:X283))</f>
        <v>.</v>
      </c>
      <c r="AO283" s="701" t="str">
        <f>IF(Y283=".",".",SUM($S283:Y283))</f>
        <v>.</v>
      </c>
      <c r="AP283" s="3"/>
      <c r="AQ283" s="985" t="str">
        <f t="shared" si="165"/>
        <v>.</v>
      </c>
      <c r="AR283" s="702" t="str">
        <f t="shared" si="159"/>
        <v>.</v>
      </c>
      <c r="AS283" s="702" t="str">
        <f t="shared" si="160"/>
        <v>.</v>
      </c>
      <c r="AT283" s="702" t="str">
        <f t="shared" si="161"/>
        <v>.</v>
      </c>
      <c r="AU283" s="702" t="str">
        <f t="shared" si="162"/>
        <v>.</v>
      </c>
      <c r="AV283" s="702" t="str">
        <f t="shared" si="163"/>
        <v>.</v>
      </c>
      <c r="AW283" s="986" t="str">
        <f t="shared" si="164"/>
        <v>.</v>
      </c>
      <c r="AX283" s="214"/>
      <c r="AY283" s="3"/>
      <c r="AZ283" s="3"/>
      <c r="BA283" s="3"/>
      <c r="BB283" s="3"/>
    </row>
    <row r="284" spans="1:54" ht="12" x14ac:dyDescent="0.25">
      <c r="A284" s="3"/>
      <c r="B284" s="212"/>
      <c r="C284" s="279" t="str">
        <f t="shared" si="184"/>
        <v>Special rate</v>
      </c>
      <c r="D284" s="279" t="str">
        <f t="shared" si="184"/>
        <v/>
      </c>
      <c r="E284" s="557" t="str">
        <f t="shared" si="169"/>
        <v>.</v>
      </c>
      <c r="F284" s="579"/>
      <c r="G284" s="578"/>
      <c r="H284" s="578"/>
      <c r="I284" s="578"/>
      <c r="J284" s="578"/>
      <c r="K284" s="578"/>
      <c r="L284" s="578"/>
      <c r="M284" s="220"/>
      <c r="N284" s="3"/>
      <c r="O284" s="655">
        <f t="shared" si="188"/>
        <v>0</v>
      </c>
      <c r="P284" s="657">
        <f t="shared" si="188"/>
        <v>0</v>
      </c>
      <c r="Q284" s="3"/>
      <c r="R284" s="212"/>
      <c r="S284" s="699" t="str">
        <f t="shared" si="176"/>
        <v>.</v>
      </c>
      <c r="T284" s="700" t="str">
        <f t="shared" si="177"/>
        <v>.</v>
      </c>
      <c r="U284" s="700" t="str">
        <f t="shared" si="178"/>
        <v>.</v>
      </c>
      <c r="V284" s="700" t="str">
        <f t="shared" si="179"/>
        <v>.</v>
      </c>
      <c r="W284" s="700" t="str">
        <f t="shared" si="180"/>
        <v>.</v>
      </c>
      <c r="X284" s="700" t="str">
        <f t="shared" si="181"/>
        <v>.</v>
      </c>
      <c r="Y284" s="701" t="str">
        <f t="shared" si="182"/>
        <v>.</v>
      </c>
      <c r="Z284" s="3"/>
      <c r="AA284" s="985" t="str">
        <f t="shared" si="166"/>
        <v>.</v>
      </c>
      <c r="AB284" s="702" t="str">
        <f t="shared" si="153"/>
        <v>.</v>
      </c>
      <c r="AC284" s="702" t="str">
        <f t="shared" si="154"/>
        <v>.</v>
      </c>
      <c r="AD284" s="702" t="str">
        <f t="shared" si="155"/>
        <v>.</v>
      </c>
      <c r="AE284" s="702" t="str">
        <f t="shared" si="156"/>
        <v>.</v>
      </c>
      <c r="AF284" s="702" t="str">
        <f t="shared" si="157"/>
        <v>.</v>
      </c>
      <c r="AG284" s="986" t="str">
        <f t="shared" si="158"/>
        <v>.</v>
      </c>
      <c r="AH284" s="3"/>
      <c r="AI284" s="699" t="str">
        <f>IF(S284=".",".",SUM($S284:S284))</f>
        <v>.</v>
      </c>
      <c r="AJ284" s="700" t="str">
        <f>IF(T284=".",".",SUM($S284:T284))</f>
        <v>.</v>
      </c>
      <c r="AK284" s="700" t="str">
        <f>IF(U284=".",".",SUM($S284:U284))</f>
        <v>.</v>
      </c>
      <c r="AL284" s="700" t="str">
        <f>IF(V284=".",".",SUM($S284:V284))</f>
        <v>.</v>
      </c>
      <c r="AM284" s="700" t="str">
        <f>IF(W284=".",".",SUM($S284:W284))</f>
        <v>.</v>
      </c>
      <c r="AN284" s="700" t="str">
        <f>IF(X284=".",".",SUM($S284:X284))</f>
        <v>.</v>
      </c>
      <c r="AO284" s="701" t="str">
        <f>IF(Y284=".",".",SUM($S284:Y284))</f>
        <v>.</v>
      </c>
      <c r="AP284" s="3"/>
      <c r="AQ284" s="985" t="str">
        <f t="shared" si="165"/>
        <v>.</v>
      </c>
      <c r="AR284" s="702" t="str">
        <f t="shared" si="159"/>
        <v>.</v>
      </c>
      <c r="AS284" s="702" t="str">
        <f t="shared" si="160"/>
        <v>.</v>
      </c>
      <c r="AT284" s="702" t="str">
        <f t="shared" si="161"/>
        <v>.</v>
      </c>
      <c r="AU284" s="702" t="str">
        <f t="shared" si="162"/>
        <v>.</v>
      </c>
      <c r="AV284" s="702" t="str">
        <f t="shared" si="163"/>
        <v>.</v>
      </c>
      <c r="AW284" s="986" t="str">
        <f t="shared" si="164"/>
        <v>.</v>
      </c>
      <c r="AX284" s="214"/>
      <c r="AY284" s="3"/>
      <c r="AZ284" s="3"/>
      <c r="BA284" s="3"/>
      <c r="BB284" s="3"/>
    </row>
    <row r="285" spans="1:54" ht="12" x14ac:dyDescent="0.25">
      <c r="A285" s="3"/>
      <c r="B285" s="212"/>
      <c r="C285" s="279" t="str">
        <f t="shared" si="184"/>
        <v>Special rate</v>
      </c>
      <c r="D285" s="279" t="str">
        <f t="shared" si="184"/>
        <v/>
      </c>
      <c r="E285" s="557" t="str">
        <f t="shared" ref="E285:E316" si="189">E160</f>
        <v>.</v>
      </c>
      <c r="F285" s="579"/>
      <c r="G285" s="578"/>
      <c r="H285" s="578"/>
      <c r="I285" s="578"/>
      <c r="J285" s="578"/>
      <c r="K285" s="578"/>
      <c r="L285" s="578"/>
      <c r="M285" s="220"/>
      <c r="N285" s="3"/>
      <c r="O285" s="655">
        <f t="shared" si="188"/>
        <v>0</v>
      </c>
      <c r="P285" s="657">
        <f t="shared" si="188"/>
        <v>0</v>
      </c>
      <c r="Q285" s="3"/>
      <c r="R285" s="212"/>
      <c r="S285" s="699" t="str">
        <f t="shared" si="176"/>
        <v>.</v>
      </c>
      <c r="T285" s="700" t="str">
        <f t="shared" si="177"/>
        <v>.</v>
      </c>
      <c r="U285" s="700" t="str">
        <f t="shared" si="178"/>
        <v>.</v>
      </c>
      <c r="V285" s="700" t="str">
        <f t="shared" si="179"/>
        <v>.</v>
      </c>
      <c r="W285" s="700" t="str">
        <f t="shared" si="180"/>
        <v>.</v>
      </c>
      <c r="X285" s="700" t="str">
        <f t="shared" si="181"/>
        <v>.</v>
      </c>
      <c r="Y285" s="701" t="str">
        <f t="shared" si="182"/>
        <v>.</v>
      </c>
      <c r="Z285" s="3"/>
      <c r="AA285" s="985" t="str">
        <f t="shared" si="166"/>
        <v>.</v>
      </c>
      <c r="AB285" s="702" t="str">
        <f t="shared" si="153"/>
        <v>.</v>
      </c>
      <c r="AC285" s="702" t="str">
        <f t="shared" si="154"/>
        <v>.</v>
      </c>
      <c r="AD285" s="702" t="str">
        <f t="shared" si="155"/>
        <v>.</v>
      </c>
      <c r="AE285" s="702" t="str">
        <f t="shared" si="156"/>
        <v>.</v>
      </c>
      <c r="AF285" s="702" t="str">
        <f t="shared" si="157"/>
        <v>.</v>
      </c>
      <c r="AG285" s="986" t="str">
        <f t="shared" si="158"/>
        <v>.</v>
      </c>
      <c r="AH285" s="3"/>
      <c r="AI285" s="699" t="str">
        <f>IF(S285=".",".",SUM($S285:S285))</f>
        <v>.</v>
      </c>
      <c r="AJ285" s="700" t="str">
        <f>IF(T285=".",".",SUM($S285:T285))</f>
        <v>.</v>
      </c>
      <c r="AK285" s="700" t="str">
        <f>IF(U285=".",".",SUM($S285:U285))</f>
        <v>.</v>
      </c>
      <c r="AL285" s="700" t="str">
        <f>IF(V285=".",".",SUM($S285:V285))</f>
        <v>.</v>
      </c>
      <c r="AM285" s="700" t="str">
        <f>IF(W285=".",".",SUM($S285:W285))</f>
        <v>.</v>
      </c>
      <c r="AN285" s="700" t="str">
        <f>IF(X285=".",".",SUM($S285:X285))</f>
        <v>.</v>
      </c>
      <c r="AO285" s="701" t="str">
        <f>IF(Y285=".",".",SUM($S285:Y285))</f>
        <v>.</v>
      </c>
      <c r="AP285" s="3"/>
      <c r="AQ285" s="985" t="str">
        <f t="shared" si="165"/>
        <v>.</v>
      </c>
      <c r="AR285" s="702" t="str">
        <f t="shared" si="159"/>
        <v>.</v>
      </c>
      <c r="AS285" s="702" t="str">
        <f t="shared" si="160"/>
        <v>.</v>
      </c>
      <c r="AT285" s="702" t="str">
        <f t="shared" si="161"/>
        <v>.</v>
      </c>
      <c r="AU285" s="702" t="str">
        <f t="shared" si="162"/>
        <v>.</v>
      </c>
      <c r="AV285" s="702" t="str">
        <f t="shared" si="163"/>
        <v>.</v>
      </c>
      <c r="AW285" s="986" t="str">
        <f t="shared" si="164"/>
        <v>.</v>
      </c>
      <c r="AX285" s="214"/>
      <c r="AY285" s="3"/>
      <c r="AZ285" s="3"/>
      <c r="BA285" s="3"/>
      <c r="BB285" s="3"/>
    </row>
    <row r="286" spans="1:54" ht="12" x14ac:dyDescent="0.25">
      <c r="A286" s="3"/>
      <c r="B286" s="212"/>
      <c r="C286" s="279" t="str">
        <f t="shared" si="184"/>
        <v>Special rate</v>
      </c>
      <c r="D286" s="279" t="str">
        <f t="shared" si="184"/>
        <v/>
      </c>
      <c r="E286" s="557" t="str">
        <f t="shared" si="189"/>
        <v>.</v>
      </c>
      <c r="F286" s="579"/>
      <c r="G286" s="578"/>
      <c r="H286" s="578"/>
      <c r="I286" s="578"/>
      <c r="J286" s="578"/>
      <c r="K286" s="578"/>
      <c r="L286" s="578"/>
      <c r="M286" s="220"/>
      <c r="N286" s="3"/>
      <c r="O286" s="655">
        <f t="shared" si="188"/>
        <v>0</v>
      </c>
      <c r="P286" s="657">
        <f t="shared" si="188"/>
        <v>0</v>
      </c>
      <c r="Q286" s="3"/>
      <c r="R286" s="212"/>
      <c r="S286" s="699" t="str">
        <f t="shared" si="176"/>
        <v>.</v>
      </c>
      <c r="T286" s="700" t="str">
        <f t="shared" si="177"/>
        <v>.</v>
      </c>
      <c r="U286" s="700" t="str">
        <f t="shared" si="178"/>
        <v>.</v>
      </c>
      <c r="V286" s="700" t="str">
        <f t="shared" si="179"/>
        <v>.</v>
      </c>
      <c r="W286" s="700" t="str">
        <f t="shared" si="180"/>
        <v>.</v>
      </c>
      <c r="X286" s="700" t="str">
        <f t="shared" si="181"/>
        <v>.</v>
      </c>
      <c r="Y286" s="701" t="str">
        <f t="shared" si="182"/>
        <v>.</v>
      </c>
      <c r="Z286" s="3"/>
      <c r="AA286" s="985" t="str">
        <f t="shared" si="166"/>
        <v>.</v>
      </c>
      <c r="AB286" s="702" t="str">
        <f t="shared" si="153"/>
        <v>.</v>
      </c>
      <c r="AC286" s="702" t="str">
        <f t="shared" si="154"/>
        <v>.</v>
      </c>
      <c r="AD286" s="702" t="str">
        <f t="shared" si="155"/>
        <v>.</v>
      </c>
      <c r="AE286" s="702" t="str">
        <f t="shared" si="156"/>
        <v>.</v>
      </c>
      <c r="AF286" s="702" t="str">
        <f t="shared" si="157"/>
        <v>.</v>
      </c>
      <c r="AG286" s="986" t="str">
        <f t="shared" si="158"/>
        <v>.</v>
      </c>
      <c r="AH286" s="3"/>
      <c r="AI286" s="699" t="str">
        <f>IF(S286=".",".",SUM($S286:S286))</f>
        <v>.</v>
      </c>
      <c r="AJ286" s="700" t="str">
        <f>IF(T286=".",".",SUM($S286:T286))</f>
        <v>.</v>
      </c>
      <c r="AK286" s="700" t="str">
        <f>IF(U286=".",".",SUM($S286:U286))</f>
        <v>.</v>
      </c>
      <c r="AL286" s="700" t="str">
        <f>IF(V286=".",".",SUM($S286:V286))</f>
        <v>.</v>
      </c>
      <c r="AM286" s="700" t="str">
        <f>IF(W286=".",".",SUM($S286:W286))</f>
        <v>.</v>
      </c>
      <c r="AN286" s="700" t="str">
        <f>IF(X286=".",".",SUM($S286:X286))</f>
        <v>.</v>
      </c>
      <c r="AO286" s="701" t="str">
        <f>IF(Y286=".",".",SUM($S286:Y286))</f>
        <v>.</v>
      </c>
      <c r="AP286" s="3"/>
      <c r="AQ286" s="985" t="str">
        <f t="shared" si="165"/>
        <v>.</v>
      </c>
      <c r="AR286" s="702" t="str">
        <f t="shared" si="159"/>
        <v>.</v>
      </c>
      <c r="AS286" s="702" t="str">
        <f t="shared" si="160"/>
        <v>.</v>
      </c>
      <c r="AT286" s="702" t="str">
        <f t="shared" si="161"/>
        <v>.</v>
      </c>
      <c r="AU286" s="702" t="str">
        <f t="shared" si="162"/>
        <v>.</v>
      </c>
      <c r="AV286" s="702" t="str">
        <f t="shared" si="163"/>
        <v>.</v>
      </c>
      <c r="AW286" s="986" t="str">
        <f t="shared" si="164"/>
        <v>.</v>
      </c>
      <c r="AX286" s="214"/>
      <c r="AY286" s="3"/>
      <c r="AZ286" s="3"/>
      <c r="BA286" s="3"/>
      <c r="BB286" s="3"/>
    </row>
    <row r="287" spans="1:54" ht="12" x14ac:dyDescent="0.25">
      <c r="A287" s="3"/>
      <c r="B287" s="212"/>
      <c r="C287" s="279" t="str">
        <f t="shared" si="184"/>
        <v>Special rate</v>
      </c>
      <c r="D287" s="279" t="str">
        <f t="shared" si="184"/>
        <v/>
      </c>
      <c r="E287" s="557" t="str">
        <f t="shared" si="189"/>
        <v>.</v>
      </c>
      <c r="F287" s="579"/>
      <c r="G287" s="578"/>
      <c r="H287" s="578"/>
      <c r="I287" s="578"/>
      <c r="J287" s="578"/>
      <c r="K287" s="578"/>
      <c r="L287" s="578"/>
      <c r="M287" s="220"/>
      <c r="N287" s="3"/>
      <c r="O287" s="655">
        <f t="shared" si="188"/>
        <v>0</v>
      </c>
      <c r="P287" s="657">
        <f t="shared" si="188"/>
        <v>0</v>
      </c>
      <c r="Q287" s="3"/>
      <c r="R287" s="212"/>
      <c r="S287" s="699" t="str">
        <f t="shared" ref="S287:S318" si="190">IF(F287="",".",F287-E287)</f>
        <v>.</v>
      </c>
      <c r="T287" s="700" t="str">
        <f t="shared" ref="T287:T318" si="191">IF(G287="",".",G287-F287)</f>
        <v>.</v>
      </c>
      <c r="U287" s="700" t="str">
        <f t="shared" ref="U287:U318" si="192">IF(H287="",".",H287-G287)</f>
        <v>.</v>
      </c>
      <c r="V287" s="700" t="str">
        <f t="shared" ref="V287:V318" si="193">IF(I287="",".",I287-H287)</f>
        <v>.</v>
      </c>
      <c r="W287" s="700" t="str">
        <f t="shared" ref="W287:W318" si="194">IF(J287="",".",J287-I287)</f>
        <v>.</v>
      </c>
      <c r="X287" s="700" t="str">
        <f t="shared" ref="X287:X318" si="195">IF(K287="",".",K287-J287)</f>
        <v>.</v>
      </c>
      <c r="Y287" s="701" t="str">
        <f t="shared" ref="Y287:Y318" si="196">IF(L287="",".",L287-K287)</f>
        <v>.</v>
      </c>
      <c r="Z287" s="3"/>
      <c r="AA287" s="985" t="str">
        <f t="shared" si="166"/>
        <v>.</v>
      </c>
      <c r="AB287" s="702" t="str">
        <f t="shared" ref="AB287:AB341" si="197">IFERROR(G287/F287-1,".")</f>
        <v>.</v>
      </c>
      <c r="AC287" s="702" t="str">
        <f t="shared" ref="AC287:AC341" si="198">IFERROR(H287/G287-1,".")</f>
        <v>.</v>
      </c>
      <c r="AD287" s="702" t="str">
        <f t="shared" ref="AD287:AD341" si="199">IFERROR(I287/H287-1,".")</f>
        <v>.</v>
      </c>
      <c r="AE287" s="702" t="str">
        <f t="shared" ref="AE287:AE341" si="200">IFERROR(J287/I287-1,".")</f>
        <v>.</v>
      </c>
      <c r="AF287" s="702" t="str">
        <f t="shared" ref="AF287:AF341" si="201">IFERROR(K287/J287-1,".")</f>
        <v>.</v>
      </c>
      <c r="AG287" s="986" t="str">
        <f t="shared" ref="AG287:AG341" si="202">IFERROR(L287/K287-1,".")</f>
        <v>.</v>
      </c>
      <c r="AH287" s="3"/>
      <c r="AI287" s="699" t="str">
        <f>IF(S287=".",".",SUM($S287:S287))</f>
        <v>.</v>
      </c>
      <c r="AJ287" s="700" t="str">
        <f>IF(T287=".",".",SUM($S287:T287))</f>
        <v>.</v>
      </c>
      <c r="AK287" s="700" t="str">
        <f>IF(U287=".",".",SUM($S287:U287))</f>
        <v>.</v>
      </c>
      <c r="AL287" s="700" t="str">
        <f>IF(V287=".",".",SUM($S287:V287))</f>
        <v>.</v>
      </c>
      <c r="AM287" s="700" t="str">
        <f>IF(W287=".",".",SUM($S287:W287))</f>
        <v>.</v>
      </c>
      <c r="AN287" s="700" t="str">
        <f>IF(X287=".",".",SUM($S287:X287))</f>
        <v>.</v>
      </c>
      <c r="AO287" s="701" t="str">
        <f>IF(Y287=".",".",SUM($S287:Y287))</f>
        <v>.</v>
      </c>
      <c r="AP287" s="3"/>
      <c r="AQ287" s="985" t="str">
        <f t="shared" si="165"/>
        <v>.</v>
      </c>
      <c r="AR287" s="702" t="str">
        <f t="shared" ref="AR287:AR341" si="203">IFERROR(G287/$E287-1,".")</f>
        <v>.</v>
      </c>
      <c r="AS287" s="702" t="str">
        <f t="shared" ref="AS287:AS341" si="204">IFERROR(H287/$E287-1,".")</f>
        <v>.</v>
      </c>
      <c r="AT287" s="702" t="str">
        <f t="shared" ref="AT287:AT341" si="205">IFERROR(I287/$E287-1,".")</f>
        <v>.</v>
      </c>
      <c r="AU287" s="702" t="str">
        <f t="shared" ref="AU287:AU341" si="206">IFERROR(J287/$E287-1,".")</f>
        <v>.</v>
      </c>
      <c r="AV287" s="702" t="str">
        <f t="shared" ref="AV287:AV341" si="207">IFERROR(K287/$E287-1,".")</f>
        <v>.</v>
      </c>
      <c r="AW287" s="986" t="str">
        <f t="shared" ref="AW287:AW341" si="208">IFERROR(L287/$E287-1,".")</f>
        <v>.</v>
      </c>
      <c r="AX287" s="214"/>
      <c r="AY287" s="3"/>
      <c r="AZ287" s="3"/>
      <c r="BA287" s="3"/>
      <c r="BB287" s="3"/>
    </row>
    <row r="288" spans="1:54" ht="12" x14ac:dyDescent="0.25">
      <c r="A288" s="3"/>
      <c r="B288" s="212"/>
      <c r="C288" s="279" t="str">
        <f t="shared" si="184"/>
        <v>Special rate</v>
      </c>
      <c r="D288" s="279" t="str">
        <f t="shared" si="184"/>
        <v/>
      </c>
      <c r="E288" s="557" t="str">
        <f t="shared" si="189"/>
        <v>.</v>
      </c>
      <c r="F288" s="579"/>
      <c r="G288" s="578"/>
      <c r="H288" s="578"/>
      <c r="I288" s="578"/>
      <c r="J288" s="578"/>
      <c r="K288" s="578"/>
      <c r="L288" s="578"/>
      <c r="M288" s="220"/>
      <c r="N288" s="3"/>
      <c r="O288" s="655">
        <f t="shared" si="188"/>
        <v>0</v>
      </c>
      <c r="P288" s="657">
        <f t="shared" si="188"/>
        <v>0</v>
      </c>
      <c r="Q288" s="3"/>
      <c r="R288" s="212"/>
      <c r="S288" s="699" t="str">
        <f t="shared" si="190"/>
        <v>.</v>
      </c>
      <c r="T288" s="700" t="str">
        <f t="shared" si="191"/>
        <v>.</v>
      </c>
      <c r="U288" s="700" t="str">
        <f t="shared" si="192"/>
        <v>.</v>
      </c>
      <c r="V288" s="700" t="str">
        <f t="shared" si="193"/>
        <v>.</v>
      </c>
      <c r="W288" s="700" t="str">
        <f t="shared" si="194"/>
        <v>.</v>
      </c>
      <c r="X288" s="700" t="str">
        <f t="shared" si="195"/>
        <v>.</v>
      </c>
      <c r="Y288" s="701" t="str">
        <f t="shared" si="196"/>
        <v>.</v>
      </c>
      <c r="Z288" s="3"/>
      <c r="AA288" s="985" t="str">
        <f t="shared" si="166"/>
        <v>.</v>
      </c>
      <c r="AB288" s="702" t="str">
        <f t="shared" si="197"/>
        <v>.</v>
      </c>
      <c r="AC288" s="702" t="str">
        <f t="shared" si="198"/>
        <v>.</v>
      </c>
      <c r="AD288" s="702" t="str">
        <f t="shared" si="199"/>
        <v>.</v>
      </c>
      <c r="AE288" s="702" t="str">
        <f t="shared" si="200"/>
        <v>.</v>
      </c>
      <c r="AF288" s="702" t="str">
        <f t="shared" si="201"/>
        <v>.</v>
      </c>
      <c r="AG288" s="986" t="str">
        <f t="shared" si="202"/>
        <v>.</v>
      </c>
      <c r="AH288" s="3"/>
      <c r="AI288" s="699" t="str">
        <f>IF(S288=".",".",SUM($S288:S288))</f>
        <v>.</v>
      </c>
      <c r="AJ288" s="700" t="str">
        <f>IF(T288=".",".",SUM($S288:T288))</f>
        <v>.</v>
      </c>
      <c r="AK288" s="700" t="str">
        <f>IF(U288=".",".",SUM($S288:U288))</f>
        <v>.</v>
      </c>
      <c r="AL288" s="700" t="str">
        <f>IF(V288=".",".",SUM($S288:V288))</f>
        <v>.</v>
      </c>
      <c r="AM288" s="700" t="str">
        <f>IF(W288=".",".",SUM($S288:W288))</f>
        <v>.</v>
      </c>
      <c r="AN288" s="700" t="str">
        <f>IF(X288=".",".",SUM($S288:X288))</f>
        <v>.</v>
      </c>
      <c r="AO288" s="701" t="str">
        <f>IF(Y288=".",".",SUM($S288:Y288))</f>
        <v>.</v>
      </c>
      <c r="AP288" s="3"/>
      <c r="AQ288" s="985" t="str">
        <f t="shared" ref="AQ288:AQ341" si="209">IFERROR(F288/$E288-1,".")</f>
        <v>.</v>
      </c>
      <c r="AR288" s="702" t="str">
        <f t="shared" si="203"/>
        <v>.</v>
      </c>
      <c r="AS288" s="702" t="str">
        <f t="shared" si="204"/>
        <v>.</v>
      </c>
      <c r="AT288" s="702" t="str">
        <f t="shared" si="205"/>
        <v>.</v>
      </c>
      <c r="AU288" s="702" t="str">
        <f t="shared" si="206"/>
        <v>.</v>
      </c>
      <c r="AV288" s="702" t="str">
        <f t="shared" si="207"/>
        <v>.</v>
      </c>
      <c r="AW288" s="986" t="str">
        <f t="shared" si="208"/>
        <v>.</v>
      </c>
      <c r="AX288" s="214"/>
      <c r="AY288" s="3"/>
      <c r="AZ288" s="3"/>
      <c r="BA288" s="3"/>
      <c r="BB288" s="3"/>
    </row>
    <row r="289" spans="1:54" ht="12" x14ac:dyDescent="0.25">
      <c r="A289" s="3"/>
      <c r="B289" s="212"/>
      <c r="C289" s="279" t="str">
        <f t="shared" si="184"/>
        <v>Special rate</v>
      </c>
      <c r="D289" s="279" t="str">
        <f t="shared" si="184"/>
        <v/>
      </c>
      <c r="E289" s="557" t="str">
        <f t="shared" si="189"/>
        <v>.</v>
      </c>
      <c r="F289" s="579"/>
      <c r="G289" s="578"/>
      <c r="H289" s="578"/>
      <c r="I289" s="578"/>
      <c r="J289" s="578"/>
      <c r="K289" s="578"/>
      <c r="L289" s="578"/>
      <c r="M289" s="220"/>
      <c r="N289" s="3"/>
      <c r="O289" s="655">
        <f t="shared" si="188"/>
        <v>0</v>
      </c>
      <c r="P289" s="657">
        <f t="shared" si="188"/>
        <v>0</v>
      </c>
      <c r="Q289" s="3"/>
      <c r="R289" s="212"/>
      <c r="S289" s="699" t="str">
        <f t="shared" si="190"/>
        <v>.</v>
      </c>
      <c r="T289" s="700" t="str">
        <f t="shared" si="191"/>
        <v>.</v>
      </c>
      <c r="U289" s="700" t="str">
        <f t="shared" si="192"/>
        <v>.</v>
      </c>
      <c r="V289" s="700" t="str">
        <f t="shared" si="193"/>
        <v>.</v>
      </c>
      <c r="W289" s="700" t="str">
        <f t="shared" si="194"/>
        <v>.</v>
      </c>
      <c r="X289" s="700" t="str">
        <f t="shared" si="195"/>
        <v>.</v>
      </c>
      <c r="Y289" s="701" t="str">
        <f t="shared" si="196"/>
        <v>.</v>
      </c>
      <c r="Z289" s="3"/>
      <c r="AA289" s="985" t="str">
        <f t="shared" si="166"/>
        <v>.</v>
      </c>
      <c r="AB289" s="702" t="str">
        <f t="shared" si="197"/>
        <v>.</v>
      </c>
      <c r="AC289" s="702" t="str">
        <f t="shared" si="198"/>
        <v>.</v>
      </c>
      <c r="AD289" s="702" t="str">
        <f t="shared" si="199"/>
        <v>.</v>
      </c>
      <c r="AE289" s="702" t="str">
        <f t="shared" si="200"/>
        <v>.</v>
      </c>
      <c r="AF289" s="702" t="str">
        <f t="shared" si="201"/>
        <v>.</v>
      </c>
      <c r="AG289" s="986" t="str">
        <f t="shared" si="202"/>
        <v>.</v>
      </c>
      <c r="AH289" s="3"/>
      <c r="AI289" s="699" t="str">
        <f>IF(S289=".",".",SUM($S289:S289))</f>
        <v>.</v>
      </c>
      <c r="AJ289" s="700" t="str">
        <f>IF(T289=".",".",SUM($S289:T289))</f>
        <v>.</v>
      </c>
      <c r="AK289" s="700" t="str">
        <f>IF(U289=".",".",SUM($S289:U289))</f>
        <v>.</v>
      </c>
      <c r="AL289" s="700" t="str">
        <f>IF(V289=".",".",SUM($S289:V289))</f>
        <v>.</v>
      </c>
      <c r="AM289" s="700" t="str">
        <f>IF(W289=".",".",SUM($S289:W289))</f>
        <v>.</v>
      </c>
      <c r="AN289" s="700" t="str">
        <f>IF(X289=".",".",SUM($S289:X289))</f>
        <v>.</v>
      </c>
      <c r="AO289" s="701" t="str">
        <f>IF(Y289=".",".",SUM($S289:Y289))</f>
        <v>.</v>
      </c>
      <c r="AP289" s="3"/>
      <c r="AQ289" s="985" t="str">
        <f t="shared" si="209"/>
        <v>.</v>
      </c>
      <c r="AR289" s="702" t="str">
        <f t="shared" si="203"/>
        <v>.</v>
      </c>
      <c r="AS289" s="702" t="str">
        <f t="shared" si="204"/>
        <v>.</v>
      </c>
      <c r="AT289" s="702" t="str">
        <f t="shared" si="205"/>
        <v>.</v>
      </c>
      <c r="AU289" s="702" t="str">
        <f t="shared" si="206"/>
        <v>.</v>
      </c>
      <c r="AV289" s="702" t="str">
        <f t="shared" si="207"/>
        <v>.</v>
      </c>
      <c r="AW289" s="986" t="str">
        <f t="shared" si="208"/>
        <v>.</v>
      </c>
      <c r="AX289" s="214"/>
      <c r="AY289" s="3"/>
      <c r="AZ289" s="3"/>
      <c r="BA289" s="3"/>
      <c r="BB289" s="3"/>
    </row>
    <row r="290" spans="1:54" ht="12" x14ac:dyDescent="0.25">
      <c r="A290" s="3"/>
      <c r="B290" s="212"/>
      <c r="C290" s="279" t="str">
        <f t="shared" si="184"/>
        <v>Special rate</v>
      </c>
      <c r="D290" s="279" t="str">
        <f t="shared" si="184"/>
        <v/>
      </c>
      <c r="E290" s="557" t="str">
        <f t="shared" si="189"/>
        <v>.</v>
      </c>
      <c r="F290" s="579"/>
      <c r="G290" s="578"/>
      <c r="H290" s="578"/>
      <c r="I290" s="578"/>
      <c r="J290" s="578"/>
      <c r="K290" s="578"/>
      <c r="L290" s="578"/>
      <c r="M290" s="220"/>
      <c r="N290" s="3"/>
      <c r="O290" s="655">
        <f t="shared" si="188"/>
        <v>0</v>
      </c>
      <c r="P290" s="657">
        <f t="shared" si="188"/>
        <v>0</v>
      </c>
      <c r="Q290" s="3"/>
      <c r="R290" s="212"/>
      <c r="S290" s="699" t="str">
        <f t="shared" si="190"/>
        <v>.</v>
      </c>
      <c r="T290" s="700" t="str">
        <f t="shared" si="191"/>
        <v>.</v>
      </c>
      <c r="U290" s="700" t="str">
        <f t="shared" si="192"/>
        <v>.</v>
      </c>
      <c r="V290" s="700" t="str">
        <f t="shared" si="193"/>
        <v>.</v>
      </c>
      <c r="W290" s="700" t="str">
        <f t="shared" si="194"/>
        <v>.</v>
      </c>
      <c r="X290" s="700" t="str">
        <f t="shared" si="195"/>
        <v>.</v>
      </c>
      <c r="Y290" s="701" t="str">
        <f t="shared" si="196"/>
        <v>.</v>
      </c>
      <c r="Z290" s="3"/>
      <c r="AA290" s="985" t="str">
        <f t="shared" si="166"/>
        <v>.</v>
      </c>
      <c r="AB290" s="702" t="str">
        <f t="shared" si="197"/>
        <v>.</v>
      </c>
      <c r="AC290" s="702" t="str">
        <f t="shared" si="198"/>
        <v>.</v>
      </c>
      <c r="AD290" s="702" t="str">
        <f t="shared" si="199"/>
        <v>.</v>
      </c>
      <c r="AE290" s="702" t="str">
        <f t="shared" si="200"/>
        <v>.</v>
      </c>
      <c r="AF290" s="702" t="str">
        <f t="shared" si="201"/>
        <v>.</v>
      </c>
      <c r="AG290" s="986" t="str">
        <f t="shared" si="202"/>
        <v>.</v>
      </c>
      <c r="AH290" s="3"/>
      <c r="AI290" s="699" t="str">
        <f>IF(S290=".",".",SUM($S290:S290))</f>
        <v>.</v>
      </c>
      <c r="AJ290" s="700" t="str">
        <f>IF(T290=".",".",SUM($S290:T290))</f>
        <v>.</v>
      </c>
      <c r="AK290" s="700" t="str">
        <f>IF(U290=".",".",SUM($S290:U290))</f>
        <v>.</v>
      </c>
      <c r="AL290" s="700" t="str">
        <f>IF(V290=".",".",SUM($S290:V290))</f>
        <v>.</v>
      </c>
      <c r="AM290" s="700" t="str">
        <f>IF(W290=".",".",SUM($S290:W290))</f>
        <v>.</v>
      </c>
      <c r="AN290" s="700" t="str">
        <f>IF(X290=".",".",SUM($S290:X290))</f>
        <v>.</v>
      </c>
      <c r="AO290" s="701" t="str">
        <f>IF(Y290=".",".",SUM($S290:Y290))</f>
        <v>.</v>
      </c>
      <c r="AP290" s="3"/>
      <c r="AQ290" s="985" t="str">
        <f t="shared" si="209"/>
        <v>.</v>
      </c>
      <c r="AR290" s="702" t="str">
        <f t="shared" si="203"/>
        <v>.</v>
      </c>
      <c r="AS290" s="702" t="str">
        <f t="shared" si="204"/>
        <v>.</v>
      </c>
      <c r="AT290" s="702" t="str">
        <f t="shared" si="205"/>
        <v>.</v>
      </c>
      <c r="AU290" s="702" t="str">
        <f t="shared" si="206"/>
        <v>.</v>
      </c>
      <c r="AV290" s="702" t="str">
        <f t="shared" si="207"/>
        <v>.</v>
      </c>
      <c r="AW290" s="986" t="str">
        <f t="shared" si="208"/>
        <v>.</v>
      </c>
      <c r="AX290" s="214"/>
      <c r="AY290" s="3"/>
      <c r="AZ290" s="3"/>
      <c r="BA290" s="3"/>
      <c r="BB290" s="3"/>
    </row>
    <row r="291" spans="1:54" ht="12" x14ac:dyDescent="0.25">
      <c r="A291" s="3"/>
      <c r="B291" s="212"/>
      <c r="C291" s="279" t="str">
        <f t="shared" si="184"/>
        <v>Special rate</v>
      </c>
      <c r="D291" s="279" t="str">
        <f t="shared" si="184"/>
        <v/>
      </c>
      <c r="E291" s="557" t="str">
        <f t="shared" si="189"/>
        <v>.</v>
      </c>
      <c r="F291" s="579"/>
      <c r="G291" s="578"/>
      <c r="H291" s="578"/>
      <c r="I291" s="578"/>
      <c r="J291" s="578"/>
      <c r="K291" s="578"/>
      <c r="L291" s="578"/>
      <c r="M291" s="220"/>
      <c r="N291" s="3"/>
      <c r="O291" s="655">
        <f t="shared" si="188"/>
        <v>0</v>
      </c>
      <c r="P291" s="657">
        <f t="shared" si="188"/>
        <v>0</v>
      </c>
      <c r="Q291" s="3"/>
      <c r="R291" s="212"/>
      <c r="S291" s="699" t="str">
        <f t="shared" si="190"/>
        <v>.</v>
      </c>
      <c r="T291" s="700" t="str">
        <f t="shared" si="191"/>
        <v>.</v>
      </c>
      <c r="U291" s="700" t="str">
        <f t="shared" si="192"/>
        <v>.</v>
      </c>
      <c r="V291" s="700" t="str">
        <f t="shared" si="193"/>
        <v>.</v>
      </c>
      <c r="W291" s="700" t="str">
        <f t="shared" si="194"/>
        <v>.</v>
      </c>
      <c r="X291" s="700" t="str">
        <f t="shared" si="195"/>
        <v>.</v>
      </c>
      <c r="Y291" s="701" t="str">
        <f t="shared" si="196"/>
        <v>.</v>
      </c>
      <c r="Z291" s="3"/>
      <c r="AA291" s="985" t="str">
        <f t="shared" si="166"/>
        <v>.</v>
      </c>
      <c r="AB291" s="702" t="str">
        <f t="shared" si="197"/>
        <v>.</v>
      </c>
      <c r="AC291" s="702" t="str">
        <f t="shared" si="198"/>
        <v>.</v>
      </c>
      <c r="AD291" s="702" t="str">
        <f t="shared" si="199"/>
        <v>.</v>
      </c>
      <c r="AE291" s="702" t="str">
        <f t="shared" si="200"/>
        <v>.</v>
      </c>
      <c r="AF291" s="702" t="str">
        <f t="shared" si="201"/>
        <v>.</v>
      </c>
      <c r="AG291" s="986" t="str">
        <f t="shared" si="202"/>
        <v>.</v>
      </c>
      <c r="AH291" s="3"/>
      <c r="AI291" s="699" t="str">
        <f>IF(S291=".",".",SUM($S291:S291))</f>
        <v>.</v>
      </c>
      <c r="AJ291" s="700" t="str">
        <f>IF(T291=".",".",SUM($S291:T291))</f>
        <v>.</v>
      </c>
      <c r="AK291" s="700" t="str">
        <f>IF(U291=".",".",SUM($S291:U291))</f>
        <v>.</v>
      </c>
      <c r="AL291" s="700" t="str">
        <f>IF(V291=".",".",SUM($S291:V291))</f>
        <v>.</v>
      </c>
      <c r="AM291" s="700" t="str">
        <f>IF(W291=".",".",SUM($S291:W291))</f>
        <v>.</v>
      </c>
      <c r="AN291" s="700" t="str">
        <f>IF(X291=".",".",SUM($S291:X291))</f>
        <v>.</v>
      </c>
      <c r="AO291" s="701" t="str">
        <f>IF(Y291=".",".",SUM($S291:Y291))</f>
        <v>.</v>
      </c>
      <c r="AP291" s="3"/>
      <c r="AQ291" s="985" t="str">
        <f t="shared" si="209"/>
        <v>.</v>
      </c>
      <c r="AR291" s="702" t="str">
        <f t="shared" si="203"/>
        <v>.</v>
      </c>
      <c r="AS291" s="702" t="str">
        <f t="shared" si="204"/>
        <v>.</v>
      </c>
      <c r="AT291" s="702" t="str">
        <f t="shared" si="205"/>
        <v>.</v>
      </c>
      <c r="AU291" s="702" t="str">
        <f t="shared" si="206"/>
        <v>.</v>
      </c>
      <c r="AV291" s="702" t="str">
        <f t="shared" si="207"/>
        <v>.</v>
      </c>
      <c r="AW291" s="986" t="str">
        <f t="shared" si="208"/>
        <v>.</v>
      </c>
      <c r="AX291" s="214"/>
      <c r="AY291" s="3"/>
      <c r="AZ291" s="3"/>
      <c r="BA291" s="3"/>
      <c r="BB291" s="3"/>
    </row>
    <row r="292" spans="1:54" ht="12" x14ac:dyDescent="0.25">
      <c r="A292" s="3"/>
      <c r="B292" s="212"/>
      <c r="C292" s="279" t="str">
        <f t="shared" si="184"/>
        <v>Special rate</v>
      </c>
      <c r="D292" s="279" t="str">
        <f t="shared" si="184"/>
        <v/>
      </c>
      <c r="E292" s="557" t="str">
        <f t="shared" si="189"/>
        <v>.</v>
      </c>
      <c r="F292" s="579"/>
      <c r="G292" s="578"/>
      <c r="H292" s="578"/>
      <c r="I292" s="578"/>
      <c r="J292" s="578"/>
      <c r="K292" s="578"/>
      <c r="L292" s="578"/>
      <c r="M292" s="220"/>
      <c r="N292" s="3"/>
      <c r="O292" s="655">
        <f t="shared" si="188"/>
        <v>0</v>
      </c>
      <c r="P292" s="657">
        <f t="shared" si="188"/>
        <v>0</v>
      </c>
      <c r="Q292" s="3"/>
      <c r="R292" s="212"/>
      <c r="S292" s="699" t="str">
        <f t="shared" si="190"/>
        <v>.</v>
      </c>
      <c r="T292" s="700" t="str">
        <f t="shared" si="191"/>
        <v>.</v>
      </c>
      <c r="U292" s="700" t="str">
        <f t="shared" si="192"/>
        <v>.</v>
      </c>
      <c r="V292" s="700" t="str">
        <f t="shared" si="193"/>
        <v>.</v>
      </c>
      <c r="W292" s="700" t="str">
        <f t="shared" si="194"/>
        <v>.</v>
      </c>
      <c r="X292" s="700" t="str">
        <f t="shared" si="195"/>
        <v>.</v>
      </c>
      <c r="Y292" s="701" t="str">
        <f t="shared" si="196"/>
        <v>.</v>
      </c>
      <c r="Z292" s="3"/>
      <c r="AA292" s="985" t="str">
        <f t="shared" ref="AA292:AA341" si="210">IFERROR(F292/E292-1,".")</f>
        <v>.</v>
      </c>
      <c r="AB292" s="702" t="str">
        <f t="shared" si="197"/>
        <v>.</v>
      </c>
      <c r="AC292" s="702" t="str">
        <f t="shared" si="198"/>
        <v>.</v>
      </c>
      <c r="AD292" s="702" t="str">
        <f t="shared" si="199"/>
        <v>.</v>
      </c>
      <c r="AE292" s="702" t="str">
        <f t="shared" si="200"/>
        <v>.</v>
      </c>
      <c r="AF292" s="702" t="str">
        <f t="shared" si="201"/>
        <v>.</v>
      </c>
      <c r="AG292" s="986" t="str">
        <f t="shared" si="202"/>
        <v>.</v>
      </c>
      <c r="AH292" s="3"/>
      <c r="AI292" s="699" t="str">
        <f>IF(S292=".",".",SUM($S292:S292))</f>
        <v>.</v>
      </c>
      <c r="AJ292" s="700" t="str">
        <f>IF(T292=".",".",SUM($S292:T292))</f>
        <v>.</v>
      </c>
      <c r="AK292" s="700" t="str">
        <f>IF(U292=".",".",SUM($S292:U292))</f>
        <v>.</v>
      </c>
      <c r="AL292" s="700" t="str">
        <f>IF(V292=".",".",SUM($S292:V292))</f>
        <v>.</v>
      </c>
      <c r="AM292" s="700" t="str">
        <f>IF(W292=".",".",SUM($S292:W292))</f>
        <v>.</v>
      </c>
      <c r="AN292" s="700" t="str">
        <f>IF(X292=".",".",SUM($S292:X292))</f>
        <v>.</v>
      </c>
      <c r="AO292" s="701" t="str">
        <f>IF(Y292=".",".",SUM($S292:Y292))</f>
        <v>.</v>
      </c>
      <c r="AP292" s="3"/>
      <c r="AQ292" s="985" t="str">
        <f t="shared" si="209"/>
        <v>.</v>
      </c>
      <c r="AR292" s="702" t="str">
        <f t="shared" si="203"/>
        <v>.</v>
      </c>
      <c r="AS292" s="702" t="str">
        <f t="shared" si="204"/>
        <v>.</v>
      </c>
      <c r="AT292" s="702" t="str">
        <f t="shared" si="205"/>
        <v>.</v>
      </c>
      <c r="AU292" s="702" t="str">
        <f t="shared" si="206"/>
        <v>.</v>
      </c>
      <c r="AV292" s="702" t="str">
        <f t="shared" si="207"/>
        <v>.</v>
      </c>
      <c r="AW292" s="986" t="str">
        <f t="shared" si="208"/>
        <v>.</v>
      </c>
      <c r="AX292" s="214"/>
      <c r="AY292" s="3"/>
      <c r="AZ292" s="3"/>
      <c r="BA292" s="3"/>
      <c r="BB292" s="3"/>
    </row>
    <row r="293" spans="1:54" ht="12" x14ac:dyDescent="0.25">
      <c r="A293" s="3"/>
      <c r="B293" s="212"/>
      <c r="C293" s="279" t="str">
        <f t="shared" si="184"/>
        <v>Special rate</v>
      </c>
      <c r="D293" s="279" t="str">
        <f t="shared" si="184"/>
        <v/>
      </c>
      <c r="E293" s="557" t="str">
        <f t="shared" si="189"/>
        <v>.</v>
      </c>
      <c r="F293" s="579"/>
      <c r="G293" s="578"/>
      <c r="H293" s="578"/>
      <c r="I293" s="578"/>
      <c r="J293" s="578"/>
      <c r="K293" s="578"/>
      <c r="L293" s="578"/>
      <c r="M293" s="220"/>
      <c r="N293" s="3"/>
      <c r="O293" s="655">
        <f t="shared" si="188"/>
        <v>0</v>
      </c>
      <c r="P293" s="657">
        <f t="shared" si="188"/>
        <v>0</v>
      </c>
      <c r="Q293" s="3"/>
      <c r="R293" s="212"/>
      <c r="S293" s="699" t="str">
        <f t="shared" si="190"/>
        <v>.</v>
      </c>
      <c r="T293" s="700" t="str">
        <f t="shared" si="191"/>
        <v>.</v>
      </c>
      <c r="U293" s="700" t="str">
        <f t="shared" si="192"/>
        <v>.</v>
      </c>
      <c r="V293" s="700" t="str">
        <f t="shared" si="193"/>
        <v>.</v>
      </c>
      <c r="W293" s="700" t="str">
        <f t="shared" si="194"/>
        <v>.</v>
      </c>
      <c r="X293" s="700" t="str">
        <f t="shared" si="195"/>
        <v>.</v>
      </c>
      <c r="Y293" s="701" t="str">
        <f t="shared" si="196"/>
        <v>.</v>
      </c>
      <c r="Z293" s="3"/>
      <c r="AA293" s="985" t="str">
        <f t="shared" si="210"/>
        <v>.</v>
      </c>
      <c r="AB293" s="702" t="str">
        <f t="shared" si="197"/>
        <v>.</v>
      </c>
      <c r="AC293" s="702" t="str">
        <f t="shared" si="198"/>
        <v>.</v>
      </c>
      <c r="AD293" s="702" t="str">
        <f t="shared" si="199"/>
        <v>.</v>
      </c>
      <c r="AE293" s="702" t="str">
        <f t="shared" si="200"/>
        <v>.</v>
      </c>
      <c r="AF293" s="702" t="str">
        <f t="shared" si="201"/>
        <v>.</v>
      </c>
      <c r="AG293" s="986" t="str">
        <f t="shared" si="202"/>
        <v>.</v>
      </c>
      <c r="AH293" s="3"/>
      <c r="AI293" s="699" t="str">
        <f>IF(S293=".",".",SUM($S293:S293))</f>
        <v>.</v>
      </c>
      <c r="AJ293" s="700" t="str">
        <f>IF(T293=".",".",SUM($S293:T293))</f>
        <v>.</v>
      </c>
      <c r="AK293" s="700" t="str">
        <f>IF(U293=".",".",SUM($S293:U293))</f>
        <v>.</v>
      </c>
      <c r="AL293" s="700" t="str">
        <f>IF(V293=".",".",SUM($S293:V293))</f>
        <v>.</v>
      </c>
      <c r="AM293" s="700" t="str">
        <f>IF(W293=".",".",SUM($S293:W293))</f>
        <v>.</v>
      </c>
      <c r="AN293" s="700" t="str">
        <f>IF(X293=".",".",SUM($S293:X293))</f>
        <v>.</v>
      </c>
      <c r="AO293" s="701" t="str">
        <f>IF(Y293=".",".",SUM($S293:Y293))</f>
        <v>.</v>
      </c>
      <c r="AP293" s="3"/>
      <c r="AQ293" s="985" t="str">
        <f t="shared" si="209"/>
        <v>.</v>
      </c>
      <c r="AR293" s="702" t="str">
        <f t="shared" si="203"/>
        <v>.</v>
      </c>
      <c r="AS293" s="702" t="str">
        <f t="shared" si="204"/>
        <v>.</v>
      </c>
      <c r="AT293" s="702" t="str">
        <f t="shared" si="205"/>
        <v>.</v>
      </c>
      <c r="AU293" s="702" t="str">
        <f t="shared" si="206"/>
        <v>.</v>
      </c>
      <c r="AV293" s="702" t="str">
        <f t="shared" si="207"/>
        <v>.</v>
      </c>
      <c r="AW293" s="986" t="str">
        <f t="shared" si="208"/>
        <v>.</v>
      </c>
      <c r="AX293" s="214"/>
      <c r="AY293" s="3"/>
      <c r="AZ293" s="3"/>
      <c r="BA293" s="3"/>
      <c r="BB293" s="3"/>
    </row>
    <row r="294" spans="1:54" ht="12" x14ac:dyDescent="0.25">
      <c r="A294" s="3"/>
      <c r="B294" s="212"/>
      <c r="C294" s="279" t="str">
        <f t="shared" ref="C294:D298" si="211">C169</f>
        <v>Special rate</v>
      </c>
      <c r="D294" s="279" t="str">
        <f t="shared" si="211"/>
        <v/>
      </c>
      <c r="E294" s="557" t="str">
        <f t="shared" si="189"/>
        <v>.</v>
      </c>
      <c r="F294" s="579"/>
      <c r="G294" s="578"/>
      <c r="H294" s="578"/>
      <c r="I294" s="578"/>
      <c r="J294" s="578"/>
      <c r="K294" s="578"/>
      <c r="L294" s="578"/>
      <c r="M294" s="220"/>
      <c r="N294" s="3"/>
      <c r="O294" s="655">
        <f t="shared" si="188"/>
        <v>0</v>
      </c>
      <c r="P294" s="657">
        <f t="shared" si="188"/>
        <v>0</v>
      </c>
      <c r="Q294" s="3"/>
      <c r="R294" s="212"/>
      <c r="S294" s="699" t="str">
        <f t="shared" si="190"/>
        <v>.</v>
      </c>
      <c r="T294" s="700" t="str">
        <f t="shared" si="191"/>
        <v>.</v>
      </c>
      <c r="U294" s="700" t="str">
        <f t="shared" si="192"/>
        <v>.</v>
      </c>
      <c r="V294" s="700" t="str">
        <f t="shared" si="193"/>
        <v>.</v>
      </c>
      <c r="W294" s="700" t="str">
        <f t="shared" si="194"/>
        <v>.</v>
      </c>
      <c r="X294" s="700" t="str">
        <f t="shared" si="195"/>
        <v>.</v>
      </c>
      <c r="Y294" s="701" t="str">
        <f t="shared" si="196"/>
        <v>.</v>
      </c>
      <c r="Z294" s="3"/>
      <c r="AA294" s="985" t="str">
        <f t="shared" si="210"/>
        <v>.</v>
      </c>
      <c r="AB294" s="702" t="str">
        <f t="shared" si="197"/>
        <v>.</v>
      </c>
      <c r="AC294" s="702" t="str">
        <f t="shared" si="198"/>
        <v>.</v>
      </c>
      <c r="AD294" s="702" t="str">
        <f t="shared" si="199"/>
        <v>.</v>
      </c>
      <c r="AE294" s="702" t="str">
        <f t="shared" si="200"/>
        <v>.</v>
      </c>
      <c r="AF294" s="702" t="str">
        <f t="shared" si="201"/>
        <v>.</v>
      </c>
      <c r="AG294" s="986" t="str">
        <f t="shared" si="202"/>
        <v>.</v>
      </c>
      <c r="AH294" s="3"/>
      <c r="AI294" s="699" t="str">
        <f>IF(S294=".",".",SUM($S294:S294))</f>
        <v>.</v>
      </c>
      <c r="AJ294" s="700" t="str">
        <f>IF(T294=".",".",SUM($S294:T294))</f>
        <v>.</v>
      </c>
      <c r="AK294" s="700" t="str">
        <f>IF(U294=".",".",SUM($S294:U294))</f>
        <v>.</v>
      </c>
      <c r="AL294" s="700" t="str">
        <f>IF(V294=".",".",SUM($S294:V294))</f>
        <v>.</v>
      </c>
      <c r="AM294" s="700" t="str">
        <f>IF(W294=".",".",SUM($S294:W294))</f>
        <v>.</v>
      </c>
      <c r="AN294" s="700" t="str">
        <f>IF(X294=".",".",SUM($S294:X294))</f>
        <v>.</v>
      </c>
      <c r="AO294" s="701" t="str">
        <f>IF(Y294=".",".",SUM($S294:Y294))</f>
        <v>.</v>
      </c>
      <c r="AP294" s="3"/>
      <c r="AQ294" s="985" t="str">
        <f t="shared" si="209"/>
        <v>.</v>
      </c>
      <c r="AR294" s="702" t="str">
        <f t="shared" si="203"/>
        <v>.</v>
      </c>
      <c r="AS294" s="702" t="str">
        <f t="shared" si="204"/>
        <v>.</v>
      </c>
      <c r="AT294" s="702" t="str">
        <f t="shared" si="205"/>
        <v>.</v>
      </c>
      <c r="AU294" s="702" t="str">
        <f t="shared" si="206"/>
        <v>.</v>
      </c>
      <c r="AV294" s="702" t="str">
        <f t="shared" si="207"/>
        <v>.</v>
      </c>
      <c r="AW294" s="986" t="str">
        <f t="shared" si="208"/>
        <v>.</v>
      </c>
      <c r="AX294" s="214"/>
      <c r="AY294" s="3"/>
      <c r="AZ294" s="3"/>
      <c r="BA294" s="3"/>
      <c r="BB294" s="3"/>
    </row>
    <row r="295" spans="1:54" ht="12" x14ac:dyDescent="0.25">
      <c r="A295" s="3"/>
      <c r="B295" s="212"/>
      <c r="C295" s="279" t="str">
        <f t="shared" si="211"/>
        <v>Special rate</v>
      </c>
      <c r="D295" s="279" t="str">
        <f t="shared" si="211"/>
        <v/>
      </c>
      <c r="E295" s="557" t="str">
        <f t="shared" si="189"/>
        <v>.</v>
      </c>
      <c r="F295" s="579"/>
      <c r="G295" s="578"/>
      <c r="H295" s="578"/>
      <c r="I295" s="578"/>
      <c r="J295" s="578"/>
      <c r="K295" s="578"/>
      <c r="L295" s="578"/>
      <c r="M295" s="220"/>
      <c r="N295" s="3"/>
      <c r="O295" s="655">
        <f t="shared" si="188"/>
        <v>0</v>
      </c>
      <c r="P295" s="657">
        <f t="shared" si="188"/>
        <v>0</v>
      </c>
      <c r="Q295" s="3"/>
      <c r="R295" s="212"/>
      <c r="S295" s="699" t="str">
        <f t="shared" si="190"/>
        <v>.</v>
      </c>
      <c r="T295" s="700" t="str">
        <f t="shared" si="191"/>
        <v>.</v>
      </c>
      <c r="U295" s="700" t="str">
        <f t="shared" si="192"/>
        <v>.</v>
      </c>
      <c r="V295" s="700" t="str">
        <f t="shared" si="193"/>
        <v>.</v>
      </c>
      <c r="W295" s="700" t="str">
        <f t="shared" si="194"/>
        <v>.</v>
      </c>
      <c r="X295" s="700" t="str">
        <f t="shared" si="195"/>
        <v>.</v>
      </c>
      <c r="Y295" s="701" t="str">
        <f t="shared" si="196"/>
        <v>.</v>
      </c>
      <c r="Z295" s="3"/>
      <c r="AA295" s="985" t="str">
        <f t="shared" si="210"/>
        <v>.</v>
      </c>
      <c r="AB295" s="702" t="str">
        <f t="shared" si="197"/>
        <v>.</v>
      </c>
      <c r="AC295" s="702" t="str">
        <f t="shared" si="198"/>
        <v>.</v>
      </c>
      <c r="AD295" s="702" t="str">
        <f t="shared" si="199"/>
        <v>.</v>
      </c>
      <c r="AE295" s="702" t="str">
        <f t="shared" si="200"/>
        <v>.</v>
      </c>
      <c r="AF295" s="702" t="str">
        <f t="shared" si="201"/>
        <v>.</v>
      </c>
      <c r="AG295" s="986" t="str">
        <f t="shared" si="202"/>
        <v>.</v>
      </c>
      <c r="AH295" s="3"/>
      <c r="AI295" s="699" t="str">
        <f>IF(S295=".",".",SUM($S295:S295))</f>
        <v>.</v>
      </c>
      <c r="AJ295" s="700" t="str">
        <f>IF(T295=".",".",SUM($S295:T295))</f>
        <v>.</v>
      </c>
      <c r="AK295" s="700" t="str">
        <f>IF(U295=".",".",SUM($S295:U295))</f>
        <v>.</v>
      </c>
      <c r="AL295" s="700" t="str">
        <f>IF(V295=".",".",SUM($S295:V295))</f>
        <v>.</v>
      </c>
      <c r="AM295" s="700" t="str">
        <f>IF(W295=".",".",SUM($S295:W295))</f>
        <v>.</v>
      </c>
      <c r="AN295" s="700" t="str">
        <f>IF(X295=".",".",SUM($S295:X295))</f>
        <v>.</v>
      </c>
      <c r="AO295" s="701" t="str">
        <f>IF(Y295=".",".",SUM($S295:Y295))</f>
        <v>.</v>
      </c>
      <c r="AP295" s="3"/>
      <c r="AQ295" s="985" t="str">
        <f t="shared" si="209"/>
        <v>.</v>
      </c>
      <c r="AR295" s="702" t="str">
        <f t="shared" si="203"/>
        <v>.</v>
      </c>
      <c r="AS295" s="702" t="str">
        <f t="shared" si="204"/>
        <v>.</v>
      </c>
      <c r="AT295" s="702" t="str">
        <f t="shared" si="205"/>
        <v>.</v>
      </c>
      <c r="AU295" s="702" t="str">
        <f t="shared" si="206"/>
        <v>.</v>
      </c>
      <c r="AV295" s="702" t="str">
        <f t="shared" si="207"/>
        <v>.</v>
      </c>
      <c r="AW295" s="986" t="str">
        <f t="shared" si="208"/>
        <v>.</v>
      </c>
      <c r="AX295" s="214"/>
      <c r="AY295" s="3"/>
      <c r="AZ295" s="3"/>
      <c r="BA295" s="3"/>
      <c r="BB295" s="3"/>
    </row>
    <row r="296" spans="1:54" ht="12" x14ac:dyDescent="0.25">
      <c r="A296" s="3"/>
      <c r="B296" s="212"/>
      <c r="C296" s="279" t="str">
        <f t="shared" si="211"/>
        <v>Special rate</v>
      </c>
      <c r="D296" s="279" t="str">
        <f t="shared" si="211"/>
        <v/>
      </c>
      <c r="E296" s="557" t="str">
        <f t="shared" si="189"/>
        <v>.</v>
      </c>
      <c r="F296" s="579"/>
      <c r="G296" s="578"/>
      <c r="H296" s="578"/>
      <c r="I296" s="578"/>
      <c r="J296" s="578"/>
      <c r="K296" s="578"/>
      <c r="L296" s="578"/>
      <c r="M296" s="220"/>
      <c r="N296" s="3"/>
      <c r="O296" s="655">
        <f t="shared" si="188"/>
        <v>0</v>
      </c>
      <c r="P296" s="657">
        <f t="shared" si="188"/>
        <v>0</v>
      </c>
      <c r="Q296" s="3"/>
      <c r="R296" s="212"/>
      <c r="S296" s="699" t="str">
        <f t="shared" si="190"/>
        <v>.</v>
      </c>
      <c r="T296" s="700" t="str">
        <f t="shared" si="191"/>
        <v>.</v>
      </c>
      <c r="U296" s="700" t="str">
        <f t="shared" si="192"/>
        <v>.</v>
      </c>
      <c r="V296" s="700" t="str">
        <f t="shared" si="193"/>
        <v>.</v>
      </c>
      <c r="W296" s="700" t="str">
        <f t="shared" si="194"/>
        <v>.</v>
      </c>
      <c r="X296" s="700" t="str">
        <f t="shared" si="195"/>
        <v>.</v>
      </c>
      <c r="Y296" s="701" t="str">
        <f t="shared" si="196"/>
        <v>.</v>
      </c>
      <c r="Z296" s="3"/>
      <c r="AA296" s="985" t="str">
        <f t="shared" si="210"/>
        <v>.</v>
      </c>
      <c r="AB296" s="702" t="str">
        <f t="shared" si="197"/>
        <v>.</v>
      </c>
      <c r="AC296" s="702" t="str">
        <f t="shared" si="198"/>
        <v>.</v>
      </c>
      <c r="AD296" s="702" t="str">
        <f t="shared" si="199"/>
        <v>.</v>
      </c>
      <c r="AE296" s="702" t="str">
        <f t="shared" si="200"/>
        <v>.</v>
      </c>
      <c r="AF296" s="702" t="str">
        <f t="shared" si="201"/>
        <v>.</v>
      </c>
      <c r="AG296" s="986" t="str">
        <f t="shared" si="202"/>
        <v>.</v>
      </c>
      <c r="AH296" s="3"/>
      <c r="AI296" s="699" t="str">
        <f>IF(S296=".",".",SUM($S296:S296))</f>
        <v>.</v>
      </c>
      <c r="AJ296" s="700" t="str">
        <f>IF(T296=".",".",SUM($S296:T296))</f>
        <v>.</v>
      </c>
      <c r="AK296" s="700" t="str">
        <f>IF(U296=".",".",SUM($S296:U296))</f>
        <v>.</v>
      </c>
      <c r="AL296" s="700" t="str">
        <f>IF(V296=".",".",SUM($S296:V296))</f>
        <v>.</v>
      </c>
      <c r="AM296" s="700" t="str">
        <f>IF(W296=".",".",SUM($S296:W296))</f>
        <v>.</v>
      </c>
      <c r="AN296" s="700" t="str">
        <f>IF(X296=".",".",SUM($S296:X296))</f>
        <v>.</v>
      </c>
      <c r="AO296" s="701" t="str">
        <f>IF(Y296=".",".",SUM($S296:Y296))</f>
        <v>.</v>
      </c>
      <c r="AP296" s="3"/>
      <c r="AQ296" s="985" t="str">
        <f t="shared" si="209"/>
        <v>.</v>
      </c>
      <c r="AR296" s="702" t="str">
        <f t="shared" si="203"/>
        <v>.</v>
      </c>
      <c r="AS296" s="702" t="str">
        <f t="shared" si="204"/>
        <v>.</v>
      </c>
      <c r="AT296" s="702" t="str">
        <f t="shared" si="205"/>
        <v>.</v>
      </c>
      <c r="AU296" s="702" t="str">
        <f t="shared" si="206"/>
        <v>.</v>
      </c>
      <c r="AV296" s="702" t="str">
        <f t="shared" si="207"/>
        <v>.</v>
      </c>
      <c r="AW296" s="986" t="str">
        <f t="shared" si="208"/>
        <v>.</v>
      </c>
      <c r="AX296" s="214"/>
      <c r="AY296" s="3"/>
      <c r="AZ296" s="3"/>
      <c r="BA296" s="3"/>
      <c r="BB296" s="3"/>
    </row>
    <row r="297" spans="1:54" ht="12" x14ac:dyDescent="0.25">
      <c r="A297" s="3"/>
      <c r="B297" s="212"/>
      <c r="C297" s="279" t="str">
        <f t="shared" si="211"/>
        <v>Special rate</v>
      </c>
      <c r="D297" s="279" t="str">
        <f t="shared" si="211"/>
        <v/>
      </c>
      <c r="E297" s="557" t="str">
        <f t="shared" si="189"/>
        <v>.</v>
      </c>
      <c r="F297" s="579"/>
      <c r="G297" s="578"/>
      <c r="H297" s="578"/>
      <c r="I297" s="578"/>
      <c r="J297" s="578"/>
      <c r="K297" s="578"/>
      <c r="L297" s="578"/>
      <c r="M297" s="220"/>
      <c r="N297" s="3"/>
      <c r="O297" s="655">
        <f t="shared" si="188"/>
        <v>0</v>
      </c>
      <c r="P297" s="657">
        <f t="shared" si="188"/>
        <v>0</v>
      </c>
      <c r="Q297" s="3"/>
      <c r="R297" s="212"/>
      <c r="S297" s="699" t="str">
        <f t="shared" si="190"/>
        <v>.</v>
      </c>
      <c r="T297" s="700" t="str">
        <f t="shared" si="191"/>
        <v>.</v>
      </c>
      <c r="U297" s="700" t="str">
        <f t="shared" si="192"/>
        <v>.</v>
      </c>
      <c r="V297" s="700" t="str">
        <f t="shared" si="193"/>
        <v>.</v>
      </c>
      <c r="W297" s="700" t="str">
        <f t="shared" si="194"/>
        <v>.</v>
      </c>
      <c r="X297" s="700" t="str">
        <f t="shared" si="195"/>
        <v>.</v>
      </c>
      <c r="Y297" s="701" t="str">
        <f t="shared" si="196"/>
        <v>.</v>
      </c>
      <c r="Z297" s="3"/>
      <c r="AA297" s="985" t="str">
        <f t="shared" si="210"/>
        <v>.</v>
      </c>
      <c r="AB297" s="702" t="str">
        <f t="shared" si="197"/>
        <v>.</v>
      </c>
      <c r="AC297" s="702" t="str">
        <f t="shared" si="198"/>
        <v>.</v>
      </c>
      <c r="AD297" s="702" t="str">
        <f t="shared" si="199"/>
        <v>.</v>
      </c>
      <c r="AE297" s="702" t="str">
        <f t="shared" si="200"/>
        <v>.</v>
      </c>
      <c r="AF297" s="702" t="str">
        <f t="shared" si="201"/>
        <v>.</v>
      </c>
      <c r="AG297" s="986" t="str">
        <f t="shared" si="202"/>
        <v>.</v>
      </c>
      <c r="AH297" s="3"/>
      <c r="AI297" s="699" t="str">
        <f>IF(S297=".",".",SUM($S297:S297))</f>
        <v>.</v>
      </c>
      <c r="AJ297" s="700" t="str">
        <f>IF(T297=".",".",SUM($S297:T297))</f>
        <v>.</v>
      </c>
      <c r="AK297" s="700" t="str">
        <f>IF(U297=".",".",SUM($S297:U297))</f>
        <v>.</v>
      </c>
      <c r="AL297" s="700" t="str">
        <f>IF(V297=".",".",SUM($S297:V297))</f>
        <v>.</v>
      </c>
      <c r="AM297" s="700" t="str">
        <f>IF(W297=".",".",SUM($S297:W297))</f>
        <v>.</v>
      </c>
      <c r="AN297" s="700" t="str">
        <f>IF(X297=".",".",SUM($S297:X297))</f>
        <v>.</v>
      </c>
      <c r="AO297" s="701" t="str">
        <f>IF(Y297=".",".",SUM($S297:Y297))</f>
        <v>.</v>
      </c>
      <c r="AP297" s="3"/>
      <c r="AQ297" s="985" t="str">
        <f t="shared" si="209"/>
        <v>.</v>
      </c>
      <c r="AR297" s="702" t="str">
        <f t="shared" si="203"/>
        <v>.</v>
      </c>
      <c r="AS297" s="702" t="str">
        <f t="shared" si="204"/>
        <v>.</v>
      </c>
      <c r="AT297" s="702" t="str">
        <f t="shared" si="205"/>
        <v>.</v>
      </c>
      <c r="AU297" s="702" t="str">
        <f t="shared" si="206"/>
        <v>.</v>
      </c>
      <c r="AV297" s="702" t="str">
        <f t="shared" si="207"/>
        <v>.</v>
      </c>
      <c r="AW297" s="986" t="str">
        <f t="shared" si="208"/>
        <v>.</v>
      </c>
      <c r="AX297" s="214"/>
      <c r="AY297" s="3"/>
      <c r="AZ297" s="3"/>
      <c r="BA297" s="3"/>
      <c r="BB297" s="3"/>
    </row>
    <row r="298" spans="1:54" ht="12" x14ac:dyDescent="0.25">
      <c r="A298" s="3"/>
      <c r="B298" s="212"/>
      <c r="C298" s="141" t="str">
        <f t="shared" si="211"/>
        <v>Special rate</v>
      </c>
      <c r="D298" s="141" t="str">
        <f t="shared" si="211"/>
        <v/>
      </c>
      <c r="E298" s="558" t="str">
        <f t="shared" si="189"/>
        <v>.</v>
      </c>
      <c r="F298" s="579"/>
      <c r="G298" s="578"/>
      <c r="H298" s="578"/>
      <c r="I298" s="578"/>
      <c r="J298" s="578"/>
      <c r="K298" s="578"/>
      <c r="L298" s="578"/>
      <c r="M298" s="220"/>
      <c r="N298" s="3"/>
      <c r="O298" s="655">
        <f t="shared" si="188"/>
        <v>0</v>
      </c>
      <c r="P298" s="657">
        <f t="shared" si="188"/>
        <v>0</v>
      </c>
      <c r="Q298" s="3"/>
      <c r="R298" s="212"/>
      <c r="S298" s="699" t="str">
        <f t="shared" si="190"/>
        <v>.</v>
      </c>
      <c r="T298" s="700" t="str">
        <f t="shared" si="191"/>
        <v>.</v>
      </c>
      <c r="U298" s="700" t="str">
        <f t="shared" si="192"/>
        <v>.</v>
      </c>
      <c r="V298" s="700" t="str">
        <f t="shared" si="193"/>
        <v>.</v>
      </c>
      <c r="W298" s="700" t="str">
        <f t="shared" si="194"/>
        <v>.</v>
      </c>
      <c r="X298" s="700" t="str">
        <f t="shared" si="195"/>
        <v>.</v>
      </c>
      <c r="Y298" s="701" t="str">
        <f t="shared" si="196"/>
        <v>.</v>
      </c>
      <c r="Z298" s="3"/>
      <c r="AA298" s="985" t="str">
        <f t="shared" si="210"/>
        <v>.</v>
      </c>
      <c r="AB298" s="702" t="str">
        <f t="shared" si="197"/>
        <v>.</v>
      </c>
      <c r="AC298" s="702" t="str">
        <f t="shared" si="198"/>
        <v>.</v>
      </c>
      <c r="AD298" s="702" t="str">
        <f t="shared" si="199"/>
        <v>.</v>
      </c>
      <c r="AE298" s="702" t="str">
        <f t="shared" si="200"/>
        <v>.</v>
      </c>
      <c r="AF298" s="702" t="str">
        <f t="shared" si="201"/>
        <v>.</v>
      </c>
      <c r="AG298" s="986" t="str">
        <f t="shared" si="202"/>
        <v>.</v>
      </c>
      <c r="AH298" s="3"/>
      <c r="AI298" s="699" t="str">
        <f>IF(S298=".",".",SUM($S298:S298))</f>
        <v>.</v>
      </c>
      <c r="AJ298" s="700" t="str">
        <f>IF(T298=".",".",SUM($S298:T298))</f>
        <v>.</v>
      </c>
      <c r="AK298" s="700" t="str">
        <f>IF(U298=".",".",SUM($S298:U298))</f>
        <v>.</v>
      </c>
      <c r="AL298" s="700" t="str">
        <f>IF(V298=".",".",SUM($S298:V298))</f>
        <v>.</v>
      </c>
      <c r="AM298" s="700" t="str">
        <f>IF(W298=".",".",SUM($S298:W298))</f>
        <v>.</v>
      </c>
      <c r="AN298" s="700" t="str">
        <f>IF(X298=".",".",SUM($S298:X298))</f>
        <v>.</v>
      </c>
      <c r="AO298" s="701" t="str">
        <f>IF(Y298=".",".",SUM($S298:Y298))</f>
        <v>.</v>
      </c>
      <c r="AP298" s="3"/>
      <c r="AQ298" s="985" t="str">
        <f t="shared" si="209"/>
        <v>.</v>
      </c>
      <c r="AR298" s="702" t="str">
        <f t="shared" si="203"/>
        <v>.</v>
      </c>
      <c r="AS298" s="702" t="str">
        <f t="shared" si="204"/>
        <v>.</v>
      </c>
      <c r="AT298" s="702" t="str">
        <f t="shared" si="205"/>
        <v>.</v>
      </c>
      <c r="AU298" s="702" t="str">
        <f t="shared" si="206"/>
        <v>.</v>
      </c>
      <c r="AV298" s="702" t="str">
        <f t="shared" si="207"/>
        <v>.</v>
      </c>
      <c r="AW298" s="986" t="str">
        <f t="shared" si="208"/>
        <v>.</v>
      </c>
      <c r="AX298" s="214"/>
      <c r="AY298" s="3"/>
      <c r="AZ298" s="3"/>
      <c r="BA298" s="3"/>
      <c r="BB298" s="3"/>
    </row>
    <row r="299" spans="1:54" s="26" customFormat="1" ht="12" x14ac:dyDescent="0.25">
      <c r="A299" s="3"/>
      <c r="B299" s="221"/>
      <c r="C299" s="148"/>
      <c r="D299" s="148" t="s">
        <v>820</v>
      </c>
      <c r="E299" s="559">
        <f t="shared" si="189"/>
        <v>3440.6532788065088</v>
      </c>
      <c r="F299" s="583">
        <f t="shared" ref="F299:L299" si="212">IF($P299=0,".",SUMPRODUCT(F254:F298,$P254:$P298)/$P299)</f>
        <v>3567.9574501223492</v>
      </c>
      <c r="G299" s="140">
        <f t="shared" si="212"/>
        <v>3657.1563863754068</v>
      </c>
      <c r="H299" s="140">
        <f t="shared" si="212"/>
        <v>3748.5852960347925</v>
      </c>
      <c r="I299" s="140">
        <f t="shared" si="212"/>
        <v>3842.2999284356611</v>
      </c>
      <c r="J299" s="140">
        <f t="shared" si="212"/>
        <v>3938.3574266465525</v>
      </c>
      <c r="K299" s="140">
        <f t="shared" si="212"/>
        <v>4036.8163623127152</v>
      </c>
      <c r="L299" s="140">
        <f t="shared" si="212"/>
        <v>4137.7367713705326</v>
      </c>
      <c r="M299" s="220"/>
      <c r="N299" s="2"/>
      <c r="O299" s="713">
        <f t="shared" si="188"/>
        <v>2638</v>
      </c>
      <c r="P299" s="714">
        <f t="shared" si="188"/>
        <v>2638</v>
      </c>
      <c r="Q299" s="2"/>
      <c r="R299" s="221"/>
      <c r="S299" s="706">
        <f t="shared" ref="S299:Y299" si="213">IF(F299=".",".",F299-E299)</f>
        <v>127.30417131584045</v>
      </c>
      <c r="T299" s="707">
        <f t="shared" si="213"/>
        <v>89.198936253057582</v>
      </c>
      <c r="U299" s="707">
        <f t="shared" si="213"/>
        <v>91.428909659385681</v>
      </c>
      <c r="V299" s="707">
        <f t="shared" si="213"/>
        <v>93.714632400868595</v>
      </c>
      <c r="W299" s="707">
        <f t="shared" si="213"/>
        <v>96.057498210891481</v>
      </c>
      <c r="X299" s="707">
        <f t="shared" si="213"/>
        <v>98.458935666162688</v>
      </c>
      <c r="Y299" s="708">
        <f t="shared" si="213"/>
        <v>100.92040905781732</v>
      </c>
      <c r="Z299" s="2"/>
      <c r="AA299" s="990">
        <f t="shared" si="210"/>
        <v>3.6999999999999922E-2</v>
      </c>
      <c r="AB299" s="991">
        <f t="shared" si="197"/>
        <v>2.4999999999999689E-2</v>
      </c>
      <c r="AC299" s="991">
        <f t="shared" si="198"/>
        <v>2.5000000000000133E-2</v>
      </c>
      <c r="AD299" s="991">
        <f t="shared" si="199"/>
        <v>2.4999999999999689E-2</v>
      </c>
      <c r="AE299" s="991">
        <f t="shared" si="200"/>
        <v>2.4999999999999911E-2</v>
      </c>
      <c r="AF299" s="991">
        <f t="shared" si="201"/>
        <v>2.4999999999999689E-2</v>
      </c>
      <c r="AG299" s="992">
        <f t="shared" si="202"/>
        <v>2.4999999999999911E-2</v>
      </c>
      <c r="AH299" s="2"/>
      <c r="AI299" s="706">
        <f>IF(S299=".",".",SUM($S299:S299))</f>
        <v>127.30417131584045</v>
      </c>
      <c r="AJ299" s="707">
        <f>IF(T299=".",".",SUM($S299:T299))</f>
        <v>216.50310756889803</v>
      </c>
      <c r="AK299" s="707">
        <f>IF(U299=".",".",SUM($S299:U299))</f>
        <v>307.93201722828371</v>
      </c>
      <c r="AL299" s="707">
        <f>IF(V299=".",".",SUM($S299:V299))</f>
        <v>401.64664962915231</v>
      </c>
      <c r="AM299" s="707">
        <f>IF(W299=".",".",SUM($S299:W299))</f>
        <v>497.70414784004379</v>
      </c>
      <c r="AN299" s="707">
        <f>IF(X299=".",".",SUM($S299:X299))</f>
        <v>596.16308350620648</v>
      </c>
      <c r="AO299" s="708">
        <f>IF(Y299=".",".",SUM($S299:Y299))</f>
        <v>697.0834925640238</v>
      </c>
      <c r="AP299" s="3"/>
      <c r="AQ299" s="990">
        <f t="shared" si="209"/>
        <v>3.6999999999999922E-2</v>
      </c>
      <c r="AR299" s="991">
        <f t="shared" si="203"/>
        <v>6.2924999999999454E-2</v>
      </c>
      <c r="AS299" s="991">
        <f t="shared" si="204"/>
        <v>8.9498124999999762E-2</v>
      </c>
      <c r="AT299" s="991">
        <f t="shared" si="205"/>
        <v>0.11673557812499924</v>
      </c>
      <c r="AU299" s="991">
        <f t="shared" si="206"/>
        <v>0.14465396757812421</v>
      </c>
      <c r="AV299" s="991">
        <f t="shared" si="207"/>
        <v>0.17327031676757709</v>
      </c>
      <c r="AW299" s="992">
        <f t="shared" si="208"/>
        <v>0.20260207468676628</v>
      </c>
      <c r="AX299" s="229"/>
      <c r="AY299" s="2"/>
      <c r="AZ299" s="2"/>
      <c r="BA299" s="2"/>
      <c r="BB299" s="2"/>
    </row>
    <row r="300" spans="1:54" ht="12" x14ac:dyDescent="0.25">
      <c r="A300" s="3"/>
      <c r="B300" s="212"/>
      <c r="C300" s="1242" t="str">
        <f t="shared" ref="C300:D319" si="214">C175</f>
        <v>Farmland</v>
      </c>
      <c r="D300" s="1242" t="str">
        <f t="shared" si="214"/>
        <v>Farmland</v>
      </c>
      <c r="E300" s="1243">
        <f t="shared" si="189"/>
        <v>2032.1048904952077</v>
      </c>
      <c r="F300" s="579">
        <f>+E300*1.037</f>
        <v>2107.29277144353</v>
      </c>
      <c r="G300" s="1262">
        <f>+F300*1.025</f>
        <v>2159.9750907296179</v>
      </c>
      <c r="H300" s="1262">
        <f>+G300*1.025</f>
        <v>2213.974467997858</v>
      </c>
      <c r="I300" s="578">
        <f>+H300*1.025</f>
        <v>2269.3238296978043</v>
      </c>
      <c r="J300" s="578">
        <f t="shared" ref="J300:L300" si="215">+I300*1.025</f>
        <v>2326.0569254402494</v>
      </c>
      <c r="K300" s="578">
        <f t="shared" si="215"/>
        <v>2384.2083485762555</v>
      </c>
      <c r="L300" s="578">
        <f t="shared" si="215"/>
        <v>2443.8135572906617</v>
      </c>
      <c r="M300" s="220"/>
      <c r="N300" s="3"/>
      <c r="O300" s="1244">
        <f t="shared" si="188"/>
        <v>313</v>
      </c>
      <c r="P300" s="1176">
        <f t="shared" si="188"/>
        <v>313</v>
      </c>
      <c r="Q300" s="3"/>
      <c r="R300" s="212"/>
      <c r="S300" s="1239">
        <f t="shared" si="190"/>
        <v>75.187880948322345</v>
      </c>
      <c r="T300" s="1172">
        <f t="shared" si="191"/>
        <v>52.682319286087932</v>
      </c>
      <c r="U300" s="1172">
        <f t="shared" si="192"/>
        <v>53.999377268240096</v>
      </c>
      <c r="V300" s="1172">
        <f t="shared" si="193"/>
        <v>55.349361699946257</v>
      </c>
      <c r="W300" s="1172">
        <f t="shared" si="194"/>
        <v>56.73309574244513</v>
      </c>
      <c r="X300" s="1172">
        <f t="shared" si="195"/>
        <v>58.151423136006088</v>
      </c>
      <c r="Y300" s="1173">
        <f t="shared" si="196"/>
        <v>59.605208714406217</v>
      </c>
      <c r="Z300" s="3"/>
      <c r="AA300" s="985">
        <f t="shared" si="210"/>
        <v>3.6999999999999922E-2</v>
      </c>
      <c r="AB300" s="702">
        <f t="shared" si="197"/>
        <v>2.4999999999999911E-2</v>
      </c>
      <c r="AC300" s="702">
        <f t="shared" si="198"/>
        <v>2.4999999999999911E-2</v>
      </c>
      <c r="AD300" s="702">
        <f t="shared" si="199"/>
        <v>2.4999999999999911E-2</v>
      </c>
      <c r="AE300" s="702">
        <f t="shared" si="200"/>
        <v>2.4999999999999911E-2</v>
      </c>
      <c r="AF300" s="702">
        <f t="shared" si="201"/>
        <v>2.4999999999999911E-2</v>
      </c>
      <c r="AG300" s="986">
        <f t="shared" si="202"/>
        <v>2.4999999999999911E-2</v>
      </c>
      <c r="AH300" s="3"/>
      <c r="AI300" s="1239">
        <f>IF(S300=".",".",SUM($S300:S300))</f>
        <v>75.187880948322345</v>
      </c>
      <c r="AJ300" s="1172">
        <f>IF(T300=".",".",SUM($S300:T300))</f>
        <v>127.87020023441028</v>
      </c>
      <c r="AK300" s="1172">
        <f>IF(U300=".",".",SUM($S300:U300))</f>
        <v>181.86957750265037</v>
      </c>
      <c r="AL300" s="1172">
        <f>IF(V300=".",".",SUM($S300:V300))</f>
        <v>237.21893920259663</v>
      </c>
      <c r="AM300" s="1172">
        <f>IF(W300=".",".",SUM($S300:W300))</f>
        <v>293.95203494504176</v>
      </c>
      <c r="AN300" s="1172">
        <f>IF(X300=".",".",SUM($S300:X300))</f>
        <v>352.10345808104785</v>
      </c>
      <c r="AO300" s="1173">
        <f>IF(Y300=".",".",SUM($S300:Y300))</f>
        <v>411.70866679545406</v>
      </c>
      <c r="AP300" s="3"/>
      <c r="AQ300" s="985">
        <f t="shared" si="209"/>
        <v>3.6999999999999922E-2</v>
      </c>
      <c r="AR300" s="702">
        <f t="shared" si="203"/>
        <v>6.2924999999999676E-2</v>
      </c>
      <c r="AS300" s="702">
        <f t="shared" si="204"/>
        <v>8.949812499999954E-2</v>
      </c>
      <c r="AT300" s="702">
        <f t="shared" si="205"/>
        <v>0.11673557812499946</v>
      </c>
      <c r="AU300" s="702">
        <f t="shared" si="206"/>
        <v>0.14465396757812443</v>
      </c>
      <c r="AV300" s="702">
        <f t="shared" si="207"/>
        <v>0.17327031676757731</v>
      </c>
      <c r="AW300" s="986">
        <f t="shared" si="208"/>
        <v>0.20260207468676672</v>
      </c>
      <c r="AX300" s="214"/>
      <c r="AY300" s="3"/>
      <c r="AZ300" s="3"/>
      <c r="BA300" s="3"/>
      <c r="BB300" s="3"/>
    </row>
    <row r="301" spans="1:54" ht="12" x14ac:dyDescent="0.25">
      <c r="A301" s="3"/>
      <c r="B301" s="212"/>
      <c r="C301" s="279" t="str">
        <f t="shared" si="214"/>
        <v>Farmland</v>
      </c>
      <c r="D301" s="279" t="str">
        <f t="shared" si="214"/>
        <v/>
      </c>
      <c r="E301" s="557" t="str">
        <f t="shared" si="189"/>
        <v>.</v>
      </c>
      <c r="F301" s="579"/>
      <c r="G301" s="578"/>
      <c r="H301" s="578"/>
      <c r="I301" s="578"/>
      <c r="J301" s="578"/>
      <c r="K301" s="578"/>
      <c r="L301" s="578"/>
      <c r="M301" s="220"/>
      <c r="N301" s="3"/>
      <c r="O301" s="655">
        <f t="shared" si="188"/>
        <v>0</v>
      </c>
      <c r="P301" s="657">
        <f t="shared" si="188"/>
        <v>0</v>
      </c>
      <c r="Q301" s="3"/>
      <c r="R301" s="212"/>
      <c r="S301" s="699" t="str">
        <f t="shared" si="190"/>
        <v>.</v>
      </c>
      <c r="T301" s="700" t="str">
        <f t="shared" si="191"/>
        <v>.</v>
      </c>
      <c r="U301" s="700" t="str">
        <f t="shared" si="192"/>
        <v>.</v>
      </c>
      <c r="V301" s="700" t="str">
        <f t="shared" si="193"/>
        <v>.</v>
      </c>
      <c r="W301" s="700" t="str">
        <f t="shared" si="194"/>
        <v>.</v>
      </c>
      <c r="X301" s="700" t="str">
        <f t="shared" si="195"/>
        <v>.</v>
      </c>
      <c r="Y301" s="701" t="str">
        <f t="shared" si="196"/>
        <v>.</v>
      </c>
      <c r="Z301" s="3"/>
      <c r="AA301" s="985" t="str">
        <f t="shared" si="210"/>
        <v>.</v>
      </c>
      <c r="AB301" s="702" t="str">
        <f t="shared" si="197"/>
        <v>.</v>
      </c>
      <c r="AC301" s="702" t="str">
        <f t="shared" si="198"/>
        <v>.</v>
      </c>
      <c r="AD301" s="702" t="str">
        <f t="shared" si="199"/>
        <v>.</v>
      </c>
      <c r="AE301" s="702" t="str">
        <f t="shared" si="200"/>
        <v>.</v>
      </c>
      <c r="AF301" s="702" t="str">
        <f t="shared" si="201"/>
        <v>.</v>
      </c>
      <c r="AG301" s="986" t="str">
        <f t="shared" si="202"/>
        <v>.</v>
      </c>
      <c r="AH301" s="3"/>
      <c r="AI301" s="699" t="str">
        <f>IF(S301=".",".",SUM($S301:S301))</f>
        <v>.</v>
      </c>
      <c r="AJ301" s="700" t="str">
        <f>IF(T301=".",".",SUM($S301:T301))</f>
        <v>.</v>
      </c>
      <c r="AK301" s="700" t="str">
        <f>IF(U301=".",".",SUM($S301:U301))</f>
        <v>.</v>
      </c>
      <c r="AL301" s="700" t="str">
        <f>IF(V301=".",".",SUM($S301:V301))</f>
        <v>.</v>
      </c>
      <c r="AM301" s="700" t="str">
        <f>IF(W301=".",".",SUM($S301:W301))</f>
        <v>.</v>
      </c>
      <c r="AN301" s="700" t="str">
        <f>IF(X301=".",".",SUM($S301:X301))</f>
        <v>.</v>
      </c>
      <c r="AO301" s="701" t="str">
        <f>IF(Y301=".",".",SUM($S301:Y301))</f>
        <v>.</v>
      </c>
      <c r="AP301" s="3"/>
      <c r="AQ301" s="985" t="str">
        <f t="shared" si="209"/>
        <v>.</v>
      </c>
      <c r="AR301" s="702" t="str">
        <f t="shared" si="203"/>
        <v>.</v>
      </c>
      <c r="AS301" s="702" t="str">
        <f t="shared" si="204"/>
        <v>.</v>
      </c>
      <c r="AT301" s="702" t="str">
        <f t="shared" si="205"/>
        <v>.</v>
      </c>
      <c r="AU301" s="702" t="str">
        <f t="shared" si="206"/>
        <v>.</v>
      </c>
      <c r="AV301" s="702" t="str">
        <f t="shared" si="207"/>
        <v>.</v>
      </c>
      <c r="AW301" s="986" t="str">
        <f t="shared" si="208"/>
        <v>.</v>
      </c>
      <c r="AX301" s="214"/>
      <c r="AY301" s="3"/>
      <c r="AZ301" s="3"/>
      <c r="BA301" s="3"/>
      <c r="BB301" s="3"/>
    </row>
    <row r="302" spans="1:54" ht="12" x14ac:dyDescent="0.25">
      <c r="A302" s="3"/>
      <c r="B302" s="212"/>
      <c r="C302" s="279" t="str">
        <f t="shared" si="214"/>
        <v>Farmland</v>
      </c>
      <c r="D302" s="279" t="str">
        <f t="shared" si="214"/>
        <v/>
      </c>
      <c r="E302" s="557" t="str">
        <f t="shared" si="189"/>
        <v>.</v>
      </c>
      <c r="F302" s="579"/>
      <c r="G302" s="578"/>
      <c r="H302" s="578"/>
      <c r="I302" s="578"/>
      <c r="J302" s="578"/>
      <c r="K302" s="578"/>
      <c r="L302" s="578"/>
      <c r="M302" s="220"/>
      <c r="N302" s="3"/>
      <c r="O302" s="655">
        <f t="shared" ref="O302:P321" si="216">O177</f>
        <v>0</v>
      </c>
      <c r="P302" s="657">
        <f t="shared" si="216"/>
        <v>0</v>
      </c>
      <c r="Q302" s="3"/>
      <c r="R302" s="212"/>
      <c r="S302" s="699" t="str">
        <f t="shared" si="190"/>
        <v>.</v>
      </c>
      <c r="T302" s="700" t="str">
        <f t="shared" si="191"/>
        <v>.</v>
      </c>
      <c r="U302" s="700" t="str">
        <f t="shared" si="192"/>
        <v>.</v>
      </c>
      <c r="V302" s="700" t="str">
        <f t="shared" si="193"/>
        <v>.</v>
      </c>
      <c r="W302" s="700" t="str">
        <f t="shared" si="194"/>
        <v>.</v>
      </c>
      <c r="X302" s="700" t="str">
        <f t="shared" si="195"/>
        <v>.</v>
      </c>
      <c r="Y302" s="701" t="str">
        <f t="shared" si="196"/>
        <v>.</v>
      </c>
      <c r="Z302" s="3"/>
      <c r="AA302" s="985" t="str">
        <f t="shared" si="210"/>
        <v>.</v>
      </c>
      <c r="AB302" s="702" t="str">
        <f t="shared" si="197"/>
        <v>.</v>
      </c>
      <c r="AC302" s="702" t="str">
        <f t="shared" si="198"/>
        <v>.</v>
      </c>
      <c r="AD302" s="702" t="str">
        <f t="shared" si="199"/>
        <v>.</v>
      </c>
      <c r="AE302" s="702" t="str">
        <f t="shared" si="200"/>
        <v>.</v>
      </c>
      <c r="AF302" s="702" t="str">
        <f t="shared" si="201"/>
        <v>.</v>
      </c>
      <c r="AG302" s="986" t="str">
        <f t="shared" si="202"/>
        <v>.</v>
      </c>
      <c r="AH302" s="3"/>
      <c r="AI302" s="699" t="str">
        <f>IF(S302=".",".",SUM($S302:S302))</f>
        <v>.</v>
      </c>
      <c r="AJ302" s="700" t="str">
        <f>IF(T302=".",".",SUM($S302:T302))</f>
        <v>.</v>
      </c>
      <c r="AK302" s="700" t="str">
        <f>IF(U302=".",".",SUM($S302:U302))</f>
        <v>.</v>
      </c>
      <c r="AL302" s="700" t="str">
        <f>IF(V302=".",".",SUM($S302:V302))</f>
        <v>.</v>
      </c>
      <c r="AM302" s="700" t="str">
        <f>IF(W302=".",".",SUM($S302:W302))</f>
        <v>.</v>
      </c>
      <c r="AN302" s="700" t="str">
        <f>IF(X302=".",".",SUM($S302:X302))</f>
        <v>.</v>
      </c>
      <c r="AO302" s="701" t="str">
        <f>IF(Y302=".",".",SUM($S302:Y302))</f>
        <v>.</v>
      </c>
      <c r="AP302" s="3"/>
      <c r="AQ302" s="985" t="str">
        <f t="shared" si="209"/>
        <v>.</v>
      </c>
      <c r="AR302" s="702" t="str">
        <f t="shared" si="203"/>
        <v>.</v>
      </c>
      <c r="AS302" s="702" t="str">
        <f t="shared" si="204"/>
        <v>.</v>
      </c>
      <c r="AT302" s="702" t="str">
        <f t="shared" si="205"/>
        <v>.</v>
      </c>
      <c r="AU302" s="702" t="str">
        <f t="shared" si="206"/>
        <v>.</v>
      </c>
      <c r="AV302" s="702" t="str">
        <f t="shared" si="207"/>
        <v>.</v>
      </c>
      <c r="AW302" s="986" t="str">
        <f t="shared" si="208"/>
        <v>.</v>
      </c>
      <c r="AX302" s="214"/>
      <c r="AY302" s="3"/>
      <c r="AZ302" s="3"/>
      <c r="BA302" s="3"/>
      <c r="BB302" s="3"/>
    </row>
    <row r="303" spans="1:54" ht="12" x14ac:dyDescent="0.25">
      <c r="A303" s="3"/>
      <c r="B303" s="212"/>
      <c r="C303" s="279" t="str">
        <f t="shared" si="214"/>
        <v>Farmland</v>
      </c>
      <c r="D303" s="279" t="str">
        <f t="shared" si="214"/>
        <v/>
      </c>
      <c r="E303" s="557" t="str">
        <f t="shared" si="189"/>
        <v>.</v>
      </c>
      <c r="F303" s="579"/>
      <c r="G303" s="578"/>
      <c r="H303" s="578"/>
      <c r="I303" s="578"/>
      <c r="J303" s="578"/>
      <c r="K303" s="578"/>
      <c r="L303" s="578"/>
      <c r="M303" s="220"/>
      <c r="N303" s="3"/>
      <c r="O303" s="655">
        <f t="shared" si="216"/>
        <v>0</v>
      </c>
      <c r="P303" s="657">
        <f t="shared" si="216"/>
        <v>0</v>
      </c>
      <c r="Q303" s="3"/>
      <c r="R303" s="212"/>
      <c r="S303" s="699" t="str">
        <f t="shared" si="190"/>
        <v>.</v>
      </c>
      <c r="T303" s="700" t="str">
        <f t="shared" si="191"/>
        <v>.</v>
      </c>
      <c r="U303" s="700" t="str">
        <f t="shared" si="192"/>
        <v>.</v>
      </c>
      <c r="V303" s="700" t="str">
        <f t="shared" si="193"/>
        <v>.</v>
      </c>
      <c r="W303" s="700" t="str">
        <f t="shared" si="194"/>
        <v>.</v>
      </c>
      <c r="X303" s="700" t="str">
        <f t="shared" si="195"/>
        <v>.</v>
      </c>
      <c r="Y303" s="701" t="str">
        <f t="shared" si="196"/>
        <v>.</v>
      </c>
      <c r="Z303" s="3"/>
      <c r="AA303" s="985" t="str">
        <f t="shared" si="210"/>
        <v>.</v>
      </c>
      <c r="AB303" s="702" t="str">
        <f t="shared" si="197"/>
        <v>.</v>
      </c>
      <c r="AC303" s="702" t="str">
        <f t="shared" si="198"/>
        <v>.</v>
      </c>
      <c r="AD303" s="702" t="str">
        <f t="shared" si="199"/>
        <v>.</v>
      </c>
      <c r="AE303" s="702" t="str">
        <f t="shared" si="200"/>
        <v>.</v>
      </c>
      <c r="AF303" s="702" t="str">
        <f t="shared" si="201"/>
        <v>.</v>
      </c>
      <c r="AG303" s="986" t="str">
        <f t="shared" si="202"/>
        <v>.</v>
      </c>
      <c r="AH303" s="3"/>
      <c r="AI303" s="699" t="str">
        <f>IF(S303=".",".",SUM($S303:S303))</f>
        <v>.</v>
      </c>
      <c r="AJ303" s="700" t="str">
        <f>IF(T303=".",".",SUM($S303:T303))</f>
        <v>.</v>
      </c>
      <c r="AK303" s="700" t="str">
        <f>IF(U303=".",".",SUM($S303:U303))</f>
        <v>.</v>
      </c>
      <c r="AL303" s="700" t="str">
        <f>IF(V303=".",".",SUM($S303:V303))</f>
        <v>.</v>
      </c>
      <c r="AM303" s="700" t="str">
        <f>IF(W303=".",".",SUM($S303:W303))</f>
        <v>.</v>
      </c>
      <c r="AN303" s="700" t="str">
        <f>IF(X303=".",".",SUM($S303:X303))</f>
        <v>.</v>
      </c>
      <c r="AO303" s="701" t="str">
        <f>IF(Y303=".",".",SUM($S303:Y303))</f>
        <v>.</v>
      </c>
      <c r="AP303" s="3"/>
      <c r="AQ303" s="985" t="str">
        <f t="shared" si="209"/>
        <v>.</v>
      </c>
      <c r="AR303" s="702" t="str">
        <f t="shared" si="203"/>
        <v>.</v>
      </c>
      <c r="AS303" s="702" t="str">
        <f t="shared" si="204"/>
        <v>.</v>
      </c>
      <c r="AT303" s="702" t="str">
        <f t="shared" si="205"/>
        <v>.</v>
      </c>
      <c r="AU303" s="702" t="str">
        <f t="shared" si="206"/>
        <v>.</v>
      </c>
      <c r="AV303" s="702" t="str">
        <f t="shared" si="207"/>
        <v>.</v>
      </c>
      <c r="AW303" s="986" t="str">
        <f t="shared" si="208"/>
        <v>.</v>
      </c>
      <c r="AX303" s="214"/>
      <c r="AY303" s="3"/>
      <c r="AZ303" s="3"/>
      <c r="BA303" s="3"/>
      <c r="BB303" s="3"/>
    </row>
    <row r="304" spans="1:54" ht="12" x14ac:dyDescent="0.25">
      <c r="A304" s="3"/>
      <c r="B304" s="212"/>
      <c r="C304" s="279" t="str">
        <f t="shared" si="214"/>
        <v>Farmland</v>
      </c>
      <c r="D304" s="279" t="str">
        <f t="shared" si="214"/>
        <v/>
      </c>
      <c r="E304" s="557" t="str">
        <f t="shared" si="189"/>
        <v>.</v>
      </c>
      <c r="F304" s="579"/>
      <c r="G304" s="578"/>
      <c r="H304" s="578"/>
      <c r="I304" s="578"/>
      <c r="J304" s="578"/>
      <c r="K304" s="578"/>
      <c r="L304" s="578"/>
      <c r="M304" s="220"/>
      <c r="N304" s="3"/>
      <c r="O304" s="655">
        <f t="shared" si="216"/>
        <v>0</v>
      </c>
      <c r="P304" s="657">
        <f t="shared" si="216"/>
        <v>0</v>
      </c>
      <c r="Q304" s="3"/>
      <c r="R304" s="212"/>
      <c r="S304" s="699" t="str">
        <f t="shared" si="190"/>
        <v>.</v>
      </c>
      <c r="T304" s="700" t="str">
        <f t="shared" si="191"/>
        <v>.</v>
      </c>
      <c r="U304" s="700" t="str">
        <f t="shared" si="192"/>
        <v>.</v>
      </c>
      <c r="V304" s="700" t="str">
        <f t="shared" si="193"/>
        <v>.</v>
      </c>
      <c r="W304" s="700" t="str">
        <f t="shared" si="194"/>
        <v>.</v>
      </c>
      <c r="X304" s="700" t="str">
        <f t="shared" si="195"/>
        <v>.</v>
      </c>
      <c r="Y304" s="701" t="str">
        <f t="shared" si="196"/>
        <v>.</v>
      </c>
      <c r="Z304" s="3"/>
      <c r="AA304" s="985" t="str">
        <f t="shared" si="210"/>
        <v>.</v>
      </c>
      <c r="AB304" s="702" t="str">
        <f t="shared" si="197"/>
        <v>.</v>
      </c>
      <c r="AC304" s="702" t="str">
        <f t="shared" si="198"/>
        <v>.</v>
      </c>
      <c r="AD304" s="702" t="str">
        <f t="shared" si="199"/>
        <v>.</v>
      </c>
      <c r="AE304" s="702" t="str">
        <f t="shared" si="200"/>
        <v>.</v>
      </c>
      <c r="AF304" s="702" t="str">
        <f t="shared" si="201"/>
        <v>.</v>
      </c>
      <c r="AG304" s="986" t="str">
        <f t="shared" si="202"/>
        <v>.</v>
      </c>
      <c r="AH304" s="3"/>
      <c r="AI304" s="699" t="str">
        <f>IF(S304=".",".",SUM($S304:S304))</f>
        <v>.</v>
      </c>
      <c r="AJ304" s="700" t="str">
        <f>IF(T304=".",".",SUM($S304:T304))</f>
        <v>.</v>
      </c>
      <c r="AK304" s="700" t="str">
        <f>IF(U304=".",".",SUM($S304:U304))</f>
        <v>.</v>
      </c>
      <c r="AL304" s="700" t="str">
        <f>IF(V304=".",".",SUM($S304:V304))</f>
        <v>.</v>
      </c>
      <c r="AM304" s="700" t="str">
        <f>IF(W304=".",".",SUM($S304:W304))</f>
        <v>.</v>
      </c>
      <c r="AN304" s="700" t="str">
        <f>IF(X304=".",".",SUM($S304:X304))</f>
        <v>.</v>
      </c>
      <c r="AO304" s="701" t="str">
        <f>IF(Y304=".",".",SUM($S304:Y304))</f>
        <v>.</v>
      </c>
      <c r="AP304" s="3"/>
      <c r="AQ304" s="985" t="str">
        <f t="shared" si="209"/>
        <v>.</v>
      </c>
      <c r="AR304" s="702" t="str">
        <f t="shared" si="203"/>
        <v>.</v>
      </c>
      <c r="AS304" s="702" t="str">
        <f t="shared" si="204"/>
        <v>.</v>
      </c>
      <c r="AT304" s="702" t="str">
        <f t="shared" si="205"/>
        <v>.</v>
      </c>
      <c r="AU304" s="702" t="str">
        <f t="shared" si="206"/>
        <v>.</v>
      </c>
      <c r="AV304" s="702" t="str">
        <f t="shared" si="207"/>
        <v>.</v>
      </c>
      <c r="AW304" s="986" t="str">
        <f t="shared" si="208"/>
        <v>.</v>
      </c>
      <c r="AX304" s="214"/>
      <c r="AY304" s="3"/>
      <c r="AZ304" s="3"/>
      <c r="BA304" s="3"/>
      <c r="BB304" s="3"/>
    </row>
    <row r="305" spans="1:54" ht="12" x14ac:dyDescent="0.25">
      <c r="A305" s="3"/>
      <c r="B305" s="212"/>
      <c r="C305" s="279" t="str">
        <f t="shared" si="214"/>
        <v>Farmland</v>
      </c>
      <c r="D305" s="279" t="str">
        <f t="shared" si="214"/>
        <v/>
      </c>
      <c r="E305" s="557" t="str">
        <f t="shared" si="189"/>
        <v>.</v>
      </c>
      <c r="F305" s="579"/>
      <c r="G305" s="578"/>
      <c r="H305" s="578"/>
      <c r="I305" s="578"/>
      <c r="J305" s="578"/>
      <c r="K305" s="578"/>
      <c r="L305" s="578"/>
      <c r="M305" s="220"/>
      <c r="N305" s="3"/>
      <c r="O305" s="655">
        <f t="shared" si="216"/>
        <v>0</v>
      </c>
      <c r="P305" s="657">
        <f t="shared" si="216"/>
        <v>0</v>
      </c>
      <c r="Q305" s="3"/>
      <c r="R305" s="212"/>
      <c r="S305" s="699" t="str">
        <f t="shared" si="190"/>
        <v>.</v>
      </c>
      <c r="T305" s="700" t="str">
        <f t="shared" si="191"/>
        <v>.</v>
      </c>
      <c r="U305" s="700" t="str">
        <f t="shared" si="192"/>
        <v>.</v>
      </c>
      <c r="V305" s="700" t="str">
        <f t="shared" si="193"/>
        <v>.</v>
      </c>
      <c r="W305" s="700" t="str">
        <f t="shared" si="194"/>
        <v>.</v>
      </c>
      <c r="X305" s="700" t="str">
        <f t="shared" si="195"/>
        <v>.</v>
      </c>
      <c r="Y305" s="701" t="str">
        <f t="shared" si="196"/>
        <v>.</v>
      </c>
      <c r="Z305" s="3"/>
      <c r="AA305" s="985" t="str">
        <f t="shared" si="210"/>
        <v>.</v>
      </c>
      <c r="AB305" s="702" t="str">
        <f t="shared" si="197"/>
        <v>.</v>
      </c>
      <c r="AC305" s="702" t="str">
        <f t="shared" si="198"/>
        <v>.</v>
      </c>
      <c r="AD305" s="702" t="str">
        <f t="shared" si="199"/>
        <v>.</v>
      </c>
      <c r="AE305" s="702" t="str">
        <f t="shared" si="200"/>
        <v>.</v>
      </c>
      <c r="AF305" s="702" t="str">
        <f t="shared" si="201"/>
        <v>.</v>
      </c>
      <c r="AG305" s="986" t="str">
        <f t="shared" si="202"/>
        <v>.</v>
      </c>
      <c r="AH305" s="3"/>
      <c r="AI305" s="699" t="str">
        <f>IF(S305=".",".",SUM($S305:S305))</f>
        <v>.</v>
      </c>
      <c r="AJ305" s="700" t="str">
        <f>IF(T305=".",".",SUM($S305:T305))</f>
        <v>.</v>
      </c>
      <c r="AK305" s="700" t="str">
        <f>IF(U305=".",".",SUM($S305:U305))</f>
        <v>.</v>
      </c>
      <c r="AL305" s="700" t="str">
        <f>IF(V305=".",".",SUM($S305:V305))</f>
        <v>.</v>
      </c>
      <c r="AM305" s="700" t="str">
        <f>IF(W305=".",".",SUM($S305:W305))</f>
        <v>.</v>
      </c>
      <c r="AN305" s="700" t="str">
        <f>IF(X305=".",".",SUM($S305:X305))</f>
        <v>.</v>
      </c>
      <c r="AO305" s="701" t="str">
        <f>IF(Y305=".",".",SUM($S305:Y305))</f>
        <v>.</v>
      </c>
      <c r="AP305" s="3"/>
      <c r="AQ305" s="985" t="str">
        <f t="shared" si="209"/>
        <v>.</v>
      </c>
      <c r="AR305" s="702" t="str">
        <f t="shared" si="203"/>
        <v>.</v>
      </c>
      <c r="AS305" s="702" t="str">
        <f t="shared" si="204"/>
        <v>.</v>
      </c>
      <c r="AT305" s="702" t="str">
        <f t="shared" si="205"/>
        <v>.</v>
      </c>
      <c r="AU305" s="702" t="str">
        <f t="shared" si="206"/>
        <v>.</v>
      </c>
      <c r="AV305" s="702" t="str">
        <f t="shared" si="207"/>
        <v>.</v>
      </c>
      <c r="AW305" s="986" t="str">
        <f t="shared" si="208"/>
        <v>.</v>
      </c>
      <c r="AX305" s="214"/>
      <c r="AY305" s="3"/>
      <c r="AZ305" s="3"/>
      <c r="BA305" s="3"/>
      <c r="BB305" s="3"/>
    </row>
    <row r="306" spans="1:54" ht="12" x14ac:dyDescent="0.25">
      <c r="A306" s="3"/>
      <c r="B306" s="212"/>
      <c r="C306" s="279" t="str">
        <f t="shared" si="214"/>
        <v>Farmland</v>
      </c>
      <c r="D306" s="279" t="str">
        <f t="shared" si="214"/>
        <v/>
      </c>
      <c r="E306" s="557" t="str">
        <f t="shared" si="189"/>
        <v>.</v>
      </c>
      <c r="F306" s="579"/>
      <c r="G306" s="578"/>
      <c r="H306" s="578"/>
      <c r="I306" s="578"/>
      <c r="J306" s="578"/>
      <c r="K306" s="578"/>
      <c r="L306" s="578"/>
      <c r="M306" s="220"/>
      <c r="N306" s="3"/>
      <c r="O306" s="655">
        <f t="shared" si="216"/>
        <v>0</v>
      </c>
      <c r="P306" s="657">
        <f t="shared" si="216"/>
        <v>0</v>
      </c>
      <c r="Q306" s="3"/>
      <c r="R306" s="212"/>
      <c r="S306" s="699" t="str">
        <f t="shared" si="190"/>
        <v>.</v>
      </c>
      <c r="T306" s="700" t="str">
        <f t="shared" si="191"/>
        <v>.</v>
      </c>
      <c r="U306" s="700" t="str">
        <f t="shared" si="192"/>
        <v>.</v>
      </c>
      <c r="V306" s="700" t="str">
        <f t="shared" si="193"/>
        <v>.</v>
      </c>
      <c r="W306" s="700" t="str">
        <f t="shared" si="194"/>
        <v>.</v>
      </c>
      <c r="X306" s="700" t="str">
        <f t="shared" si="195"/>
        <v>.</v>
      </c>
      <c r="Y306" s="701" t="str">
        <f t="shared" si="196"/>
        <v>.</v>
      </c>
      <c r="Z306" s="3"/>
      <c r="AA306" s="985" t="str">
        <f t="shared" si="210"/>
        <v>.</v>
      </c>
      <c r="AB306" s="702" t="str">
        <f t="shared" si="197"/>
        <v>.</v>
      </c>
      <c r="AC306" s="702" t="str">
        <f t="shared" si="198"/>
        <v>.</v>
      </c>
      <c r="AD306" s="702" t="str">
        <f t="shared" si="199"/>
        <v>.</v>
      </c>
      <c r="AE306" s="702" t="str">
        <f t="shared" si="200"/>
        <v>.</v>
      </c>
      <c r="AF306" s="702" t="str">
        <f t="shared" si="201"/>
        <v>.</v>
      </c>
      <c r="AG306" s="986" t="str">
        <f t="shared" si="202"/>
        <v>.</v>
      </c>
      <c r="AH306" s="3"/>
      <c r="AI306" s="699" t="str">
        <f>IF(S306=".",".",SUM($S306:S306))</f>
        <v>.</v>
      </c>
      <c r="AJ306" s="700" t="str">
        <f>IF(T306=".",".",SUM($S306:T306))</f>
        <v>.</v>
      </c>
      <c r="AK306" s="700" t="str">
        <f>IF(U306=".",".",SUM($S306:U306))</f>
        <v>.</v>
      </c>
      <c r="AL306" s="700" t="str">
        <f>IF(V306=".",".",SUM($S306:V306))</f>
        <v>.</v>
      </c>
      <c r="AM306" s="700" t="str">
        <f>IF(W306=".",".",SUM($S306:W306))</f>
        <v>.</v>
      </c>
      <c r="AN306" s="700" t="str">
        <f>IF(X306=".",".",SUM($S306:X306))</f>
        <v>.</v>
      </c>
      <c r="AO306" s="701" t="str">
        <f>IF(Y306=".",".",SUM($S306:Y306))</f>
        <v>.</v>
      </c>
      <c r="AP306" s="3"/>
      <c r="AQ306" s="985" t="str">
        <f t="shared" si="209"/>
        <v>.</v>
      </c>
      <c r="AR306" s="702" t="str">
        <f t="shared" si="203"/>
        <v>.</v>
      </c>
      <c r="AS306" s="702" t="str">
        <f t="shared" si="204"/>
        <v>.</v>
      </c>
      <c r="AT306" s="702" t="str">
        <f t="shared" si="205"/>
        <v>.</v>
      </c>
      <c r="AU306" s="702" t="str">
        <f t="shared" si="206"/>
        <v>.</v>
      </c>
      <c r="AV306" s="702" t="str">
        <f t="shared" si="207"/>
        <v>.</v>
      </c>
      <c r="AW306" s="986" t="str">
        <f t="shared" si="208"/>
        <v>.</v>
      </c>
      <c r="AX306" s="214"/>
      <c r="AY306" s="3"/>
      <c r="AZ306" s="3"/>
      <c r="BA306" s="3"/>
      <c r="BB306" s="3"/>
    </row>
    <row r="307" spans="1:54" ht="12" x14ac:dyDescent="0.25">
      <c r="A307" s="3"/>
      <c r="B307" s="212"/>
      <c r="C307" s="279" t="str">
        <f t="shared" si="214"/>
        <v>Farmland</v>
      </c>
      <c r="D307" s="279" t="str">
        <f t="shared" si="214"/>
        <v/>
      </c>
      <c r="E307" s="557" t="str">
        <f t="shared" si="189"/>
        <v>.</v>
      </c>
      <c r="F307" s="579"/>
      <c r="G307" s="578"/>
      <c r="H307" s="578"/>
      <c r="I307" s="578"/>
      <c r="J307" s="578"/>
      <c r="K307" s="578"/>
      <c r="L307" s="578"/>
      <c r="M307" s="220"/>
      <c r="N307" s="3"/>
      <c r="O307" s="655">
        <f t="shared" si="216"/>
        <v>0</v>
      </c>
      <c r="P307" s="657">
        <f t="shared" si="216"/>
        <v>0</v>
      </c>
      <c r="Q307" s="3"/>
      <c r="R307" s="212"/>
      <c r="S307" s="699" t="str">
        <f t="shared" si="190"/>
        <v>.</v>
      </c>
      <c r="T307" s="700" t="str">
        <f t="shared" si="191"/>
        <v>.</v>
      </c>
      <c r="U307" s="700" t="str">
        <f t="shared" si="192"/>
        <v>.</v>
      </c>
      <c r="V307" s="700" t="str">
        <f t="shared" si="193"/>
        <v>.</v>
      </c>
      <c r="W307" s="700" t="str">
        <f t="shared" si="194"/>
        <v>.</v>
      </c>
      <c r="X307" s="700" t="str">
        <f t="shared" si="195"/>
        <v>.</v>
      </c>
      <c r="Y307" s="701" t="str">
        <f t="shared" si="196"/>
        <v>.</v>
      </c>
      <c r="Z307" s="3"/>
      <c r="AA307" s="985" t="str">
        <f t="shared" si="210"/>
        <v>.</v>
      </c>
      <c r="AB307" s="702" t="str">
        <f t="shared" si="197"/>
        <v>.</v>
      </c>
      <c r="AC307" s="702" t="str">
        <f t="shared" si="198"/>
        <v>.</v>
      </c>
      <c r="AD307" s="702" t="str">
        <f t="shared" si="199"/>
        <v>.</v>
      </c>
      <c r="AE307" s="702" t="str">
        <f t="shared" si="200"/>
        <v>.</v>
      </c>
      <c r="AF307" s="702" t="str">
        <f t="shared" si="201"/>
        <v>.</v>
      </c>
      <c r="AG307" s="986" t="str">
        <f t="shared" si="202"/>
        <v>.</v>
      </c>
      <c r="AH307" s="3"/>
      <c r="AI307" s="699" t="str">
        <f>IF(S307=".",".",SUM($S307:S307))</f>
        <v>.</v>
      </c>
      <c r="AJ307" s="700" t="str">
        <f>IF(T307=".",".",SUM($S307:T307))</f>
        <v>.</v>
      </c>
      <c r="AK307" s="700" t="str">
        <f>IF(U307=".",".",SUM($S307:U307))</f>
        <v>.</v>
      </c>
      <c r="AL307" s="700" t="str">
        <f>IF(V307=".",".",SUM($S307:V307))</f>
        <v>.</v>
      </c>
      <c r="AM307" s="700" t="str">
        <f>IF(W307=".",".",SUM($S307:W307))</f>
        <v>.</v>
      </c>
      <c r="AN307" s="700" t="str">
        <f>IF(X307=".",".",SUM($S307:X307))</f>
        <v>.</v>
      </c>
      <c r="AO307" s="701" t="str">
        <f>IF(Y307=".",".",SUM($S307:Y307))</f>
        <v>.</v>
      </c>
      <c r="AP307" s="3"/>
      <c r="AQ307" s="985" t="str">
        <f t="shared" si="209"/>
        <v>.</v>
      </c>
      <c r="AR307" s="702" t="str">
        <f t="shared" si="203"/>
        <v>.</v>
      </c>
      <c r="AS307" s="702" t="str">
        <f t="shared" si="204"/>
        <v>.</v>
      </c>
      <c r="AT307" s="702" t="str">
        <f t="shared" si="205"/>
        <v>.</v>
      </c>
      <c r="AU307" s="702" t="str">
        <f t="shared" si="206"/>
        <v>.</v>
      </c>
      <c r="AV307" s="702" t="str">
        <f t="shared" si="207"/>
        <v>.</v>
      </c>
      <c r="AW307" s="986" t="str">
        <f t="shared" si="208"/>
        <v>.</v>
      </c>
      <c r="AX307" s="214"/>
      <c r="AY307" s="3"/>
      <c r="AZ307" s="3"/>
      <c r="BA307" s="3"/>
      <c r="BB307" s="3"/>
    </row>
    <row r="308" spans="1:54" ht="12" x14ac:dyDescent="0.25">
      <c r="A308" s="3"/>
      <c r="B308" s="212"/>
      <c r="C308" s="279" t="str">
        <f t="shared" si="214"/>
        <v>Farmland</v>
      </c>
      <c r="D308" s="279" t="str">
        <f t="shared" si="214"/>
        <v/>
      </c>
      <c r="E308" s="557" t="str">
        <f t="shared" si="189"/>
        <v>.</v>
      </c>
      <c r="F308" s="579"/>
      <c r="G308" s="1266"/>
      <c r="H308" s="1266"/>
      <c r="I308" s="578"/>
      <c r="J308" s="578"/>
      <c r="K308" s="578"/>
      <c r="L308" s="578"/>
      <c r="M308" s="220"/>
      <c r="N308" s="3"/>
      <c r="O308" s="655">
        <f t="shared" si="216"/>
        <v>0</v>
      </c>
      <c r="P308" s="657">
        <f t="shared" si="216"/>
        <v>0</v>
      </c>
      <c r="Q308" s="3"/>
      <c r="R308" s="212"/>
      <c r="S308" s="699" t="str">
        <f t="shared" si="190"/>
        <v>.</v>
      </c>
      <c r="T308" s="700" t="str">
        <f t="shared" si="191"/>
        <v>.</v>
      </c>
      <c r="U308" s="700" t="str">
        <f t="shared" si="192"/>
        <v>.</v>
      </c>
      <c r="V308" s="700" t="str">
        <f t="shared" si="193"/>
        <v>.</v>
      </c>
      <c r="W308" s="700" t="str">
        <f t="shared" si="194"/>
        <v>.</v>
      </c>
      <c r="X308" s="700" t="str">
        <f t="shared" si="195"/>
        <v>.</v>
      </c>
      <c r="Y308" s="701" t="str">
        <f t="shared" si="196"/>
        <v>.</v>
      </c>
      <c r="Z308" s="3"/>
      <c r="AA308" s="985" t="str">
        <f t="shared" si="210"/>
        <v>.</v>
      </c>
      <c r="AB308" s="702" t="str">
        <f t="shared" si="197"/>
        <v>.</v>
      </c>
      <c r="AC308" s="702" t="str">
        <f t="shared" si="198"/>
        <v>.</v>
      </c>
      <c r="AD308" s="702" t="str">
        <f t="shared" si="199"/>
        <v>.</v>
      </c>
      <c r="AE308" s="702" t="str">
        <f t="shared" si="200"/>
        <v>.</v>
      </c>
      <c r="AF308" s="702" t="str">
        <f t="shared" si="201"/>
        <v>.</v>
      </c>
      <c r="AG308" s="986" t="str">
        <f t="shared" si="202"/>
        <v>.</v>
      </c>
      <c r="AH308" s="3"/>
      <c r="AI308" s="699" t="str">
        <f>IF(S308=".",".",SUM($S308:S308))</f>
        <v>.</v>
      </c>
      <c r="AJ308" s="700" t="str">
        <f>IF(T308=".",".",SUM($S308:T308))</f>
        <v>.</v>
      </c>
      <c r="AK308" s="700" t="str">
        <f>IF(U308=".",".",SUM($S308:U308))</f>
        <v>.</v>
      </c>
      <c r="AL308" s="700" t="str">
        <f>IF(V308=".",".",SUM($S308:V308))</f>
        <v>.</v>
      </c>
      <c r="AM308" s="700" t="str">
        <f>IF(W308=".",".",SUM($S308:W308))</f>
        <v>.</v>
      </c>
      <c r="AN308" s="700" t="str">
        <f>IF(X308=".",".",SUM($S308:X308))</f>
        <v>.</v>
      </c>
      <c r="AO308" s="701" t="str">
        <f>IF(Y308=".",".",SUM($S308:Y308))</f>
        <v>.</v>
      </c>
      <c r="AP308" s="3"/>
      <c r="AQ308" s="985" t="str">
        <f t="shared" si="209"/>
        <v>.</v>
      </c>
      <c r="AR308" s="702" t="str">
        <f t="shared" si="203"/>
        <v>.</v>
      </c>
      <c r="AS308" s="702" t="str">
        <f t="shared" si="204"/>
        <v>.</v>
      </c>
      <c r="AT308" s="702" t="str">
        <f t="shared" si="205"/>
        <v>.</v>
      </c>
      <c r="AU308" s="702" t="str">
        <f t="shared" si="206"/>
        <v>.</v>
      </c>
      <c r="AV308" s="702" t="str">
        <f t="shared" si="207"/>
        <v>.</v>
      </c>
      <c r="AW308" s="986" t="str">
        <f t="shared" si="208"/>
        <v>.</v>
      </c>
      <c r="AX308" s="214"/>
      <c r="AY308" s="3"/>
      <c r="AZ308" s="3"/>
      <c r="BA308" s="3"/>
      <c r="BB308" s="3"/>
    </row>
    <row r="309" spans="1:54" ht="12" x14ac:dyDescent="0.25">
      <c r="A309" s="3"/>
      <c r="B309" s="212"/>
      <c r="C309" s="279" t="str">
        <f t="shared" si="214"/>
        <v>Farmland</v>
      </c>
      <c r="D309" s="279" t="str">
        <f t="shared" si="214"/>
        <v/>
      </c>
      <c r="E309" s="557" t="str">
        <f t="shared" si="189"/>
        <v>.</v>
      </c>
      <c r="F309" s="579"/>
      <c r="G309" s="1266"/>
      <c r="H309" s="1266"/>
      <c r="I309" s="578"/>
      <c r="J309" s="578"/>
      <c r="K309" s="578"/>
      <c r="L309" s="578"/>
      <c r="M309" s="220"/>
      <c r="N309" s="3"/>
      <c r="O309" s="655">
        <f t="shared" si="216"/>
        <v>0</v>
      </c>
      <c r="P309" s="657">
        <f t="shared" si="216"/>
        <v>0</v>
      </c>
      <c r="Q309" s="3"/>
      <c r="R309" s="212"/>
      <c r="S309" s="699" t="str">
        <f t="shared" si="190"/>
        <v>.</v>
      </c>
      <c r="T309" s="700" t="str">
        <f t="shared" si="191"/>
        <v>.</v>
      </c>
      <c r="U309" s="700" t="str">
        <f t="shared" si="192"/>
        <v>.</v>
      </c>
      <c r="V309" s="700" t="str">
        <f t="shared" si="193"/>
        <v>.</v>
      </c>
      <c r="W309" s="700" t="str">
        <f t="shared" si="194"/>
        <v>.</v>
      </c>
      <c r="X309" s="700" t="str">
        <f t="shared" si="195"/>
        <v>.</v>
      </c>
      <c r="Y309" s="701" t="str">
        <f t="shared" si="196"/>
        <v>.</v>
      </c>
      <c r="Z309" s="3"/>
      <c r="AA309" s="985" t="str">
        <f t="shared" si="210"/>
        <v>.</v>
      </c>
      <c r="AB309" s="702" t="str">
        <f t="shared" si="197"/>
        <v>.</v>
      </c>
      <c r="AC309" s="702" t="str">
        <f t="shared" si="198"/>
        <v>.</v>
      </c>
      <c r="AD309" s="702" t="str">
        <f t="shared" si="199"/>
        <v>.</v>
      </c>
      <c r="AE309" s="702" t="str">
        <f t="shared" si="200"/>
        <v>.</v>
      </c>
      <c r="AF309" s="702" t="str">
        <f t="shared" si="201"/>
        <v>.</v>
      </c>
      <c r="AG309" s="986" t="str">
        <f t="shared" si="202"/>
        <v>.</v>
      </c>
      <c r="AH309" s="3"/>
      <c r="AI309" s="699" t="str">
        <f>IF(S309=".",".",SUM($S309:S309))</f>
        <v>.</v>
      </c>
      <c r="AJ309" s="700" t="str">
        <f>IF(T309=".",".",SUM($S309:T309))</f>
        <v>.</v>
      </c>
      <c r="AK309" s="700" t="str">
        <f>IF(U309=".",".",SUM($S309:U309))</f>
        <v>.</v>
      </c>
      <c r="AL309" s="700" t="str">
        <f>IF(V309=".",".",SUM($S309:V309))</f>
        <v>.</v>
      </c>
      <c r="AM309" s="700" t="str">
        <f>IF(W309=".",".",SUM($S309:W309))</f>
        <v>.</v>
      </c>
      <c r="AN309" s="700" t="str">
        <f>IF(X309=".",".",SUM($S309:X309))</f>
        <v>.</v>
      </c>
      <c r="AO309" s="701" t="str">
        <f>IF(Y309=".",".",SUM($S309:Y309))</f>
        <v>.</v>
      </c>
      <c r="AP309" s="3"/>
      <c r="AQ309" s="985" t="str">
        <f t="shared" si="209"/>
        <v>.</v>
      </c>
      <c r="AR309" s="702" t="str">
        <f t="shared" si="203"/>
        <v>.</v>
      </c>
      <c r="AS309" s="702" t="str">
        <f t="shared" si="204"/>
        <v>.</v>
      </c>
      <c r="AT309" s="702" t="str">
        <f t="shared" si="205"/>
        <v>.</v>
      </c>
      <c r="AU309" s="702" t="str">
        <f t="shared" si="206"/>
        <v>.</v>
      </c>
      <c r="AV309" s="702" t="str">
        <f t="shared" si="207"/>
        <v>.</v>
      </c>
      <c r="AW309" s="986" t="str">
        <f t="shared" si="208"/>
        <v>.</v>
      </c>
      <c r="AX309" s="214"/>
      <c r="AY309" s="3"/>
      <c r="AZ309" s="3"/>
      <c r="BA309" s="3"/>
      <c r="BB309" s="3"/>
    </row>
    <row r="310" spans="1:54" ht="12" x14ac:dyDescent="0.25">
      <c r="A310" s="3"/>
      <c r="B310" s="212"/>
      <c r="C310" s="279" t="str">
        <f t="shared" si="214"/>
        <v>Special rate</v>
      </c>
      <c r="D310" s="279" t="str">
        <f t="shared" si="214"/>
        <v>Cachments - Farmland</v>
      </c>
      <c r="E310" s="557">
        <f t="shared" si="189"/>
        <v>101.60165247603835</v>
      </c>
      <c r="F310" s="579">
        <f>+E310*1.037</f>
        <v>105.36091361765176</v>
      </c>
      <c r="G310" s="1266">
        <f>+F310*1.025</f>
        <v>107.99493645809305</v>
      </c>
      <c r="H310" s="1266">
        <f>+G310*1.025</f>
        <v>110.69480986954537</v>
      </c>
      <c r="I310" s="578">
        <f>+H310*1.025</f>
        <v>113.46218011628399</v>
      </c>
      <c r="J310" s="578">
        <f t="shared" ref="J310:L310" si="217">+I310*1.025</f>
        <v>116.29873461919108</v>
      </c>
      <c r="K310" s="578">
        <f t="shared" si="217"/>
        <v>119.20620298467085</v>
      </c>
      <c r="L310" s="578">
        <f t="shared" si="217"/>
        <v>122.18635805928761</v>
      </c>
      <c r="M310" s="220"/>
      <c r="N310" s="3"/>
      <c r="O310" s="655">
        <f t="shared" si="216"/>
        <v>313</v>
      </c>
      <c r="P310" s="657">
        <f t="shared" si="216"/>
        <v>313</v>
      </c>
      <c r="Q310" s="3"/>
      <c r="R310" s="212"/>
      <c r="S310" s="699">
        <f t="shared" si="190"/>
        <v>3.7592611416134076</v>
      </c>
      <c r="T310" s="700">
        <f t="shared" si="191"/>
        <v>2.6340228404412898</v>
      </c>
      <c r="U310" s="700">
        <f t="shared" si="192"/>
        <v>2.699873411452316</v>
      </c>
      <c r="V310" s="700">
        <f t="shared" si="193"/>
        <v>2.7673702467386221</v>
      </c>
      <c r="W310" s="700">
        <f t="shared" si="194"/>
        <v>2.8365545029070915</v>
      </c>
      <c r="X310" s="700">
        <f t="shared" si="195"/>
        <v>2.9074683654797724</v>
      </c>
      <c r="Y310" s="701">
        <f t="shared" si="196"/>
        <v>2.9801550746167607</v>
      </c>
      <c r="Z310" s="3"/>
      <c r="AA310" s="985">
        <f t="shared" si="210"/>
        <v>3.6999999999999922E-2</v>
      </c>
      <c r="AB310" s="702">
        <f t="shared" si="197"/>
        <v>2.4999999999999911E-2</v>
      </c>
      <c r="AC310" s="702">
        <f t="shared" si="198"/>
        <v>2.4999999999999911E-2</v>
      </c>
      <c r="AD310" s="702">
        <f t="shared" si="199"/>
        <v>2.4999999999999911E-2</v>
      </c>
      <c r="AE310" s="702">
        <f t="shared" si="200"/>
        <v>2.4999999999999911E-2</v>
      </c>
      <c r="AF310" s="702">
        <f t="shared" si="201"/>
        <v>2.4999999999999911E-2</v>
      </c>
      <c r="AG310" s="986">
        <f t="shared" si="202"/>
        <v>2.4999999999999911E-2</v>
      </c>
      <c r="AH310" s="3"/>
      <c r="AI310" s="699">
        <f>IF(S310=".",".",SUM($S310:S310))</f>
        <v>3.7592611416134076</v>
      </c>
      <c r="AJ310" s="700">
        <f>IF(T310=".",".",SUM($S310:T310))</f>
        <v>6.3932839820546974</v>
      </c>
      <c r="AK310" s="700">
        <f>IF(U310=".",".",SUM($S310:U310))</f>
        <v>9.0931573935070134</v>
      </c>
      <c r="AL310" s="700">
        <f>IF(V310=".",".",SUM($S310:V310))</f>
        <v>11.860527640245635</v>
      </c>
      <c r="AM310" s="700">
        <f>IF(W310=".",".",SUM($S310:W310))</f>
        <v>14.697082143152727</v>
      </c>
      <c r="AN310" s="700">
        <f>IF(X310=".",".",SUM($S310:X310))</f>
        <v>17.604550508632499</v>
      </c>
      <c r="AO310" s="701">
        <f>IF(Y310=".",".",SUM($S310:Y310))</f>
        <v>20.58470558324926</v>
      </c>
      <c r="AP310" s="3"/>
      <c r="AQ310" s="985">
        <f t="shared" si="209"/>
        <v>3.6999999999999922E-2</v>
      </c>
      <c r="AR310" s="702">
        <f t="shared" si="203"/>
        <v>6.2924999999999898E-2</v>
      </c>
      <c r="AS310" s="702">
        <f t="shared" si="204"/>
        <v>8.9498124999999762E-2</v>
      </c>
      <c r="AT310" s="702">
        <f t="shared" si="205"/>
        <v>0.11673557812499968</v>
      </c>
      <c r="AU310" s="702">
        <f t="shared" si="206"/>
        <v>0.14465396757812443</v>
      </c>
      <c r="AV310" s="702">
        <f t="shared" si="207"/>
        <v>0.17327031676757754</v>
      </c>
      <c r="AW310" s="986">
        <f t="shared" si="208"/>
        <v>0.20260207468676694</v>
      </c>
      <c r="AX310" s="214"/>
      <c r="AY310" s="3"/>
      <c r="AZ310" s="3"/>
      <c r="BA310" s="3"/>
      <c r="BB310" s="3"/>
    </row>
    <row r="311" spans="1:54" ht="12" x14ac:dyDescent="0.25">
      <c r="A311" s="3"/>
      <c r="B311" s="212"/>
      <c r="C311" s="279" t="str">
        <f t="shared" si="214"/>
        <v>Special rate</v>
      </c>
      <c r="D311" s="279" t="str">
        <f t="shared" si="214"/>
        <v/>
      </c>
      <c r="E311" s="557" t="str">
        <f t="shared" si="189"/>
        <v>.</v>
      </c>
      <c r="F311" s="579"/>
      <c r="G311" s="1266"/>
      <c r="H311" s="1266"/>
      <c r="I311" s="578"/>
      <c r="J311" s="578"/>
      <c r="K311" s="578"/>
      <c r="L311" s="578"/>
      <c r="M311" s="220"/>
      <c r="N311" s="3"/>
      <c r="O311" s="655">
        <f t="shared" si="216"/>
        <v>0</v>
      </c>
      <c r="P311" s="657">
        <f t="shared" si="216"/>
        <v>0</v>
      </c>
      <c r="Q311" s="3"/>
      <c r="R311" s="212"/>
      <c r="S311" s="699" t="str">
        <f t="shared" si="190"/>
        <v>.</v>
      </c>
      <c r="T311" s="700" t="str">
        <f t="shared" si="191"/>
        <v>.</v>
      </c>
      <c r="U311" s="700" t="str">
        <f t="shared" si="192"/>
        <v>.</v>
      </c>
      <c r="V311" s="700" t="str">
        <f t="shared" si="193"/>
        <v>.</v>
      </c>
      <c r="W311" s="700" t="str">
        <f t="shared" si="194"/>
        <v>.</v>
      </c>
      <c r="X311" s="700" t="str">
        <f t="shared" si="195"/>
        <v>.</v>
      </c>
      <c r="Y311" s="701" t="str">
        <f t="shared" si="196"/>
        <v>.</v>
      </c>
      <c r="Z311" s="3"/>
      <c r="AA311" s="985" t="str">
        <f t="shared" si="210"/>
        <v>.</v>
      </c>
      <c r="AB311" s="702" t="str">
        <f t="shared" si="197"/>
        <v>.</v>
      </c>
      <c r="AC311" s="702" t="str">
        <f t="shared" si="198"/>
        <v>.</v>
      </c>
      <c r="AD311" s="702" t="str">
        <f t="shared" si="199"/>
        <v>.</v>
      </c>
      <c r="AE311" s="702" t="str">
        <f t="shared" si="200"/>
        <v>.</v>
      </c>
      <c r="AF311" s="702" t="str">
        <f t="shared" si="201"/>
        <v>.</v>
      </c>
      <c r="AG311" s="986" t="str">
        <f t="shared" si="202"/>
        <v>.</v>
      </c>
      <c r="AH311" s="3"/>
      <c r="AI311" s="699" t="str">
        <f>IF(S311=".",".",SUM($S311:S311))</f>
        <v>.</v>
      </c>
      <c r="AJ311" s="700" t="str">
        <f>IF(T311=".",".",SUM($S311:T311))</f>
        <v>.</v>
      </c>
      <c r="AK311" s="700" t="str">
        <f>IF(U311=".",".",SUM($S311:U311))</f>
        <v>.</v>
      </c>
      <c r="AL311" s="700" t="str">
        <f>IF(V311=".",".",SUM($S311:V311))</f>
        <v>.</v>
      </c>
      <c r="AM311" s="700" t="str">
        <f>IF(W311=".",".",SUM($S311:W311))</f>
        <v>.</v>
      </c>
      <c r="AN311" s="700" t="str">
        <f>IF(X311=".",".",SUM($S311:X311))</f>
        <v>.</v>
      </c>
      <c r="AO311" s="701" t="str">
        <f>IF(Y311=".",".",SUM($S311:Y311))</f>
        <v>.</v>
      </c>
      <c r="AP311" s="3"/>
      <c r="AQ311" s="985" t="str">
        <f t="shared" si="209"/>
        <v>.</v>
      </c>
      <c r="AR311" s="702" t="str">
        <f t="shared" si="203"/>
        <v>.</v>
      </c>
      <c r="AS311" s="702" t="str">
        <f t="shared" si="204"/>
        <v>.</v>
      </c>
      <c r="AT311" s="702" t="str">
        <f t="shared" si="205"/>
        <v>.</v>
      </c>
      <c r="AU311" s="702" t="str">
        <f t="shared" si="206"/>
        <v>.</v>
      </c>
      <c r="AV311" s="702" t="str">
        <f t="shared" si="207"/>
        <v>.</v>
      </c>
      <c r="AW311" s="986" t="str">
        <f t="shared" si="208"/>
        <v>.</v>
      </c>
      <c r="AX311" s="214"/>
      <c r="AY311" s="3"/>
      <c r="AZ311" s="3"/>
      <c r="BA311" s="3"/>
      <c r="BB311" s="3"/>
    </row>
    <row r="312" spans="1:54" ht="12" x14ac:dyDescent="0.25">
      <c r="A312" s="3"/>
      <c r="B312" s="212"/>
      <c r="C312" s="279" t="str">
        <f t="shared" si="214"/>
        <v>Special rate</v>
      </c>
      <c r="D312" s="279" t="str">
        <f t="shared" si="214"/>
        <v/>
      </c>
      <c r="E312" s="557" t="str">
        <f t="shared" si="189"/>
        <v>.</v>
      </c>
      <c r="F312" s="579"/>
      <c r="G312" s="578"/>
      <c r="H312" s="1266"/>
      <c r="I312" s="578"/>
      <c r="J312" s="578"/>
      <c r="K312" s="578"/>
      <c r="L312" s="578"/>
      <c r="M312" s="220"/>
      <c r="N312" s="3"/>
      <c r="O312" s="655">
        <f t="shared" si="216"/>
        <v>0</v>
      </c>
      <c r="P312" s="657">
        <f t="shared" si="216"/>
        <v>0</v>
      </c>
      <c r="Q312" s="3"/>
      <c r="R312" s="212"/>
      <c r="S312" s="699" t="str">
        <f t="shared" si="190"/>
        <v>.</v>
      </c>
      <c r="T312" s="700" t="str">
        <f t="shared" si="191"/>
        <v>.</v>
      </c>
      <c r="U312" s="700" t="str">
        <f t="shared" si="192"/>
        <v>.</v>
      </c>
      <c r="V312" s="700" t="str">
        <f t="shared" si="193"/>
        <v>.</v>
      </c>
      <c r="W312" s="700" t="str">
        <f t="shared" si="194"/>
        <v>.</v>
      </c>
      <c r="X312" s="700" t="str">
        <f t="shared" si="195"/>
        <v>.</v>
      </c>
      <c r="Y312" s="701" t="str">
        <f t="shared" si="196"/>
        <v>.</v>
      </c>
      <c r="Z312" s="3"/>
      <c r="AA312" s="985" t="str">
        <f t="shared" si="210"/>
        <v>.</v>
      </c>
      <c r="AB312" s="702" t="str">
        <f t="shared" si="197"/>
        <v>.</v>
      </c>
      <c r="AC312" s="702" t="str">
        <f t="shared" si="198"/>
        <v>.</v>
      </c>
      <c r="AD312" s="702" t="str">
        <f t="shared" si="199"/>
        <v>.</v>
      </c>
      <c r="AE312" s="702" t="str">
        <f t="shared" si="200"/>
        <v>.</v>
      </c>
      <c r="AF312" s="702" t="str">
        <f t="shared" si="201"/>
        <v>.</v>
      </c>
      <c r="AG312" s="986" t="str">
        <f t="shared" si="202"/>
        <v>.</v>
      </c>
      <c r="AH312" s="3"/>
      <c r="AI312" s="699" t="str">
        <f>IF(S312=".",".",SUM($S312:S312))</f>
        <v>.</v>
      </c>
      <c r="AJ312" s="700" t="str">
        <f>IF(T312=".",".",SUM($S312:T312))</f>
        <v>.</v>
      </c>
      <c r="AK312" s="700" t="str">
        <f>IF(U312=".",".",SUM($S312:U312))</f>
        <v>.</v>
      </c>
      <c r="AL312" s="700" t="str">
        <f>IF(V312=".",".",SUM($S312:V312))</f>
        <v>.</v>
      </c>
      <c r="AM312" s="700" t="str">
        <f>IF(W312=".",".",SUM($S312:W312))</f>
        <v>.</v>
      </c>
      <c r="AN312" s="700" t="str">
        <f>IF(X312=".",".",SUM($S312:X312))</f>
        <v>.</v>
      </c>
      <c r="AO312" s="701" t="str">
        <f>IF(Y312=".",".",SUM($S312:Y312))</f>
        <v>.</v>
      </c>
      <c r="AP312" s="3"/>
      <c r="AQ312" s="985" t="str">
        <f t="shared" si="209"/>
        <v>.</v>
      </c>
      <c r="AR312" s="702" t="str">
        <f t="shared" si="203"/>
        <v>.</v>
      </c>
      <c r="AS312" s="702" t="str">
        <f t="shared" si="204"/>
        <v>.</v>
      </c>
      <c r="AT312" s="702" t="str">
        <f t="shared" si="205"/>
        <v>.</v>
      </c>
      <c r="AU312" s="702" t="str">
        <f t="shared" si="206"/>
        <v>.</v>
      </c>
      <c r="AV312" s="702" t="str">
        <f t="shared" si="207"/>
        <v>.</v>
      </c>
      <c r="AW312" s="986" t="str">
        <f t="shared" si="208"/>
        <v>.</v>
      </c>
      <c r="AX312" s="214"/>
      <c r="AY312" s="3"/>
      <c r="AZ312" s="3"/>
      <c r="BA312" s="3"/>
      <c r="BB312" s="3"/>
    </row>
    <row r="313" spans="1:54" ht="12" x14ac:dyDescent="0.25">
      <c r="A313" s="3"/>
      <c r="B313" s="212"/>
      <c r="C313" s="279" t="str">
        <f t="shared" si="214"/>
        <v>Special rate</v>
      </c>
      <c r="D313" s="279" t="str">
        <f t="shared" si="214"/>
        <v/>
      </c>
      <c r="E313" s="557" t="str">
        <f t="shared" si="189"/>
        <v>.</v>
      </c>
      <c r="F313" s="579"/>
      <c r="G313" s="578"/>
      <c r="H313" s="1266"/>
      <c r="I313" s="578"/>
      <c r="J313" s="578"/>
      <c r="K313" s="578"/>
      <c r="L313" s="578"/>
      <c r="M313" s="220"/>
      <c r="N313" s="3"/>
      <c r="O313" s="655">
        <f t="shared" si="216"/>
        <v>0</v>
      </c>
      <c r="P313" s="657">
        <f t="shared" si="216"/>
        <v>0</v>
      </c>
      <c r="Q313" s="3"/>
      <c r="R313" s="212"/>
      <c r="S313" s="699" t="str">
        <f t="shared" si="190"/>
        <v>.</v>
      </c>
      <c r="T313" s="700" t="str">
        <f t="shared" si="191"/>
        <v>.</v>
      </c>
      <c r="U313" s="700" t="str">
        <f t="shared" si="192"/>
        <v>.</v>
      </c>
      <c r="V313" s="700" t="str">
        <f t="shared" si="193"/>
        <v>.</v>
      </c>
      <c r="W313" s="700" t="str">
        <f t="shared" si="194"/>
        <v>.</v>
      </c>
      <c r="X313" s="700" t="str">
        <f t="shared" si="195"/>
        <v>.</v>
      </c>
      <c r="Y313" s="701" t="str">
        <f t="shared" si="196"/>
        <v>.</v>
      </c>
      <c r="Z313" s="3"/>
      <c r="AA313" s="985" t="str">
        <f t="shared" si="210"/>
        <v>.</v>
      </c>
      <c r="AB313" s="702" t="str">
        <f t="shared" si="197"/>
        <v>.</v>
      </c>
      <c r="AC313" s="702" t="str">
        <f t="shared" si="198"/>
        <v>.</v>
      </c>
      <c r="AD313" s="702" t="str">
        <f t="shared" si="199"/>
        <v>.</v>
      </c>
      <c r="AE313" s="702" t="str">
        <f t="shared" si="200"/>
        <v>.</v>
      </c>
      <c r="AF313" s="702" t="str">
        <f t="shared" si="201"/>
        <v>.</v>
      </c>
      <c r="AG313" s="986" t="str">
        <f t="shared" si="202"/>
        <v>.</v>
      </c>
      <c r="AH313" s="3"/>
      <c r="AI313" s="699" t="str">
        <f>IF(S313=".",".",SUM($S313:S313))</f>
        <v>.</v>
      </c>
      <c r="AJ313" s="700" t="str">
        <f>IF(T313=".",".",SUM($S313:T313))</f>
        <v>.</v>
      </c>
      <c r="AK313" s="700" t="str">
        <f>IF(U313=".",".",SUM($S313:U313))</f>
        <v>.</v>
      </c>
      <c r="AL313" s="700" t="str">
        <f>IF(V313=".",".",SUM($S313:V313))</f>
        <v>.</v>
      </c>
      <c r="AM313" s="700" t="str">
        <f>IF(W313=".",".",SUM($S313:W313))</f>
        <v>.</v>
      </c>
      <c r="AN313" s="700" t="str">
        <f>IF(X313=".",".",SUM($S313:X313))</f>
        <v>.</v>
      </c>
      <c r="AO313" s="701" t="str">
        <f>IF(Y313=".",".",SUM($S313:Y313))</f>
        <v>.</v>
      </c>
      <c r="AP313" s="3"/>
      <c r="AQ313" s="985" t="str">
        <f t="shared" si="209"/>
        <v>.</v>
      </c>
      <c r="AR313" s="702" t="str">
        <f t="shared" si="203"/>
        <v>.</v>
      </c>
      <c r="AS313" s="702" t="str">
        <f t="shared" si="204"/>
        <v>.</v>
      </c>
      <c r="AT313" s="702" t="str">
        <f t="shared" si="205"/>
        <v>.</v>
      </c>
      <c r="AU313" s="702" t="str">
        <f t="shared" si="206"/>
        <v>.</v>
      </c>
      <c r="AV313" s="702" t="str">
        <f t="shared" si="207"/>
        <v>.</v>
      </c>
      <c r="AW313" s="986" t="str">
        <f t="shared" si="208"/>
        <v>.</v>
      </c>
      <c r="AX313" s="214"/>
      <c r="AY313" s="3"/>
      <c r="AZ313" s="3"/>
      <c r="BA313" s="3"/>
      <c r="BB313" s="3"/>
    </row>
    <row r="314" spans="1:54" ht="12" x14ac:dyDescent="0.25">
      <c r="A314" s="3"/>
      <c r="B314" s="212"/>
      <c r="C314" s="279" t="str">
        <f t="shared" si="214"/>
        <v>Special rate</v>
      </c>
      <c r="D314" s="279" t="str">
        <f t="shared" si="214"/>
        <v/>
      </c>
      <c r="E314" s="557" t="str">
        <f t="shared" si="189"/>
        <v>.</v>
      </c>
      <c r="F314" s="579"/>
      <c r="G314" s="578"/>
      <c r="H314" s="578"/>
      <c r="I314" s="578"/>
      <c r="J314" s="578"/>
      <c r="K314" s="578"/>
      <c r="L314" s="578"/>
      <c r="M314" s="220"/>
      <c r="N314" s="3"/>
      <c r="O314" s="655">
        <f t="shared" si="216"/>
        <v>0</v>
      </c>
      <c r="P314" s="657">
        <f t="shared" si="216"/>
        <v>0</v>
      </c>
      <c r="Q314" s="3"/>
      <c r="R314" s="212"/>
      <c r="S314" s="699" t="str">
        <f t="shared" si="190"/>
        <v>.</v>
      </c>
      <c r="T314" s="700" t="str">
        <f t="shared" si="191"/>
        <v>.</v>
      </c>
      <c r="U314" s="700" t="str">
        <f t="shared" si="192"/>
        <v>.</v>
      </c>
      <c r="V314" s="700" t="str">
        <f t="shared" si="193"/>
        <v>.</v>
      </c>
      <c r="W314" s="700" t="str">
        <f t="shared" si="194"/>
        <v>.</v>
      </c>
      <c r="X314" s="700" t="str">
        <f t="shared" si="195"/>
        <v>.</v>
      </c>
      <c r="Y314" s="701" t="str">
        <f t="shared" si="196"/>
        <v>.</v>
      </c>
      <c r="Z314" s="3"/>
      <c r="AA314" s="985" t="str">
        <f t="shared" si="210"/>
        <v>.</v>
      </c>
      <c r="AB314" s="702" t="str">
        <f t="shared" si="197"/>
        <v>.</v>
      </c>
      <c r="AC314" s="702" t="str">
        <f t="shared" si="198"/>
        <v>.</v>
      </c>
      <c r="AD314" s="702" t="str">
        <f t="shared" si="199"/>
        <v>.</v>
      </c>
      <c r="AE314" s="702" t="str">
        <f t="shared" si="200"/>
        <v>.</v>
      </c>
      <c r="AF314" s="702" t="str">
        <f t="shared" si="201"/>
        <v>.</v>
      </c>
      <c r="AG314" s="986" t="str">
        <f t="shared" si="202"/>
        <v>.</v>
      </c>
      <c r="AH314" s="3"/>
      <c r="AI314" s="699" t="str">
        <f>IF(S314=".",".",SUM($S314:S314))</f>
        <v>.</v>
      </c>
      <c r="AJ314" s="700" t="str">
        <f>IF(T314=".",".",SUM($S314:T314))</f>
        <v>.</v>
      </c>
      <c r="AK314" s="700" t="str">
        <f>IF(U314=".",".",SUM($S314:U314))</f>
        <v>.</v>
      </c>
      <c r="AL314" s="700" t="str">
        <f>IF(V314=".",".",SUM($S314:V314))</f>
        <v>.</v>
      </c>
      <c r="AM314" s="700" t="str">
        <f>IF(W314=".",".",SUM($S314:W314))</f>
        <v>.</v>
      </c>
      <c r="AN314" s="700" t="str">
        <f>IF(X314=".",".",SUM($S314:X314))</f>
        <v>.</v>
      </c>
      <c r="AO314" s="701" t="str">
        <f>IF(Y314=".",".",SUM($S314:Y314))</f>
        <v>.</v>
      </c>
      <c r="AP314" s="3"/>
      <c r="AQ314" s="985" t="str">
        <f t="shared" si="209"/>
        <v>.</v>
      </c>
      <c r="AR314" s="702" t="str">
        <f t="shared" si="203"/>
        <v>.</v>
      </c>
      <c r="AS314" s="702" t="str">
        <f t="shared" si="204"/>
        <v>.</v>
      </c>
      <c r="AT314" s="702" t="str">
        <f t="shared" si="205"/>
        <v>.</v>
      </c>
      <c r="AU314" s="702" t="str">
        <f t="shared" si="206"/>
        <v>.</v>
      </c>
      <c r="AV314" s="702" t="str">
        <f t="shared" si="207"/>
        <v>.</v>
      </c>
      <c r="AW314" s="986" t="str">
        <f t="shared" si="208"/>
        <v>.</v>
      </c>
      <c r="AX314" s="214"/>
      <c r="AY314" s="3"/>
      <c r="AZ314" s="3"/>
      <c r="BA314" s="3"/>
      <c r="BB314" s="3"/>
    </row>
    <row r="315" spans="1:54" ht="12" x14ac:dyDescent="0.25">
      <c r="A315" s="3"/>
      <c r="B315" s="212"/>
      <c r="C315" s="279" t="str">
        <f t="shared" si="214"/>
        <v>Special rate</v>
      </c>
      <c r="D315" s="279" t="str">
        <f t="shared" si="214"/>
        <v/>
      </c>
      <c r="E315" s="557" t="str">
        <f t="shared" si="189"/>
        <v>.</v>
      </c>
      <c r="F315" s="579"/>
      <c r="G315" s="578"/>
      <c r="H315" s="578"/>
      <c r="I315" s="578"/>
      <c r="J315" s="578"/>
      <c r="K315" s="578"/>
      <c r="L315" s="578"/>
      <c r="M315" s="220"/>
      <c r="N315" s="3"/>
      <c r="O315" s="655">
        <f t="shared" si="216"/>
        <v>0</v>
      </c>
      <c r="P315" s="657">
        <f t="shared" si="216"/>
        <v>0</v>
      </c>
      <c r="Q315" s="3"/>
      <c r="R315" s="212"/>
      <c r="S315" s="699" t="str">
        <f t="shared" si="190"/>
        <v>.</v>
      </c>
      <c r="T315" s="700" t="str">
        <f t="shared" si="191"/>
        <v>.</v>
      </c>
      <c r="U315" s="700" t="str">
        <f t="shared" si="192"/>
        <v>.</v>
      </c>
      <c r="V315" s="700" t="str">
        <f t="shared" si="193"/>
        <v>.</v>
      </c>
      <c r="W315" s="700" t="str">
        <f t="shared" si="194"/>
        <v>.</v>
      </c>
      <c r="X315" s="700" t="str">
        <f t="shared" si="195"/>
        <v>.</v>
      </c>
      <c r="Y315" s="701" t="str">
        <f t="shared" si="196"/>
        <v>.</v>
      </c>
      <c r="Z315" s="3"/>
      <c r="AA315" s="985" t="str">
        <f t="shared" si="210"/>
        <v>.</v>
      </c>
      <c r="AB315" s="702" t="str">
        <f t="shared" si="197"/>
        <v>.</v>
      </c>
      <c r="AC315" s="702" t="str">
        <f t="shared" si="198"/>
        <v>.</v>
      </c>
      <c r="AD315" s="702" t="str">
        <f t="shared" si="199"/>
        <v>.</v>
      </c>
      <c r="AE315" s="702" t="str">
        <f t="shared" si="200"/>
        <v>.</v>
      </c>
      <c r="AF315" s="702" t="str">
        <f t="shared" si="201"/>
        <v>.</v>
      </c>
      <c r="AG315" s="986" t="str">
        <f t="shared" si="202"/>
        <v>.</v>
      </c>
      <c r="AH315" s="3"/>
      <c r="AI315" s="699" t="str">
        <f>IF(S315=".",".",SUM($S315:S315))</f>
        <v>.</v>
      </c>
      <c r="AJ315" s="700" t="str">
        <f>IF(T315=".",".",SUM($S315:T315))</f>
        <v>.</v>
      </c>
      <c r="AK315" s="700" t="str">
        <f>IF(U315=".",".",SUM($S315:U315))</f>
        <v>.</v>
      </c>
      <c r="AL315" s="700" t="str">
        <f>IF(V315=".",".",SUM($S315:V315))</f>
        <v>.</v>
      </c>
      <c r="AM315" s="700" t="str">
        <f>IF(W315=".",".",SUM($S315:W315))</f>
        <v>.</v>
      </c>
      <c r="AN315" s="700" t="str">
        <f>IF(X315=".",".",SUM($S315:X315))</f>
        <v>.</v>
      </c>
      <c r="AO315" s="701" t="str">
        <f>IF(Y315=".",".",SUM($S315:Y315))</f>
        <v>.</v>
      </c>
      <c r="AP315" s="3"/>
      <c r="AQ315" s="985" t="str">
        <f t="shared" si="209"/>
        <v>.</v>
      </c>
      <c r="AR315" s="702" t="str">
        <f t="shared" si="203"/>
        <v>.</v>
      </c>
      <c r="AS315" s="702" t="str">
        <f t="shared" si="204"/>
        <v>.</v>
      </c>
      <c r="AT315" s="702" t="str">
        <f t="shared" si="205"/>
        <v>.</v>
      </c>
      <c r="AU315" s="702" t="str">
        <f t="shared" si="206"/>
        <v>.</v>
      </c>
      <c r="AV315" s="702" t="str">
        <f t="shared" si="207"/>
        <v>.</v>
      </c>
      <c r="AW315" s="986" t="str">
        <f t="shared" si="208"/>
        <v>.</v>
      </c>
      <c r="AX315" s="214"/>
      <c r="AY315" s="3"/>
      <c r="AZ315" s="3"/>
      <c r="BA315" s="3"/>
      <c r="BB315" s="3"/>
    </row>
    <row r="316" spans="1:54" ht="12" x14ac:dyDescent="0.25">
      <c r="A316" s="3"/>
      <c r="B316" s="212"/>
      <c r="C316" s="279" t="str">
        <f t="shared" si="214"/>
        <v>Special rate</v>
      </c>
      <c r="D316" s="279" t="str">
        <f t="shared" si="214"/>
        <v/>
      </c>
      <c r="E316" s="557" t="str">
        <f t="shared" si="189"/>
        <v>.</v>
      </c>
      <c r="F316" s="579"/>
      <c r="G316" s="578"/>
      <c r="H316" s="578"/>
      <c r="I316" s="578"/>
      <c r="J316" s="578"/>
      <c r="K316" s="578"/>
      <c r="L316" s="578"/>
      <c r="M316" s="220"/>
      <c r="N316" s="3"/>
      <c r="O316" s="655">
        <f t="shared" si="216"/>
        <v>0</v>
      </c>
      <c r="P316" s="657">
        <f t="shared" si="216"/>
        <v>0</v>
      </c>
      <c r="Q316" s="3"/>
      <c r="R316" s="212"/>
      <c r="S316" s="699" t="str">
        <f t="shared" si="190"/>
        <v>.</v>
      </c>
      <c r="T316" s="700" t="str">
        <f t="shared" si="191"/>
        <v>.</v>
      </c>
      <c r="U316" s="700" t="str">
        <f t="shared" si="192"/>
        <v>.</v>
      </c>
      <c r="V316" s="700" t="str">
        <f t="shared" si="193"/>
        <v>.</v>
      </c>
      <c r="W316" s="700" t="str">
        <f t="shared" si="194"/>
        <v>.</v>
      </c>
      <c r="X316" s="700" t="str">
        <f t="shared" si="195"/>
        <v>.</v>
      </c>
      <c r="Y316" s="701" t="str">
        <f t="shared" si="196"/>
        <v>.</v>
      </c>
      <c r="Z316" s="3"/>
      <c r="AA316" s="985" t="str">
        <f t="shared" si="210"/>
        <v>.</v>
      </c>
      <c r="AB316" s="702" t="str">
        <f t="shared" si="197"/>
        <v>.</v>
      </c>
      <c r="AC316" s="702" t="str">
        <f t="shared" si="198"/>
        <v>.</v>
      </c>
      <c r="AD316" s="702" t="str">
        <f t="shared" si="199"/>
        <v>.</v>
      </c>
      <c r="AE316" s="702" t="str">
        <f t="shared" si="200"/>
        <v>.</v>
      </c>
      <c r="AF316" s="702" t="str">
        <f t="shared" si="201"/>
        <v>.</v>
      </c>
      <c r="AG316" s="986" t="str">
        <f t="shared" si="202"/>
        <v>.</v>
      </c>
      <c r="AH316" s="3"/>
      <c r="AI316" s="699" t="str">
        <f>IF(S316=".",".",SUM($S316:S316))</f>
        <v>.</v>
      </c>
      <c r="AJ316" s="700" t="str">
        <f>IF(T316=".",".",SUM($S316:T316))</f>
        <v>.</v>
      </c>
      <c r="AK316" s="700" t="str">
        <f>IF(U316=".",".",SUM($S316:U316))</f>
        <v>.</v>
      </c>
      <c r="AL316" s="700" t="str">
        <f>IF(V316=".",".",SUM($S316:V316))</f>
        <v>.</v>
      </c>
      <c r="AM316" s="700" t="str">
        <f>IF(W316=".",".",SUM($S316:W316))</f>
        <v>.</v>
      </c>
      <c r="AN316" s="700" t="str">
        <f>IF(X316=".",".",SUM($S316:X316))</f>
        <v>.</v>
      </c>
      <c r="AO316" s="701" t="str">
        <f>IF(Y316=".",".",SUM($S316:Y316))</f>
        <v>.</v>
      </c>
      <c r="AP316" s="3"/>
      <c r="AQ316" s="985" t="str">
        <f t="shared" si="209"/>
        <v>.</v>
      </c>
      <c r="AR316" s="702" t="str">
        <f t="shared" si="203"/>
        <v>.</v>
      </c>
      <c r="AS316" s="702" t="str">
        <f t="shared" si="204"/>
        <v>.</v>
      </c>
      <c r="AT316" s="702" t="str">
        <f t="shared" si="205"/>
        <v>.</v>
      </c>
      <c r="AU316" s="702" t="str">
        <f t="shared" si="206"/>
        <v>.</v>
      </c>
      <c r="AV316" s="702" t="str">
        <f t="shared" si="207"/>
        <v>.</v>
      </c>
      <c r="AW316" s="986" t="str">
        <f t="shared" si="208"/>
        <v>.</v>
      </c>
      <c r="AX316" s="214"/>
      <c r="AY316" s="3"/>
      <c r="AZ316" s="3"/>
      <c r="BA316" s="3"/>
      <c r="BB316" s="3"/>
    </row>
    <row r="317" spans="1:54" ht="12" x14ac:dyDescent="0.25">
      <c r="A317" s="3"/>
      <c r="B317" s="212"/>
      <c r="C317" s="279" t="str">
        <f t="shared" si="214"/>
        <v>Special rate</v>
      </c>
      <c r="D317" s="279" t="str">
        <f t="shared" si="214"/>
        <v/>
      </c>
      <c r="E317" s="557" t="str">
        <f t="shared" ref="E317:E341" si="218">E192</f>
        <v>.</v>
      </c>
      <c r="F317" s="579"/>
      <c r="G317" s="578"/>
      <c r="H317" s="578"/>
      <c r="I317" s="578"/>
      <c r="J317" s="578"/>
      <c r="K317" s="578"/>
      <c r="L317" s="578"/>
      <c r="M317" s="220"/>
      <c r="N317" s="3"/>
      <c r="O317" s="655">
        <f t="shared" si="216"/>
        <v>0</v>
      </c>
      <c r="P317" s="657">
        <f t="shared" si="216"/>
        <v>0</v>
      </c>
      <c r="Q317" s="3"/>
      <c r="R317" s="212"/>
      <c r="S317" s="699" t="str">
        <f t="shared" si="190"/>
        <v>.</v>
      </c>
      <c r="T317" s="700" t="str">
        <f t="shared" si="191"/>
        <v>.</v>
      </c>
      <c r="U317" s="700" t="str">
        <f t="shared" si="192"/>
        <v>.</v>
      </c>
      <c r="V317" s="700" t="str">
        <f t="shared" si="193"/>
        <v>.</v>
      </c>
      <c r="W317" s="700" t="str">
        <f t="shared" si="194"/>
        <v>.</v>
      </c>
      <c r="X317" s="700" t="str">
        <f t="shared" si="195"/>
        <v>.</v>
      </c>
      <c r="Y317" s="701" t="str">
        <f t="shared" si="196"/>
        <v>.</v>
      </c>
      <c r="Z317" s="3"/>
      <c r="AA317" s="985" t="str">
        <f t="shared" si="210"/>
        <v>.</v>
      </c>
      <c r="AB317" s="702" t="str">
        <f t="shared" si="197"/>
        <v>.</v>
      </c>
      <c r="AC317" s="702" t="str">
        <f t="shared" si="198"/>
        <v>.</v>
      </c>
      <c r="AD317" s="702" t="str">
        <f t="shared" si="199"/>
        <v>.</v>
      </c>
      <c r="AE317" s="702" t="str">
        <f t="shared" si="200"/>
        <v>.</v>
      </c>
      <c r="AF317" s="702" t="str">
        <f t="shared" si="201"/>
        <v>.</v>
      </c>
      <c r="AG317" s="986" t="str">
        <f t="shared" si="202"/>
        <v>.</v>
      </c>
      <c r="AH317" s="3"/>
      <c r="AI317" s="699" t="str">
        <f>IF(S317=".",".",SUM($S317:S317))</f>
        <v>.</v>
      </c>
      <c r="AJ317" s="700" t="str">
        <f>IF(T317=".",".",SUM($S317:T317))</f>
        <v>.</v>
      </c>
      <c r="AK317" s="700" t="str">
        <f>IF(U317=".",".",SUM($S317:U317))</f>
        <v>.</v>
      </c>
      <c r="AL317" s="700" t="str">
        <f>IF(V317=".",".",SUM($S317:V317))</f>
        <v>.</v>
      </c>
      <c r="AM317" s="700" t="str">
        <f>IF(W317=".",".",SUM($S317:W317))</f>
        <v>.</v>
      </c>
      <c r="AN317" s="700" t="str">
        <f>IF(X317=".",".",SUM($S317:X317))</f>
        <v>.</v>
      </c>
      <c r="AO317" s="701" t="str">
        <f>IF(Y317=".",".",SUM($S317:Y317))</f>
        <v>.</v>
      </c>
      <c r="AP317" s="3"/>
      <c r="AQ317" s="985" t="str">
        <f t="shared" si="209"/>
        <v>.</v>
      </c>
      <c r="AR317" s="702" t="str">
        <f t="shared" si="203"/>
        <v>.</v>
      </c>
      <c r="AS317" s="702" t="str">
        <f t="shared" si="204"/>
        <v>.</v>
      </c>
      <c r="AT317" s="702" t="str">
        <f t="shared" si="205"/>
        <v>.</v>
      </c>
      <c r="AU317" s="702" t="str">
        <f t="shared" si="206"/>
        <v>.</v>
      </c>
      <c r="AV317" s="702" t="str">
        <f t="shared" si="207"/>
        <v>.</v>
      </c>
      <c r="AW317" s="986" t="str">
        <f t="shared" si="208"/>
        <v>.</v>
      </c>
      <c r="AX317" s="214"/>
      <c r="AY317" s="3"/>
      <c r="AZ317" s="3"/>
      <c r="BA317" s="3"/>
      <c r="BB317" s="3"/>
    </row>
    <row r="318" spans="1:54" ht="12" x14ac:dyDescent="0.25">
      <c r="A318" s="3"/>
      <c r="B318" s="212"/>
      <c r="C318" s="279" t="str">
        <f t="shared" si="214"/>
        <v>Special rate</v>
      </c>
      <c r="D318" s="279" t="str">
        <f t="shared" si="214"/>
        <v/>
      </c>
      <c r="E318" s="557" t="str">
        <f t="shared" si="218"/>
        <v>.</v>
      </c>
      <c r="F318" s="579"/>
      <c r="G318" s="578"/>
      <c r="H318" s="578"/>
      <c r="I318" s="578"/>
      <c r="J318" s="578"/>
      <c r="K318" s="578"/>
      <c r="L318" s="578"/>
      <c r="M318" s="220"/>
      <c r="N318" s="3"/>
      <c r="O318" s="655">
        <f t="shared" si="216"/>
        <v>0</v>
      </c>
      <c r="P318" s="657">
        <f t="shared" si="216"/>
        <v>0</v>
      </c>
      <c r="Q318" s="3"/>
      <c r="R318" s="212"/>
      <c r="S318" s="699" t="str">
        <f t="shared" si="190"/>
        <v>.</v>
      </c>
      <c r="T318" s="700" t="str">
        <f t="shared" si="191"/>
        <v>.</v>
      </c>
      <c r="U318" s="700" t="str">
        <f t="shared" si="192"/>
        <v>.</v>
      </c>
      <c r="V318" s="700" t="str">
        <f t="shared" si="193"/>
        <v>.</v>
      </c>
      <c r="W318" s="700" t="str">
        <f t="shared" si="194"/>
        <v>.</v>
      </c>
      <c r="X318" s="700" t="str">
        <f t="shared" si="195"/>
        <v>.</v>
      </c>
      <c r="Y318" s="701" t="str">
        <f t="shared" si="196"/>
        <v>.</v>
      </c>
      <c r="Z318" s="3"/>
      <c r="AA318" s="985" t="str">
        <f t="shared" si="210"/>
        <v>.</v>
      </c>
      <c r="AB318" s="702" t="str">
        <f t="shared" si="197"/>
        <v>.</v>
      </c>
      <c r="AC318" s="702" t="str">
        <f t="shared" si="198"/>
        <v>.</v>
      </c>
      <c r="AD318" s="702" t="str">
        <f t="shared" si="199"/>
        <v>.</v>
      </c>
      <c r="AE318" s="702" t="str">
        <f t="shared" si="200"/>
        <v>.</v>
      </c>
      <c r="AF318" s="702" t="str">
        <f t="shared" si="201"/>
        <v>.</v>
      </c>
      <c r="AG318" s="986" t="str">
        <f t="shared" si="202"/>
        <v>.</v>
      </c>
      <c r="AH318" s="3"/>
      <c r="AI318" s="699" t="str">
        <f>IF(S318=".",".",SUM($S318:S318))</f>
        <v>.</v>
      </c>
      <c r="AJ318" s="700" t="str">
        <f>IF(T318=".",".",SUM($S318:T318))</f>
        <v>.</v>
      </c>
      <c r="AK318" s="700" t="str">
        <f>IF(U318=".",".",SUM($S318:U318))</f>
        <v>.</v>
      </c>
      <c r="AL318" s="700" t="str">
        <f>IF(V318=".",".",SUM($S318:V318))</f>
        <v>.</v>
      </c>
      <c r="AM318" s="700" t="str">
        <f>IF(W318=".",".",SUM($S318:W318))</f>
        <v>.</v>
      </c>
      <c r="AN318" s="700" t="str">
        <f>IF(X318=".",".",SUM($S318:X318))</f>
        <v>.</v>
      </c>
      <c r="AO318" s="701" t="str">
        <f>IF(Y318=".",".",SUM($S318:Y318))</f>
        <v>.</v>
      </c>
      <c r="AP318" s="3"/>
      <c r="AQ318" s="985" t="str">
        <f t="shared" si="209"/>
        <v>.</v>
      </c>
      <c r="AR318" s="702" t="str">
        <f t="shared" si="203"/>
        <v>.</v>
      </c>
      <c r="AS318" s="702" t="str">
        <f t="shared" si="204"/>
        <v>.</v>
      </c>
      <c r="AT318" s="702" t="str">
        <f t="shared" si="205"/>
        <v>.</v>
      </c>
      <c r="AU318" s="702" t="str">
        <f t="shared" si="206"/>
        <v>.</v>
      </c>
      <c r="AV318" s="702" t="str">
        <f t="shared" si="207"/>
        <v>.</v>
      </c>
      <c r="AW318" s="986" t="str">
        <f t="shared" si="208"/>
        <v>.</v>
      </c>
      <c r="AX318" s="214"/>
      <c r="AY318" s="3"/>
      <c r="AZ318" s="3"/>
      <c r="BA318" s="3"/>
      <c r="BB318" s="3"/>
    </row>
    <row r="319" spans="1:54" ht="12" x14ac:dyDescent="0.25">
      <c r="A319" s="3"/>
      <c r="B319" s="212"/>
      <c r="C319" s="141" t="str">
        <f t="shared" si="214"/>
        <v>Special rate</v>
      </c>
      <c r="D319" s="141" t="str">
        <f t="shared" si="214"/>
        <v/>
      </c>
      <c r="E319" s="558" t="str">
        <f t="shared" si="218"/>
        <v>.</v>
      </c>
      <c r="F319" s="579"/>
      <c r="G319" s="578"/>
      <c r="H319" s="578"/>
      <c r="I319" s="578"/>
      <c r="J319" s="578"/>
      <c r="K319" s="578"/>
      <c r="L319" s="578"/>
      <c r="M319" s="220"/>
      <c r="N319" s="3"/>
      <c r="O319" s="655">
        <f t="shared" si="216"/>
        <v>0</v>
      </c>
      <c r="P319" s="657">
        <f t="shared" si="216"/>
        <v>0</v>
      </c>
      <c r="Q319" s="3"/>
      <c r="R319" s="212"/>
      <c r="S319" s="699" t="str">
        <f t="shared" ref="S319:S340" si="219">IF(F319="",".",F319-E319)</f>
        <v>.</v>
      </c>
      <c r="T319" s="700" t="str">
        <f t="shared" ref="T319:T340" si="220">IF(G319="",".",G319-F319)</f>
        <v>.</v>
      </c>
      <c r="U319" s="700" t="str">
        <f t="shared" ref="U319:U340" si="221">IF(H319="",".",H319-G319)</f>
        <v>.</v>
      </c>
      <c r="V319" s="700" t="str">
        <f t="shared" ref="V319:V340" si="222">IF(I319="",".",I319-H319)</f>
        <v>.</v>
      </c>
      <c r="W319" s="700" t="str">
        <f t="shared" ref="W319:W340" si="223">IF(J319="",".",J319-I319)</f>
        <v>.</v>
      </c>
      <c r="X319" s="700" t="str">
        <f t="shared" ref="X319:X340" si="224">IF(K319="",".",K319-J319)</f>
        <v>.</v>
      </c>
      <c r="Y319" s="701" t="str">
        <f t="shared" ref="Y319:Y340" si="225">IF(L319="",".",L319-K319)</f>
        <v>.</v>
      </c>
      <c r="Z319" s="3"/>
      <c r="AA319" s="985" t="str">
        <f t="shared" si="210"/>
        <v>.</v>
      </c>
      <c r="AB319" s="702" t="str">
        <f t="shared" si="197"/>
        <v>.</v>
      </c>
      <c r="AC319" s="702" t="str">
        <f t="shared" si="198"/>
        <v>.</v>
      </c>
      <c r="AD319" s="702" t="str">
        <f t="shared" si="199"/>
        <v>.</v>
      </c>
      <c r="AE319" s="702" t="str">
        <f t="shared" si="200"/>
        <v>.</v>
      </c>
      <c r="AF319" s="702" t="str">
        <f t="shared" si="201"/>
        <v>.</v>
      </c>
      <c r="AG319" s="986" t="str">
        <f t="shared" si="202"/>
        <v>.</v>
      </c>
      <c r="AH319" s="3"/>
      <c r="AI319" s="699" t="str">
        <f>IF(S319=".",".",SUM($S319:S319))</f>
        <v>.</v>
      </c>
      <c r="AJ319" s="700" t="str">
        <f>IF(T319=".",".",SUM($S319:T319))</f>
        <v>.</v>
      </c>
      <c r="AK319" s="700" t="str">
        <f>IF(U319=".",".",SUM($S319:U319))</f>
        <v>.</v>
      </c>
      <c r="AL319" s="700" t="str">
        <f>IF(V319=".",".",SUM($S319:V319))</f>
        <v>.</v>
      </c>
      <c r="AM319" s="700" t="str">
        <f>IF(W319=".",".",SUM($S319:W319))</f>
        <v>.</v>
      </c>
      <c r="AN319" s="700" t="str">
        <f>IF(X319=".",".",SUM($S319:X319))</f>
        <v>.</v>
      </c>
      <c r="AO319" s="701" t="str">
        <f>IF(Y319=".",".",SUM($S319:Y319))</f>
        <v>.</v>
      </c>
      <c r="AP319" s="3"/>
      <c r="AQ319" s="985" t="str">
        <f t="shared" si="209"/>
        <v>.</v>
      </c>
      <c r="AR319" s="702" t="str">
        <f t="shared" si="203"/>
        <v>.</v>
      </c>
      <c r="AS319" s="702" t="str">
        <f t="shared" si="204"/>
        <v>.</v>
      </c>
      <c r="AT319" s="702" t="str">
        <f t="shared" si="205"/>
        <v>.</v>
      </c>
      <c r="AU319" s="702" t="str">
        <f t="shared" si="206"/>
        <v>.</v>
      </c>
      <c r="AV319" s="702" t="str">
        <f t="shared" si="207"/>
        <v>.</v>
      </c>
      <c r="AW319" s="986" t="str">
        <f t="shared" si="208"/>
        <v>.</v>
      </c>
      <c r="AX319" s="214"/>
      <c r="AY319" s="3"/>
      <c r="AZ319" s="3"/>
      <c r="BA319" s="3"/>
      <c r="BB319" s="3"/>
    </row>
    <row r="320" spans="1:54" s="26" customFormat="1" ht="12" x14ac:dyDescent="0.25">
      <c r="A320" s="3"/>
      <c r="B320" s="221"/>
      <c r="C320" s="148"/>
      <c r="D320" s="148" t="s">
        <v>820</v>
      </c>
      <c r="E320" s="559">
        <f t="shared" si="218"/>
        <v>2133.7065429712461</v>
      </c>
      <c r="F320" s="583">
        <f t="shared" ref="F320:L320" si="226">IF($P320=0,".",SUMPRODUCT(F300:F319,$P300:$P319)/$P320)</f>
        <v>2212.6536850611819</v>
      </c>
      <c r="G320" s="140">
        <f t="shared" si="226"/>
        <v>2267.9700271877109</v>
      </c>
      <c r="H320" s="140">
        <f t="shared" si="226"/>
        <v>2324.6692778674033</v>
      </c>
      <c r="I320" s="140">
        <f t="shared" si="226"/>
        <v>2382.7860098140886</v>
      </c>
      <c r="J320" s="140">
        <f t="shared" si="226"/>
        <v>2442.3556600594407</v>
      </c>
      <c r="K320" s="140">
        <f t="shared" si="226"/>
        <v>2503.4145515609262</v>
      </c>
      <c r="L320" s="140">
        <f t="shared" si="226"/>
        <v>2565.9999153499493</v>
      </c>
      <c r="M320" s="220"/>
      <c r="N320" s="2"/>
      <c r="O320" s="713">
        <f t="shared" si="216"/>
        <v>313</v>
      </c>
      <c r="P320" s="714">
        <f t="shared" si="216"/>
        <v>313</v>
      </c>
      <c r="Q320" s="2"/>
      <c r="R320" s="221"/>
      <c r="S320" s="706">
        <f t="shared" ref="S320:Y320" si="227">IF(F320=".",".",F320-E320)</f>
        <v>78.947142089935824</v>
      </c>
      <c r="T320" s="707">
        <f t="shared" si="227"/>
        <v>55.31634212652898</v>
      </c>
      <c r="U320" s="707">
        <f t="shared" si="227"/>
        <v>56.699250679692341</v>
      </c>
      <c r="V320" s="707">
        <f t="shared" si="227"/>
        <v>58.116731946685377</v>
      </c>
      <c r="W320" s="707">
        <f t="shared" si="227"/>
        <v>59.569650245352022</v>
      </c>
      <c r="X320" s="707">
        <f t="shared" si="227"/>
        <v>61.058891501485505</v>
      </c>
      <c r="Y320" s="708">
        <f t="shared" si="227"/>
        <v>62.585363789023177</v>
      </c>
      <c r="Z320" s="2"/>
      <c r="AA320" s="990">
        <f t="shared" si="210"/>
        <v>3.6999999999999922E-2</v>
      </c>
      <c r="AB320" s="991">
        <f t="shared" si="197"/>
        <v>2.4999999999999689E-2</v>
      </c>
      <c r="AC320" s="991">
        <f t="shared" si="198"/>
        <v>2.4999999999999911E-2</v>
      </c>
      <c r="AD320" s="991">
        <f t="shared" si="199"/>
        <v>2.5000000000000133E-2</v>
      </c>
      <c r="AE320" s="991">
        <f t="shared" si="200"/>
        <v>2.4999999999999911E-2</v>
      </c>
      <c r="AF320" s="991">
        <f t="shared" si="201"/>
        <v>2.4999999999999689E-2</v>
      </c>
      <c r="AG320" s="992">
        <f t="shared" si="202"/>
        <v>2.4999999999999911E-2</v>
      </c>
      <c r="AH320" s="2"/>
      <c r="AI320" s="706">
        <f>IF(S320=".",".",SUM($S320:S320))</f>
        <v>78.947142089935824</v>
      </c>
      <c r="AJ320" s="707">
        <f>IF(T320=".",".",SUM($S320:T320))</f>
        <v>134.2634842164648</v>
      </c>
      <c r="AK320" s="707">
        <f>IF(U320=".",".",SUM($S320:U320))</f>
        <v>190.96273489615714</v>
      </c>
      <c r="AL320" s="707">
        <f>IF(V320=".",".",SUM($S320:V320))</f>
        <v>249.07946684284252</v>
      </c>
      <c r="AM320" s="707">
        <f>IF(W320=".",".",SUM($S320:W320))</f>
        <v>308.64911708819454</v>
      </c>
      <c r="AN320" s="707">
        <f>IF(X320=".",".",SUM($S320:X320))</f>
        <v>369.70800858968005</v>
      </c>
      <c r="AO320" s="708">
        <f>IF(Y320=".",".",SUM($S320:Y320))</f>
        <v>432.29337237870322</v>
      </c>
      <c r="AP320" s="3"/>
      <c r="AQ320" s="990">
        <f t="shared" si="209"/>
        <v>3.6999999999999922E-2</v>
      </c>
      <c r="AR320" s="991">
        <f t="shared" si="203"/>
        <v>6.2924999999999676E-2</v>
      </c>
      <c r="AS320" s="991">
        <f t="shared" si="204"/>
        <v>8.9498124999999318E-2</v>
      </c>
      <c r="AT320" s="991">
        <f t="shared" si="205"/>
        <v>0.11673557812499946</v>
      </c>
      <c r="AU320" s="991">
        <f t="shared" si="206"/>
        <v>0.14465396757812443</v>
      </c>
      <c r="AV320" s="991">
        <f t="shared" si="207"/>
        <v>0.17327031676757731</v>
      </c>
      <c r="AW320" s="992">
        <f t="shared" si="208"/>
        <v>0.20260207468676672</v>
      </c>
      <c r="AX320" s="229"/>
      <c r="AY320" s="2"/>
      <c r="AZ320" s="2"/>
      <c r="BA320" s="2"/>
      <c r="BB320" s="2"/>
    </row>
    <row r="321" spans="1:54" ht="12" x14ac:dyDescent="0.25">
      <c r="A321" s="3"/>
      <c r="B321" s="212"/>
      <c r="C321" s="1242" t="str">
        <f t="shared" ref="C321:D340" si="228">C196</f>
        <v>Mining</v>
      </c>
      <c r="D321" s="1242" t="str">
        <f t="shared" si="228"/>
        <v/>
      </c>
      <c r="E321" s="1243" t="str">
        <f t="shared" si="218"/>
        <v>.</v>
      </c>
      <c r="F321" s="579"/>
      <c r="G321" s="578"/>
      <c r="H321" s="578"/>
      <c r="I321" s="578"/>
      <c r="J321" s="578"/>
      <c r="K321" s="578"/>
      <c r="L321" s="578"/>
      <c r="M321" s="220"/>
      <c r="N321" s="3"/>
      <c r="O321" s="1244">
        <f t="shared" si="216"/>
        <v>0</v>
      </c>
      <c r="P321" s="1176">
        <f t="shared" si="216"/>
        <v>0</v>
      </c>
      <c r="Q321" s="3"/>
      <c r="R321" s="212"/>
      <c r="S321" s="1239" t="str">
        <f t="shared" si="219"/>
        <v>.</v>
      </c>
      <c r="T321" s="1172" t="str">
        <f t="shared" si="220"/>
        <v>.</v>
      </c>
      <c r="U321" s="1172" t="str">
        <f t="shared" si="221"/>
        <v>.</v>
      </c>
      <c r="V321" s="1172" t="str">
        <f t="shared" si="222"/>
        <v>.</v>
      </c>
      <c r="W321" s="1172" t="str">
        <f t="shared" si="223"/>
        <v>.</v>
      </c>
      <c r="X321" s="1172" t="str">
        <f t="shared" si="224"/>
        <v>.</v>
      </c>
      <c r="Y321" s="1173" t="str">
        <f t="shared" si="225"/>
        <v>.</v>
      </c>
      <c r="Z321" s="3"/>
      <c r="AA321" s="985" t="str">
        <f t="shared" si="210"/>
        <v>.</v>
      </c>
      <c r="AB321" s="702" t="str">
        <f t="shared" si="197"/>
        <v>.</v>
      </c>
      <c r="AC321" s="702" t="str">
        <f t="shared" si="198"/>
        <v>.</v>
      </c>
      <c r="AD321" s="702" t="str">
        <f t="shared" si="199"/>
        <v>.</v>
      </c>
      <c r="AE321" s="702" t="str">
        <f t="shared" si="200"/>
        <v>.</v>
      </c>
      <c r="AF321" s="702" t="str">
        <f t="shared" si="201"/>
        <v>.</v>
      </c>
      <c r="AG321" s="986" t="str">
        <f t="shared" si="202"/>
        <v>.</v>
      </c>
      <c r="AH321" s="3"/>
      <c r="AI321" s="1239" t="str">
        <f>IF(S321=".",".",SUM($S321:S321))</f>
        <v>.</v>
      </c>
      <c r="AJ321" s="1172" t="str">
        <f>IF(T321=".",".",SUM($S321:T321))</f>
        <v>.</v>
      </c>
      <c r="AK321" s="1172" t="str">
        <f>IF(U321=".",".",SUM($S321:U321))</f>
        <v>.</v>
      </c>
      <c r="AL321" s="1172" t="str">
        <f>IF(V321=".",".",SUM($S321:V321))</f>
        <v>.</v>
      </c>
      <c r="AM321" s="1172" t="str">
        <f>IF(W321=".",".",SUM($S321:W321))</f>
        <v>.</v>
      </c>
      <c r="AN321" s="1172" t="str">
        <f>IF(X321=".",".",SUM($S321:X321))</f>
        <v>.</v>
      </c>
      <c r="AO321" s="1173" t="str">
        <f>IF(Y321=".",".",SUM($S321:Y321))</f>
        <v>.</v>
      </c>
      <c r="AP321" s="3"/>
      <c r="AQ321" s="985" t="str">
        <f t="shared" si="209"/>
        <v>.</v>
      </c>
      <c r="AR321" s="702" t="str">
        <f t="shared" si="203"/>
        <v>.</v>
      </c>
      <c r="AS321" s="702" t="str">
        <f t="shared" si="204"/>
        <v>.</v>
      </c>
      <c r="AT321" s="702" t="str">
        <f t="shared" si="205"/>
        <v>.</v>
      </c>
      <c r="AU321" s="702" t="str">
        <f t="shared" si="206"/>
        <v>.</v>
      </c>
      <c r="AV321" s="702" t="str">
        <f t="shared" si="207"/>
        <v>.</v>
      </c>
      <c r="AW321" s="986" t="str">
        <f t="shared" si="208"/>
        <v>.</v>
      </c>
      <c r="AX321" s="214"/>
      <c r="AY321" s="3"/>
      <c r="AZ321" s="3"/>
      <c r="BA321" s="3"/>
      <c r="BB321" s="3"/>
    </row>
    <row r="322" spans="1:54" ht="12" x14ac:dyDescent="0.25">
      <c r="A322" s="3"/>
      <c r="B322" s="212"/>
      <c r="C322" s="279" t="str">
        <f t="shared" si="228"/>
        <v>Mining</v>
      </c>
      <c r="D322" s="279" t="str">
        <f t="shared" si="228"/>
        <v/>
      </c>
      <c r="E322" s="557" t="str">
        <f t="shared" si="218"/>
        <v>.</v>
      </c>
      <c r="F322" s="579"/>
      <c r="G322" s="578"/>
      <c r="H322" s="578"/>
      <c r="I322" s="578"/>
      <c r="J322" s="578"/>
      <c r="K322" s="578"/>
      <c r="L322" s="578"/>
      <c r="M322" s="220"/>
      <c r="N322" s="3"/>
      <c r="O322" s="655">
        <f t="shared" ref="O322:P341" si="229">O197</f>
        <v>0</v>
      </c>
      <c r="P322" s="657">
        <f t="shared" si="229"/>
        <v>0</v>
      </c>
      <c r="Q322" s="3"/>
      <c r="R322" s="212"/>
      <c r="S322" s="699" t="str">
        <f t="shared" si="219"/>
        <v>.</v>
      </c>
      <c r="T322" s="700" t="str">
        <f t="shared" si="220"/>
        <v>.</v>
      </c>
      <c r="U322" s="700" t="str">
        <f t="shared" si="221"/>
        <v>.</v>
      </c>
      <c r="V322" s="700" t="str">
        <f t="shared" si="222"/>
        <v>.</v>
      </c>
      <c r="W322" s="700" t="str">
        <f t="shared" si="223"/>
        <v>.</v>
      </c>
      <c r="X322" s="700" t="str">
        <f t="shared" si="224"/>
        <v>.</v>
      </c>
      <c r="Y322" s="701" t="str">
        <f t="shared" si="225"/>
        <v>.</v>
      </c>
      <c r="Z322" s="3"/>
      <c r="AA322" s="985" t="str">
        <f t="shared" si="210"/>
        <v>.</v>
      </c>
      <c r="AB322" s="702" t="str">
        <f t="shared" si="197"/>
        <v>.</v>
      </c>
      <c r="AC322" s="702" t="str">
        <f t="shared" si="198"/>
        <v>.</v>
      </c>
      <c r="AD322" s="702" t="str">
        <f t="shared" si="199"/>
        <v>.</v>
      </c>
      <c r="AE322" s="702" t="str">
        <f t="shared" si="200"/>
        <v>.</v>
      </c>
      <c r="AF322" s="702" t="str">
        <f t="shared" si="201"/>
        <v>.</v>
      </c>
      <c r="AG322" s="986" t="str">
        <f t="shared" si="202"/>
        <v>.</v>
      </c>
      <c r="AH322" s="3"/>
      <c r="AI322" s="699" t="str">
        <f>IF(S322=".",".",SUM($S322:S322))</f>
        <v>.</v>
      </c>
      <c r="AJ322" s="700" t="str">
        <f>IF(T322=".",".",SUM($S322:T322))</f>
        <v>.</v>
      </c>
      <c r="AK322" s="700" t="str">
        <f>IF(U322=".",".",SUM($S322:U322))</f>
        <v>.</v>
      </c>
      <c r="AL322" s="700" t="str">
        <f>IF(V322=".",".",SUM($S322:V322))</f>
        <v>.</v>
      </c>
      <c r="AM322" s="700" t="str">
        <f>IF(W322=".",".",SUM($S322:W322))</f>
        <v>.</v>
      </c>
      <c r="AN322" s="700" t="str">
        <f>IF(X322=".",".",SUM($S322:X322))</f>
        <v>.</v>
      </c>
      <c r="AO322" s="701" t="str">
        <f>IF(Y322=".",".",SUM($S322:Y322))</f>
        <v>.</v>
      </c>
      <c r="AP322" s="3"/>
      <c r="AQ322" s="985" t="str">
        <f t="shared" si="209"/>
        <v>.</v>
      </c>
      <c r="AR322" s="702" t="str">
        <f t="shared" si="203"/>
        <v>.</v>
      </c>
      <c r="AS322" s="702" t="str">
        <f t="shared" si="204"/>
        <v>.</v>
      </c>
      <c r="AT322" s="702" t="str">
        <f t="shared" si="205"/>
        <v>.</v>
      </c>
      <c r="AU322" s="702" t="str">
        <f t="shared" si="206"/>
        <v>.</v>
      </c>
      <c r="AV322" s="702" t="str">
        <f t="shared" si="207"/>
        <v>.</v>
      </c>
      <c r="AW322" s="986" t="str">
        <f t="shared" si="208"/>
        <v>.</v>
      </c>
      <c r="AX322" s="214"/>
      <c r="AY322" s="3"/>
      <c r="AZ322" s="3"/>
      <c r="BA322" s="3"/>
      <c r="BB322" s="3"/>
    </row>
    <row r="323" spans="1:54" ht="12" x14ac:dyDescent="0.25">
      <c r="A323" s="3"/>
      <c r="B323" s="212"/>
      <c r="C323" s="279" t="str">
        <f t="shared" si="228"/>
        <v>Mining</v>
      </c>
      <c r="D323" s="279" t="str">
        <f t="shared" si="228"/>
        <v/>
      </c>
      <c r="E323" s="557" t="str">
        <f t="shared" si="218"/>
        <v>.</v>
      </c>
      <c r="F323" s="579"/>
      <c r="G323" s="578"/>
      <c r="H323" s="578"/>
      <c r="I323" s="578"/>
      <c r="J323" s="578"/>
      <c r="K323" s="578"/>
      <c r="L323" s="578"/>
      <c r="M323" s="220"/>
      <c r="N323" s="3"/>
      <c r="O323" s="655">
        <f t="shared" si="229"/>
        <v>0</v>
      </c>
      <c r="P323" s="657">
        <f t="shared" si="229"/>
        <v>0</v>
      </c>
      <c r="Q323" s="3"/>
      <c r="R323" s="212"/>
      <c r="S323" s="699" t="str">
        <f t="shared" si="219"/>
        <v>.</v>
      </c>
      <c r="T323" s="700" t="str">
        <f t="shared" si="220"/>
        <v>.</v>
      </c>
      <c r="U323" s="700" t="str">
        <f t="shared" si="221"/>
        <v>.</v>
      </c>
      <c r="V323" s="700" t="str">
        <f t="shared" si="222"/>
        <v>.</v>
      </c>
      <c r="W323" s="700" t="str">
        <f t="shared" si="223"/>
        <v>.</v>
      </c>
      <c r="X323" s="700" t="str">
        <f t="shared" si="224"/>
        <v>.</v>
      </c>
      <c r="Y323" s="701" t="str">
        <f t="shared" si="225"/>
        <v>.</v>
      </c>
      <c r="Z323" s="3"/>
      <c r="AA323" s="985" t="str">
        <f t="shared" si="210"/>
        <v>.</v>
      </c>
      <c r="AB323" s="702" t="str">
        <f t="shared" si="197"/>
        <v>.</v>
      </c>
      <c r="AC323" s="702" t="str">
        <f t="shared" si="198"/>
        <v>.</v>
      </c>
      <c r="AD323" s="702" t="str">
        <f t="shared" si="199"/>
        <v>.</v>
      </c>
      <c r="AE323" s="702" t="str">
        <f t="shared" si="200"/>
        <v>.</v>
      </c>
      <c r="AF323" s="702" t="str">
        <f t="shared" si="201"/>
        <v>.</v>
      </c>
      <c r="AG323" s="986" t="str">
        <f t="shared" si="202"/>
        <v>.</v>
      </c>
      <c r="AH323" s="3"/>
      <c r="AI323" s="699" t="str">
        <f>IF(S323=".",".",SUM($S323:S323))</f>
        <v>.</v>
      </c>
      <c r="AJ323" s="700" t="str">
        <f>IF(T323=".",".",SUM($S323:T323))</f>
        <v>.</v>
      </c>
      <c r="AK323" s="700" t="str">
        <f>IF(U323=".",".",SUM($S323:U323))</f>
        <v>.</v>
      </c>
      <c r="AL323" s="700" t="str">
        <f>IF(V323=".",".",SUM($S323:V323))</f>
        <v>.</v>
      </c>
      <c r="AM323" s="700" t="str">
        <f>IF(W323=".",".",SUM($S323:W323))</f>
        <v>.</v>
      </c>
      <c r="AN323" s="700" t="str">
        <f>IF(X323=".",".",SUM($S323:X323))</f>
        <v>.</v>
      </c>
      <c r="AO323" s="701" t="str">
        <f>IF(Y323=".",".",SUM($S323:Y323))</f>
        <v>.</v>
      </c>
      <c r="AP323" s="3"/>
      <c r="AQ323" s="985" t="str">
        <f t="shared" si="209"/>
        <v>.</v>
      </c>
      <c r="AR323" s="702" t="str">
        <f t="shared" si="203"/>
        <v>.</v>
      </c>
      <c r="AS323" s="702" t="str">
        <f t="shared" si="204"/>
        <v>.</v>
      </c>
      <c r="AT323" s="702" t="str">
        <f t="shared" si="205"/>
        <v>.</v>
      </c>
      <c r="AU323" s="702" t="str">
        <f t="shared" si="206"/>
        <v>.</v>
      </c>
      <c r="AV323" s="702" t="str">
        <f t="shared" si="207"/>
        <v>.</v>
      </c>
      <c r="AW323" s="986" t="str">
        <f t="shared" si="208"/>
        <v>.</v>
      </c>
      <c r="AX323" s="214"/>
      <c r="AY323" s="3"/>
      <c r="AZ323" s="3"/>
      <c r="BA323" s="3"/>
      <c r="BB323" s="3"/>
    </row>
    <row r="324" spans="1:54" ht="12" x14ac:dyDescent="0.25">
      <c r="A324" s="3"/>
      <c r="B324" s="212"/>
      <c r="C324" s="279" t="str">
        <f t="shared" si="228"/>
        <v>Mining</v>
      </c>
      <c r="D324" s="279" t="str">
        <f t="shared" si="228"/>
        <v/>
      </c>
      <c r="E324" s="557" t="str">
        <f t="shared" si="218"/>
        <v>.</v>
      </c>
      <c r="F324" s="579"/>
      <c r="G324" s="578"/>
      <c r="H324" s="578"/>
      <c r="I324" s="578"/>
      <c r="J324" s="578"/>
      <c r="K324" s="578"/>
      <c r="L324" s="578"/>
      <c r="M324" s="220"/>
      <c r="N324" s="3"/>
      <c r="O324" s="655">
        <f t="shared" si="229"/>
        <v>0</v>
      </c>
      <c r="P324" s="657">
        <f t="shared" si="229"/>
        <v>0</v>
      </c>
      <c r="Q324" s="3"/>
      <c r="R324" s="212"/>
      <c r="S324" s="699" t="str">
        <f t="shared" si="219"/>
        <v>.</v>
      </c>
      <c r="T324" s="700" t="str">
        <f t="shared" si="220"/>
        <v>.</v>
      </c>
      <c r="U324" s="700" t="str">
        <f t="shared" si="221"/>
        <v>.</v>
      </c>
      <c r="V324" s="700" t="str">
        <f t="shared" si="222"/>
        <v>.</v>
      </c>
      <c r="W324" s="700" t="str">
        <f t="shared" si="223"/>
        <v>.</v>
      </c>
      <c r="X324" s="700" t="str">
        <f t="shared" si="224"/>
        <v>.</v>
      </c>
      <c r="Y324" s="701" t="str">
        <f t="shared" si="225"/>
        <v>.</v>
      </c>
      <c r="Z324" s="3"/>
      <c r="AA324" s="985" t="str">
        <f t="shared" si="210"/>
        <v>.</v>
      </c>
      <c r="AB324" s="702" t="str">
        <f t="shared" si="197"/>
        <v>.</v>
      </c>
      <c r="AC324" s="702" t="str">
        <f t="shared" si="198"/>
        <v>.</v>
      </c>
      <c r="AD324" s="702" t="str">
        <f t="shared" si="199"/>
        <v>.</v>
      </c>
      <c r="AE324" s="702" t="str">
        <f t="shared" si="200"/>
        <v>.</v>
      </c>
      <c r="AF324" s="702" t="str">
        <f t="shared" si="201"/>
        <v>.</v>
      </c>
      <c r="AG324" s="986" t="str">
        <f t="shared" si="202"/>
        <v>.</v>
      </c>
      <c r="AH324" s="3"/>
      <c r="AI324" s="699" t="str">
        <f>IF(S324=".",".",SUM($S324:S324))</f>
        <v>.</v>
      </c>
      <c r="AJ324" s="700" t="str">
        <f>IF(T324=".",".",SUM($S324:T324))</f>
        <v>.</v>
      </c>
      <c r="AK324" s="700" t="str">
        <f>IF(U324=".",".",SUM($S324:U324))</f>
        <v>.</v>
      </c>
      <c r="AL324" s="700" t="str">
        <f>IF(V324=".",".",SUM($S324:V324))</f>
        <v>.</v>
      </c>
      <c r="AM324" s="700" t="str">
        <f>IF(W324=".",".",SUM($S324:W324))</f>
        <v>.</v>
      </c>
      <c r="AN324" s="700" t="str">
        <f>IF(X324=".",".",SUM($S324:X324))</f>
        <v>.</v>
      </c>
      <c r="AO324" s="701" t="str">
        <f>IF(Y324=".",".",SUM($S324:Y324))</f>
        <v>.</v>
      </c>
      <c r="AP324" s="3"/>
      <c r="AQ324" s="985" t="str">
        <f t="shared" si="209"/>
        <v>.</v>
      </c>
      <c r="AR324" s="702" t="str">
        <f t="shared" si="203"/>
        <v>.</v>
      </c>
      <c r="AS324" s="702" t="str">
        <f t="shared" si="204"/>
        <v>.</v>
      </c>
      <c r="AT324" s="702" t="str">
        <f t="shared" si="205"/>
        <v>.</v>
      </c>
      <c r="AU324" s="702" t="str">
        <f t="shared" si="206"/>
        <v>.</v>
      </c>
      <c r="AV324" s="702" t="str">
        <f t="shared" si="207"/>
        <v>.</v>
      </c>
      <c r="AW324" s="986" t="str">
        <f t="shared" si="208"/>
        <v>.</v>
      </c>
      <c r="AX324" s="214"/>
      <c r="AY324" s="3"/>
      <c r="AZ324" s="3"/>
      <c r="BA324" s="3"/>
      <c r="BB324" s="3"/>
    </row>
    <row r="325" spans="1:54" ht="12" x14ac:dyDescent="0.25">
      <c r="A325" s="3"/>
      <c r="B325" s="212"/>
      <c r="C325" s="279" t="str">
        <f t="shared" si="228"/>
        <v>Mining</v>
      </c>
      <c r="D325" s="279" t="str">
        <f t="shared" si="228"/>
        <v/>
      </c>
      <c r="E325" s="557" t="str">
        <f t="shared" si="218"/>
        <v>.</v>
      </c>
      <c r="F325" s="579"/>
      <c r="G325" s="578"/>
      <c r="H325" s="578"/>
      <c r="I325" s="578"/>
      <c r="J325" s="578"/>
      <c r="K325" s="578"/>
      <c r="L325" s="578"/>
      <c r="M325" s="220"/>
      <c r="N325" s="3"/>
      <c r="O325" s="655">
        <f t="shared" si="229"/>
        <v>0</v>
      </c>
      <c r="P325" s="657">
        <f t="shared" si="229"/>
        <v>0</v>
      </c>
      <c r="Q325" s="3"/>
      <c r="R325" s="212"/>
      <c r="S325" s="699" t="str">
        <f t="shared" si="219"/>
        <v>.</v>
      </c>
      <c r="T325" s="700" t="str">
        <f t="shared" si="220"/>
        <v>.</v>
      </c>
      <c r="U325" s="700" t="str">
        <f t="shared" si="221"/>
        <v>.</v>
      </c>
      <c r="V325" s="700" t="str">
        <f t="shared" si="222"/>
        <v>.</v>
      </c>
      <c r="W325" s="700" t="str">
        <f t="shared" si="223"/>
        <v>.</v>
      </c>
      <c r="X325" s="700" t="str">
        <f t="shared" si="224"/>
        <v>.</v>
      </c>
      <c r="Y325" s="701" t="str">
        <f t="shared" si="225"/>
        <v>.</v>
      </c>
      <c r="Z325" s="3"/>
      <c r="AA325" s="985" t="str">
        <f t="shared" si="210"/>
        <v>.</v>
      </c>
      <c r="AB325" s="702" t="str">
        <f t="shared" si="197"/>
        <v>.</v>
      </c>
      <c r="AC325" s="702" t="str">
        <f t="shared" si="198"/>
        <v>.</v>
      </c>
      <c r="AD325" s="702" t="str">
        <f t="shared" si="199"/>
        <v>.</v>
      </c>
      <c r="AE325" s="702" t="str">
        <f t="shared" si="200"/>
        <v>.</v>
      </c>
      <c r="AF325" s="702" t="str">
        <f t="shared" si="201"/>
        <v>.</v>
      </c>
      <c r="AG325" s="986" t="str">
        <f t="shared" si="202"/>
        <v>.</v>
      </c>
      <c r="AH325" s="3"/>
      <c r="AI325" s="699" t="str">
        <f>IF(S325=".",".",SUM($S325:S325))</f>
        <v>.</v>
      </c>
      <c r="AJ325" s="700" t="str">
        <f>IF(T325=".",".",SUM($S325:T325))</f>
        <v>.</v>
      </c>
      <c r="AK325" s="700" t="str">
        <f>IF(U325=".",".",SUM($S325:U325))</f>
        <v>.</v>
      </c>
      <c r="AL325" s="700" t="str">
        <f>IF(V325=".",".",SUM($S325:V325))</f>
        <v>.</v>
      </c>
      <c r="AM325" s="700" t="str">
        <f>IF(W325=".",".",SUM($S325:W325))</f>
        <v>.</v>
      </c>
      <c r="AN325" s="700" t="str">
        <f>IF(X325=".",".",SUM($S325:X325))</f>
        <v>.</v>
      </c>
      <c r="AO325" s="701" t="str">
        <f>IF(Y325=".",".",SUM($S325:Y325))</f>
        <v>.</v>
      </c>
      <c r="AP325" s="3"/>
      <c r="AQ325" s="985" t="str">
        <f t="shared" si="209"/>
        <v>.</v>
      </c>
      <c r="AR325" s="702" t="str">
        <f t="shared" si="203"/>
        <v>.</v>
      </c>
      <c r="AS325" s="702" t="str">
        <f t="shared" si="204"/>
        <v>.</v>
      </c>
      <c r="AT325" s="702" t="str">
        <f t="shared" si="205"/>
        <v>.</v>
      </c>
      <c r="AU325" s="702" t="str">
        <f t="shared" si="206"/>
        <v>.</v>
      </c>
      <c r="AV325" s="702" t="str">
        <f t="shared" si="207"/>
        <v>.</v>
      </c>
      <c r="AW325" s="986" t="str">
        <f t="shared" si="208"/>
        <v>.</v>
      </c>
      <c r="AX325" s="214"/>
      <c r="AY325" s="3"/>
      <c r="AZ325" s="3"/>
      <c r="BA325" s="3"/>
      <c r="BB325" s="3"/>
    </row>
    <row r="326" spans="1:54" ht="12" x14ac:dyDescent="0.25">
      <c r="A326" s="3"/>
      <c r="B326" s="212"/>
      <c r="C326" s="279" t="str">
        <f t="shared" si="228"/>
        <v>Mining</v>
      </c>
      <c r="D326" s="279" t="str">
        <f t="shared" si="228"/>
        <v/>
      </c>
      <c r="E326" s="557" t="str">
        <f t="shared" si="218"/>
        <v>.</v>
      </c>
      <c r="F326" s="579"/>
      <c r="G326" s="578"/>
      <c r="H326" s="578"/>
      <c r="I326" s="578"/>
      <c r="J326" s="578"/>
      <c r="K326" s="578"/>
      <c r="L326" s="578"/>
      <c r="M326" s="220"/>
      <c r="N326" s="3"/>
      <c r="O326" s="655">
        <f t="shared" si="229"/>
        <v>0</v>
      </c>
      <c r="P326" s="657">
        <f t="shared" si="229"/>
        <v>0</v>
      </c>
      <c r="Q326" s="3"/>
      <c r="R326" s="212"/>
      <c r="S326" s="699" t="str">
        <f t="shared" si="219"/>
        <v>.</v>
      </c>
      <c r="T326" s="700" t="str">
        <f t="shared" si="220"/>
        <v>.</v>
      </c>
      <c r="U326" s="700" t="str">
        <f t="shared" si="221"/>
        <v>.</v>
      </c>
      <c r="V326" s="700" t="str">
        <f t="shared" si="222"/>
        <v>.</v>
      </c>
      <c r="W326" s="700" t="str">
        <f t="shared" si="223"/>
        <v>.</v>
      </c>
      <c r="X326" s="700" t="str">
        <f t="shared" si="224"/>
        <v>.</v>
      </c>
      <c r="Y326" s="701" t="str">
        <f t="shared" si="225"/>
        <v>.</v>
      </c>
      <c r="Z326" s="3"/>
      <c r="AA326" s="985" t="str">
        <f t="shared" si="210"/>
        <v>.</v>
      </c>
      <c r="AB326" s="702" t="str">
        <f t="shared" si="197"/>
        <v>.</v>
      </c>
      <c r="AC326" s="702" t="str">
        <f t="shared" si="198"/>
        <v>.</v>
      </c>
      <c r="AD326" s="702" t="str">
        <f t="shared" si="199"/>
        <v>.</v>
      </c>
      <c r="AE326" s="702" t="str">
        <f t="shared" si="200"/>
        <v>.</v>
      </c>
      <c r="AF326" s="702" t="str">
        <f t="shared" si="201"/>
        <v>.</v>
      </c>
      <c r="AG326" s="986" t="str">
        <f t="shared" si="202"/>
        <v>.</v>
      </c>
      <c r="AH326" s="3"/>
      <c r="AI326" s="699" t="str">
        <f>IF(S326=".",".",SUM($S326:S326))</f>
        <v>.</v>
      </c>
      <c r="AJ326" s="700" t="str">
        <f>IF(T326=".",".",SUM($S326:T326))</f>
        <v>.</v>
      </c>
      <c r="AK326" s="700" t="str">
        <f>IF(U326=".",".",SUM($S326:U326))</f>
        <v>.</v>
      </c>
      <c r="AL326" s="700" t="str">
        <f>IF(V326=".",".",SUM($S326:V326))</f>
        <v>.</v>
      </c>
      <c r="AM326" s="700" t="str">
        <f>IF(W326=".",".",SUM($S326:W326))</f>
        <v>.</v>
      </c>
      <c r="AN326" s="700" t="str">
        <f>IF(X326=".",".",SUM($S326:X326))</f>
        <v>.</v>
      </c>
      <c r="AO326" s="701" t="str">
        <f>IF(Y326=".",".",SUM($S326:Y326))</f>
        <v>.</v>
      </c>
      <c r="AP326" s="3"/>
      <c r="AQ326" s="985" t="str">
        <f t="shared" si="209"/>
        <v>.</v>
      </c>
      <c r="AR326" s="702" t="str">
        <f t="shared" si="203"/>
        <v>.</v>
      </c>
      <c r="AS326" s="702" t="str">
        <f t="shared" si="204"/>
        <v>.</v>
      </c>
      <c r="AT326" s="702" t="str">
        <f t="shared" si="205"/>
        <v>.</v>
      </c>
      <c r="AU326" s="702" t="str">
        <f t="shared" si="206"/>
        <v>.</v>
      </c>
      <c r="AV326" s="702" t="str">
        <f t="shared" si="207"/>
        <v>.</v>
      </c>
      <c r="AW326" s="986" t="str">
        <f t="shared" si="208"/>
        <v>.</v>
      </c>
      <c r="AX326" s="214"/>
      <c r="AY326" s="3"/>
      <c r="AZ326" s="3"/>
      <c r="BA326" s="3"/>
      <c r="BB326" s="3"/>
    </row>
    <row r="327" spans="1:54" ht="12" x14ac:dyDescent="0.25">
      <c r="A327" s="3"/>
      <c r="B327" s="212"/>
      <c r="C327" s="279" t="str">
        <f t="shared" si="228"/>
        <v>Mining</v>
      </c>
      <c r="D327" s="279" t="str">
        <f t="shared" si="228"/>
        <v/>
      </c>
      <c r="E327" s="557" t="str">
        <f t="shared" si="218"/>
        <v>.</v>
      </c>
      <c r="F327" s="579"/>
      <c r="G327" s="578"/>
      <c r="H327" s="578"/>
      <c r="I327" s="578"/>
      <c r="J327" s="578"/>
      <c r="K327" s="578"/>
      <c r="L327" s="578"/>
      <c r="M327" s="220"/>
      <c r="N327" s="3"/>
      <c r="O327" s="655">
        <f t="shared" si="229"/>
        <v>0</v>
      </c>
      <c r="P327" s="657">
        <f t="shared" si="229"/>
        <v>0</v>
      </c>
      <c r="Q327" s="3"/>
      <c r="R327" s="212"/>
      <c r="S327" s="699" t="str">
        <f t="shared" si="219"/>
        <v>.</v>
      </c>
      <c r="T327" s="700" t="str">
        <f t="shared" si="220"/>
        <v>.</v>
      </c>
      <c r="U327" s="700" t="str">
        <f t="shared" si="221"/>
        <v>.</v>
      </c>
      <c r="V327" s="700" t="str">
        <f t="shared" si="222"/>
        <v>.</v>
      </c>
      <c r="W327" s="700" t="str">
        <f t="shared" si="223"/>
        <v>.</v>
      </c>
      <c r="X327" s="700" t="str">
        <f t="shared" si="224"/>
        <v>.</v>
      </c>
      <c r="Y327" s="701" t="str">
        <f t="shared" si="225"/>
        <v>.</v>
      </c>
      <c r="Z327" s="3"/>
      <c r="AA327" s="985" t="str">
        <f t="shared" si="210"/>
        <v>.</v>
      </c>
      <c r="AB327" s="702" t="str">
        <f t="shared" si="197"/>
        <v>.</v>
      </c>
      <c r="AC327" s="702" t="str">
        <f t="shared" si="198"/>
        <v>.</v>
      </c>
      <c r="AD327" s="702" t="str">
        <f t="shared" si="199"/>
        <v>.</v>
      </c>
      <c r="AE327" s="702" t="str">
        <f t="shared" si="200"/>
        <v>.</v>
      </c>
      <c r="AF327" s="702" t="str">
        <f t="shared" si="201"/>
        <v>.</v>
      </c>
      <c r="AG327" s="986" t="str">
        <f t="shared" si="202"/>
        <v>.</v>
      </c>
      <c r="AH327" s="3"/>
      <c r="AI327" s="699" t="str">
        <f>IF(S327=".",".",SUM($S327:S327))</f>
        <v>.</v>
      </c>
      <c r="AJ327" s="700" t="str">
        <f>IF(T327=".",".",SUM($S327:T327))</f>
        <v>.</v>
      </c>
      <c r="AK327" s="700" t="str">
        <f>IF(U327=".",".",SUM($S327:U327))</f>
        <v>.</v>
      </c>
      <c r="AL327" s="700" t="str">
        <f>IF(V327=".",".",SUM($S327:V327))</f>
        <v>.</v>
      </c>
      <c r="AM327" s="700" t="str">
        <f>IF(W327=".",".",SUM($S327:W327))</f>
        <v>.</v>
      </c>
      <c r="AN327" s="700" t="str">
        <f>IF(X327=".",".",SUM($S327:X327))</f>
        <v>.</v>
      </c>
      <c r="AO327" s="701" t="str">
        <f>IF(Y327=".",".",SUM($S327:Y327))</f>
        <v>.</v>
      </c>
      <c r="AP327" s="3"/>
      <c r="AQ327" s="985" t="str">
        <f t="shared" si="209"/>
        <v>.</v>
      </c>
      <c r="AR327" s="702" t="str">
        <f t="shared" si="203"/>
        <v>.</v>
      </c>
      <c r="AS327" s="702" t="str">
        <f t="shared" si="204"/>
        <v>.</v>
      </c>
      <c r="AT327" s="702" t="str">
        <f t="shared" si="205"/>
        <v>.</v>
      </c>
      <c r="AU327" s="702" t="str">
        <f t="shared" si="206"/>
        <v>.</v>
      </c>
      <c r="AV327" s="702" t="str">
        <f t="shared" si="207"/>
        <v>.</v>
      </c>
      <c r="AW327" s="986" t="str">
        <f t="shared" si="208"/>
        <v>.</v>
      </c>
      <c r="AX327" s="214"/>
      <c r="AY327" s="3"/>
      <c r="AZ327" s="3"/>
      <c r="BA327" s="3"/>
      <c r="BB327" s="3"/>
    </row>
    <row r="328" spans="1:54" ht="12" x14ac:dyDescent="0.25">
      <c r="A328" s="3"/>
      <c r="B328" s="212"/>
      <c r="C328" s="279" t="str">
        <f t="shared" si="228"/>
        <v>Mining</v>
      </c>
      <c r="D328" s="279" t="str">
        <f t="shared" si="228"/>
        <v/>
      </c>
      <c r="E328" s="557" t="str">
        <f t="shared" si="218"/>
        <v>.</v>
      </c>
      <c r="F328" s="579"/>
      <c r="G328" s="578"/>
      <c r="H328" s="578"/>
      <c r="I328" s="578"/>
      <c r="J328" s="578"/>
      <c r="K328" s="578"/>
      <c r="L328" s="578"/>
      <c r="M328" s="220"/>
      <c r="N328" s="3"/>
      <c r="O328" s="655">
        <f t="shared" si="229"/>
        <v>0</v>
      </c>
      <c r="P328" s="657">
        <f t="shared" si="229"/>
        <v>0</v>
      </c>
      <c r="Q328" s="3"/>
      <c r="R328" s="212"/>
      <c r="S328" s="699" t="str">
        <f t="shared" si="219"/>
        <v>.</v>
      </c>
      <c r="T328" s="700" t="str">
        <f t="shared" si="220"/>
        <v>.</v>
      </c>
      <c r="U328" s="700" t="str">
        <f t="shared" si="221"/>
        <v>.</v>
      </c>
      <c r="V328" s="700" t="str">
        <f t="shared" si="222"/>
        <v>.</v>
      </c>
      <c r="W328" s="700" t="str">
        <f t="shared" si="223"/>
        <v>.</v>
      </c>
      <c r="X328" s="700" t="str">
        <f t="shared" si="224"/>
        <v>.</v>
      </c>
      <c r="Y328" s="701" t="str">
        <f t="shared" si="225"/>
        <v>.</v>
      </c>
      <c r="Z328" s="3"/>
      <c r="AA328" s="985" t="str">
        <f t="shared" si="210"/>
        <v>.</v>
      </c>
      <c r="AB328" s="702" t="str">
        <f t="shared" si="197"/>
        <v>.</v>
      </c>
      <c r="AC328" s="702" t="str">
        <f t="shared" si="198"/>
        <v>.</v>
      </c>
      <c r="AD328" s="702" t="str">
        <f t="shared" si="199"/>
        <v>.</v>
      </c>
      <c r="AE328" s="702" t="str">
        <f t="shared" si="200"/>
        <v>.</v>
      </c>
      <c r="AF328" s="702" t="str">
        <f t="shared" si="201"/>
        <v>.</v>
      </c>
      <c r="AG328" s="986" t="str">
        <f t="shared" si="202"/>
        <v>.</v>
      </c>
      <c r="AH328" s="3"/>
      <c r="AI328" s="699" t="str">
        <f>IF(S328=".",".",SUM($S328:S328))</f>
        <v>.</v>
      </c>
      <c r="AJ328" s="700" t="str">
        <f>IF(T328=".",".",SUM($S328:T328))</f>
        <v>.</v>
      </c>
      <c r="AK328" s="700" t="str">
        <f>IF(U328=".",".",SUM($S328:U328))</f>
        <v>.</v>
      </c>
      <c r="AL328" s="700" t="str">
        <f>IF(V328=".",".",SUM($S328:V328))</f>
        <v>.</v>
      </c>
      <c r="AM328" s="700" t="str">
        <f>IF(W328=".",".",SUM($S328:W328))</f>
        <v>.</v>
      </c>
      <c r="AN328" s="700" t="str">
        <f>IF(X328=".",".",SUM($S328:X328))</f>
        <v>.</v>
      </c>
      <c r="AO328" s="701" t="str">
        <f>IF(Y328=".",".",SUM($S328:Y328))</f>
        <v>.</v>
      </c>
      <c r="AP328" s="3"/>
      <c r="AQ328" s="985" t="str">
        <f t="shared" si="209"/>
        <v>.</v>
      </c>
      <c r="AR328" s="702" t="str">
        <f t="shared" si="203"/>
        <v>.</v>
      </c>
      <c r="AS328" s="702" t="str">
        <f t="shared" si="204"/>
        <v>.</v>
      </c>
      <c r="AT328" s="702" t="str">
        <f t="shared" si="205"/>
        <v>.</v>
      </c>
      <c r="AU328" s="702" t="str">
        <f t="shared" si="206"/>
        <v>.</v>
      </c>
      <c r="AV328" s="702" t="str">
        <f t="shared" si="207"/>
        <v>.</v>
      </c>
      <c r="AW328" s="986" t="str">
        <f t="shared" si="208"/>
        <v>.</v>
      </c>
      <c r="AX328" s="214"/>
      <c r="AY328" s="3"/>
      <c r="AZ328" s="3"/>
      <c r="BA328" s="3"/>
      <c r="BB328" s="3"/>
    </row>
    <row r="329" spans="1:54" ht="12" x14ac:dyDescent="0.25">
      <c r="A329" s="3"/>
      <c r="B329" s="212"/>
      <c r="C329" s="279" t="str">
        <f t="shared" si="228"/>
        <v>Mining</v>
      </c>
      <c r="D329" s="279" t="str">
        <f t="shared" si="228"/>
        <v/>
      </c>
      <c r="E329" s="557" t="str">
        <f t="shared" si="218"/>
        <v>.</v>
      </c>
      <c r="F329" s="579"/>
      <c r="G329" s="578"/>
      <c r="H329" s="578"/>
      <c r="I329" s="578"/>
      <c r="J329" s="578"/>
      <c r="K329" s="578"/>
      <c r="L329" s="578"/>
      <c r="M329" s="220"/>
      <c r="N329" s="3"/>
      <c r="O329" s="655">
        <f t="shared" si="229"/>
        <v>0</v>
      </c>
      <c r="P329" s="657">
        <f t="shared" si="229"/>
        <v>0</v>
      </c>
      <c r="Q329" s="3"/>
      <c r="R329" s="212"/>
      <c r="S329" s="699" t="str">
        <f t="shared" si="219"/>
        <v>.</v>
      </c>
      <c r="T329" s="700" t="str">
        <f t="shared" si="220"/>
        <v>.</v>
      </c>
      <c r="U329" s="700" t="str">
        <f t="shared" si="221"/>
        <v>.</v>
      </c>
      <c r="V329" s="700" t="str">
        <f t="shared" si="222"/>
        <v>.</v>
      </c>
      <c r="W329" s="700" t="str">
        <f t="shared" si="223"/>
        <v>.</v>
      </c>
      <c r="X329" s="700" t="str">
        <f t="shared" si="224"/>
        <v>.</v>
      </c>
      <c r="Y329" s="701" t="str">
        <f t="shared" si="225"/>
        <v>.</v>
      </c>
      <c r="Z329" s="3"/>
      <c r="AA329" s="985" t="str">
        <f t="shared" si="210"/>
        <v>.</v>
      </c>
      <c r="AB329" s="702" t="str">
        <f t="shared" si="197"/>
        <v>.</v>
      </c>
      <c r="AC329" s="702" t="str">
        <f t="shared" si="198"/>
        <v>.</v>
      </c>
      <c r="AD329" s="702" t="str">
        <f t="shared" si="199"/>
        <v>.</v>
      </c>
      <c r="AE329" s="702" t="str">
        <f t="shared" si="200"/>
        <v>.</v>
      </c>
      <c r="AF329" s="702" t="str">
        <f t="shared" si="201"/>
        <v>.</v>
      </c>
      <c r="AG329" s="986" t="str">
        <f t="shared" si="202"/>
        <v>.</v>
      </c>
      <c r="AH329" s="3"/>
      <c r="AI329" s="699" t="str">
        <f>IF(S329=".",".",SUM($S329:S329))</f>
        <v>.</v>
      </c>
      <c r="AJ329" s="700" t="str">
        <f>IF(T329=".",".",SUM($S329:T329))</f>
        <v>.</v>
      </c>
      <c r="AK329" s="700" t="str">
        <f>IF(U329=".",".",SUM($S329:U329))</f>
        <v>.</v>
      </c>
      <c r="AL329" s="700" t="str">
        <f>IF(V329=".",".",SUM($S329:V329))</f>
        <v>.</v>
      </c>
      <c r="AM329" s="700" t="str">
        <f>IF(W329=".",".",SUM($S329:W329))</f>
        <v>.</v>
      </c>
      <c r="AN329" s="700" t="str">
        <f>IF(X329=".",".",SUM($S329:X329))</f>
        <v>.</v>
      </c>
      <c r="AO329" s="701" t="str">
        <f>IF(Y329=".",".",SUM($S329:Y329))</f>
        <v>.</v>
      </c>
      <c r="AP329" s="3"/>
      <c r="AQ329" s="985" t="str">
        <f t="shared" si="209"/>
        <v>.</v>
      </c>
      <c r="AR329" s="702" t="str">
        <f t="shared" si="203"/>
        <v>.</v>
      </c>
      <c r="AS329" s="702" t="str">
        <f t="shared" si="204"/>
        <v>.</v>
      </c>
      <c r="AT329" s="702" t="str">
        <f t="shared" si="205"/>
        <v>.</v>
      </c>
      <c r="AU329" s="702" t="str">
        <f t="shared" si="206"/>
        <v>.</v>
      </c>
      <c r="AV329" s="702" t="str">
        <f t="shared" si="207"/>
        <v>.</v>
      </c>
      <c r="AW329" s="986" t="str">
        <f t="shared" si="208"/>
        <v>.</v>
      </c>
      <c r="AX329" s="214"/>
      <c r="AY329" s="3"/>
      <c r="AZ329" s="3"/>
      <c r="BA329" s="3"/>
      <c r="BB329" s="3"/>
    </row>
    <row r="330" spans="1:54" ht="12" x14ac:dyDescent="0.25">
      <c r="A330" s="3"/>
      <c r="B330" s="212"/>
      <c r="C330" s="279" t="str">
        <f t="shared" si="228"/>
        <v>Mining</v>
      </c>
      <c r="D330" s="279" t="str">
        <f t="shared" si="228"/>
        <v/>
      </c>
      <c r="E330" s="557" t="str">
        <f t="shared" si="218"/>
        <v>.</v>
      </c>
      <c r="F330" s="579"/>
      <c r="G330" s="578"/>
      <c r="H330" s="578"/>
      <c r="I330" s="578"/>
      <c r="J330" s="578"/>
      <c r="K330" s="578"/>
      <c r="L330" s="578"/>
      <c r="M330" s="220"/>
      <c r="N330" s="3"/>
      <c r="O330" s="655">
        <f t="shared" si="229"/>
        <v>0</v>
      </c>
      <c r="P330" s="657">
        <f t="shared" si="229"/>
        <v>0</v>
      </c>
      <c r="Q330" s="3"/>
      <c r="R330" s="212"/>
      <c r="S330" s="699" t="str">
        <f t="shared" si="219"/>
        <v>.</v>
      </c>
      <c r="T330" s="700" t="str">
        <f t="shared" si="220"/>
        <v>.</v>
      </c>
      <c r="U330" s="700" t="str">
        <f t="shared" si="221"/>
        <v>.</v>
      </c>
      <c r="V330" s="700" t="str">
        <f t="shared" si="222"/>
        <v>.</v>
      </c>
      <c r="W330" s="700" t="str">
        <f t="shared" si="223"/>
        <v>.</v>
      </c>
      <c r="X330" s="700" t="str">
        <f t="shared" si="224"/>
        <v>.</v>
      </c>
      <c r="Y330" s="701" t="str">
        <f t="shared" si="225"/>
        <v>.</v>
      </c>
      <c r="Z330" s="3"/>
      <c r="AA330" s="985" t="str">
        <f t="shared" si="210"/>
        <v>.</v>
      </c>
      <c r="AB330" s="702" t="str">
        <f t="shared" si="197"/>
        <v>.</v>
      </c>
      <c r="AC330" s="702" t="str">
        <f t="shared" si="198"/>
        <v>.</v>
      </c>
      <c r="AD330" s="702" t="str">
        <f t="shared" si="199"/>
        <v>.</v>
      </c>
      <c r="AE330" s="702" t="str">
        <f t="shared" si="200"/>
        <v>.</v>
      </c>
      <c r="AF330" s="702" t="str">
        <f t="shared" si="201"/>
        <v>.</v>
      </c>
      <c r="AG330" s="986" t="str">
        <f t="shared" si="202"/>
        <v>.</v>
      </c>
      <c r="AH330" s="3"/>
      <c r="AI330" s="699" t="str">
        <f>IF(S330=".",".",SUM($S330:S330))</f>
        <v>.</v>
      </c>
      <c r="AJ330" s="700" t="str">
        <f>IF(T330=".",".",SUM($S330:T330))</f>
        <v>.</v>
      </c>
      <c r="AK330" s="700" t="str">
        <f>IF(U330=".",".",SUM($S330:U330))</f>
        <v>.</v>
      </c>
      <c r="AL330" s="700" t="str">
        <f>IF(V330=".",".",SUM($S330:V330))</f>
        <v>.</v>
      </c>
      <c r="AM330" s="700" t="str">
        <f>IF(W330=".",".",SUM($S330:W330))</f>
        <v>.</v>
      </c>
      <c r="AN330" s="700" t="str">
        <f>IF(X330=".",".",SUM($S330:X330))</f>
        <v>.</v>
      </c>
      <c r="AO330" s="701" t="str">
        <f>IF(Y330=".",".",SUM($S330:Y330))</f>
        <v>.</v>
      </c>
      <c r="AP330" s="3"/>
      <c r="AQ330" s="985" t="str">
        <f t="shared" si="209"/>
        <v>.</v>
      </c>
      <c r="AR330" s="702" t="str">
        <f t="shared" si="203"/>
        <v>.</v>
      </c>
      <c r="AS330" s="702" t="str">
        <f t="shared" si="204"/>
        <v>.</v>
      </c>
      <c r="AT330" s="702" t="str">
        <f t="shared" si="205"/>
        <v>.</v>
      </c>
      <c r="AU330" s="702" t="str">
        <f t="shared" si="206"/>
        <v>.</v>
      </c>
      <c r="AV330" s="702" t="str">
        <f t="shared" si="207"/>
        <v>.</v>
      </c>
      <c r="AW330" s="986" t="str">
        <f t="shared" si="208"/>
        <v>.</v>
      </c>
      <c r="AX330" s="214"/>
      <c r="AY330" s="3"/>
      <c r="AZ330" s="3"/>
      <c r="BA330" s="3"/>
      <c r="BB330" s="3"/>
    </row>
    <row r="331" spans="1:54" ht="12" x14ac:dyDescent="0.25">
      <c r="A331" s="3"/>
      <c r="B331" s="212"/>
      <c r="C331" s="279" t="str">
        <f t="shared" si="228"/>
        <v>Special rate</v>
      </c>
      <c r="D331" s="279" t="str">
        <f t="shared" si="228"/>
        <v/>
      </c>
      <c r="E331" s="557" t="str">
        <f t="shared" si="218"/>
        <v>.</v>
      </c>
      <c r="F331" s="579"/>
      <c r="G331" s="578"/>
      <c r="H331" s="578"/>
      <c r="I331" s="578"/>
      <c r="J331" s="578"/>
      <c r="K331" s="578"/>
      <c r="L331" s="578"/>
      <c r="M331" s="220"/>
      <c r="N331" s="3"/>
      <c r="O331" s="655">
        <f t="shared" si="229"/>
        <v>0</v>
      </c>
      <c r="P331" s="657">
        <f t="shared" si="229"/>
        <v>0</v>
      </c>
      <c r="Q331" s="3"/>
      <c r="R331" s="212"/>
      <c r="S331" s="699" t="str">
        <f t="shared" si="219"/>
        <v>.</v>
      </c>
      <c r="T331" s="700" t="str">
        <f t="shared" si="220"/>
        <v>.</v>
      </c>
      <c r="U331" s="700" t="str">
        <f t="shared" si="221"/>
        <v>.</v>
      </c>
      <c r="V331" s="700" t="str">
        <f t="shared" si="222"/>
        <v>.</v>
      </c>
      <c r="W331" s="700" t="str">
        <f t="shared" si="223"/>
        <v>.</v>
      </c>
      <c r="X331" s="700" t="str">
        <f t="shared" si="224"/>
        <v>.</v>
      </c>
      <c r="Y331" s="701" t="str">
        <f t="shared" si="225"/>
        <v>.</v>
      </c>
      <c r="Z331" s="3"/>
      <c r="AA331" s="985" t="str">
        <f t="shared" si="210"/>
        <v>.</v>
      </c>
      <c r="AB331" s="702" t="str">
        <f t="shared" si="197"/>
        <v>.</v>
      </c>
      <c r="AC331" s="702" t="str">
        <f t="shared" si="198"/>
        <v>.</v>
      </c>
      <c r="AD331" s="702" t="str">
        <f t="shared" si="199"/>
        <v>.</v>
      </c>
      <c r="AE331" s="702" t="str">
        <f t="shared" si="200"/>
        <v>.</v>
      </c>
      <c r="AF331" s="702" t="str">
        <f t="shared" si="201"/>
        <v>.</v>
      </c>
      <c r="AG331" s="986" t="str">
        <f t="shared" si="202"/>
        <v>.</v>
      </c>
      <c r="AH331" s="3"/>
      <c r="AI331" s="699" t="str">
        <f>IF(S331=".",".",SUM($S331:S331))</f>
        <v>.</v>
      </c>
      <c r="AJ331" s="700" t="str">
        <f>IF(T331=".",".",SUM($S331:T331))</f>
        <v>.</v>
      </c>
      <c r="AK331" s="700" t="str">
        <f>IF(U331=".",".",SUM($S331:U331))</f>
        <v>.</v>
      </c>
      <c r="AL331" s="700" t="str">
        <f>IF(V331=".",".",SUM($S331:V331))</f>
        <v>.</v>
      </c>
      <c r="AM331" s="700" t="str">
        <f>IF(W331=".",".",SUM($S331:W331))</f>
        <v>.</v>
      </c>
      <c r="AN331" s="700" t="str">
        <f>IF(X331=".",".",SUM($S331:X331))</f>
        <v>.</v>
      </c>
      <c r="AO331" s="701" t="str">
        <f>IF(Y331=".",".",SUM($S331:Y331))</f>
        <v>.</v>
      </c>
      <c r="AP331" s="3"/>
      <c r="AQ331" s="985" t="str">
        <f t="shared" si="209"/>
        <v>.</v>
      </c>
      <c r="AR331" s="702" t="str">
        <f t="shared" si="203"/>
        <v>.</v>
      </c>
      <c r="AS331" s="702" t="str">
        <f t="shared" si="204"/>
        <v>.</v>
      </c>
      <c r="AT331" s="702" t="str">
        <f t="shared" si="205"/>
        <v>.</v>
      </c>
      <c r="AU331" s="702" t="str">
        <f t="shared" si="206"/>
        <v>.</v>
      </c>
      <c r="AV331" s="702" t="str">
        <f t="shared" si="207"/>
        <v>.</v>
      </c>
      <c r="AW331" s="986" t="str">
        <f t="shared" si="208"/>
        <v>.</v>
      </c>
      <c r="AX331" s="214"/>
      <c r="AY331" s="3"/>
      <c r="AZ331" s="3"/>
      <c r="BA331" s="3"/>
      <c r="BB331" s="3"/>
    </row>
    <row r="332" spans="1:54" ht="12" x14ac:dyDescent="0.25">
      <c r="A332" s="3"/>
      <c r="B332" s="212"/>
      <c r="C332" s="279" t="str">
        <f t="shared" si="228"/>
        <v>Special rate</v>
      </c>
      <c r="D332" s="279" t="str">
        <f t="shared" si="228"/>
        <v/>
      </c>
      <c r="E332" s="557" t="str">
        <f t="shared" si="218"/>
        <v>.</v>
      </c>
      <c r="F332" s="579"/>
      <c r="G332" s="578"/>
      <c r="H332" s="578"/>
      <c r="I332" s="578"/>
      <c r="J332" s="578"/>
      <c r="K332" s="578"/>
      <c r="L332" s="578"/>
      <c r="M332" s="220"/>
      <c r="N332" s="3"/>
      <c r="O332" s="655">
        <f t="shared" si="229"/>
        <v>0</v>
      </c>
      <c r="P332" s="657">
        <f t="shared" si="229"/>
        <v>0</v>
      </c>
      <c r="Q332" s="3"/>
      <c r="R332" s="212"/>
      <c r="S332" s="699" t="str">
        <f t="shared" si="219"/>
        <v>.</v>
      </c>
      <c r="T332" s="700" t="str">
        <f t="shared" si="220"/>
        <v>.</v>
      </c>
      <c r="U332" s="700" t="str">
        <f t="shared" si="221"/>
        <v>.</v>
      </c>
      <c r="V332" s="700" t="str">
        <f t="shared" si="222"/>
        <v>.</v>
      </c>
      <c r="W332" s="700" t="str">
        <f t="shared" si="223"/>
        <v>.</v>
      </c>
      <c r="X332" s="700" t="str">
        <f t="shared" si="224"/>
        <v>.</v>
      </c>
      <c r="Y332" s="701" t="str">
        <f t="shared" si="225"/>
        <v>.</v>
      </c>
      <c r="Z332" s="3"/>
      <c r="AA332" s="985" t="str">
        <f t="shared" si="210"/>
        <v>.</v>
      </c>
      <c r="AB332" s="702" t="str">
        <f t="shared" si="197"/>
        <v>.</v>
      </c>
      <c r="AC332" s="702" t="str">
        <f t="shared" si="198"/>
        <v>.</v>
      </c>
      <c r="AD332" s="702" t="str">
        <f t="shared" si="199"/>
        <v>.</v>
      </c>
      <c r="AE332" s="702" t="str">
        <f t="shared" si="200"/>
        <v>.</v>
      </c>
      <c r="AF332" s="702" t="str">
        <f t="shared" si="201"/>
        <v>.</v>
      </c>
      <c r="AG332" s="986" t="str">
        <f t="shared" si="202"/>
        <v>.</v>
      </c>
      <c r="AH332" s="3"/>
      <c r="AI332" s="699" t="str">
        <f>IF(S332=".",".",SUM($S332:S332))</f>
        <v>.</v>
      </c>
      <c r="AJ332" s="700" t="str">
        <f>IF(T332=".",".",SUM($S332:T332))</f>
        <v>.</v>
      </c>
      <c r="AK332" s="700" t="str">
        <f>IF(U332=".",".",SUM($S332:U332))</f>
        <v>.</v>
      </c>
      <c r="AL332" s="700" t="str">
        <f>IF(V332=".",".",SUM($S332:V332))</f>
        <v>.</v>
      </c>
      <c r="AM332" s="700" t="str">
        <f>IF(W332=".",".",SUM($S332:W332))</f>
        <v>.</v>
      </c>
      <c r="AN332" s="700" t="str">
        <f>IF(X332=".",".",SUM($S332:X332))</f>
        <v>.</v>
      </c>
      <c r="AO332" s="701" t="str">
        <f>IF(Y332=".",".",SUM($S332:Y332))</f>
        <v>.</v>
      </c>
      <c r="AP332" s="3"/>
      <c r="AQ332" s="985" t="str">
        <f t="shared" si="209"/>
        <v>.</v>
      </c>
      <c r="AR332" s="702" t="str">
        <f t="shared" si="203"/>
        <v>.</v>
      </c>
      <c r="AS332" s="702" t="str">
        <f t="shared" si="204"/>
        <v>.</v>
      </c>
      <c r="AT332" s="702" t="str">
        <f t="shared" si="205"/>
        <v>.</v>
      </c>
      <c r="AU332" s="702" t="str">
        <f t="shared" si="206"/>
        <v>.</v>
      </c>
      <c r="AV332" s="702" t="str">
        <f t="shared" si="207"/>
        <v>.</v>
      </c>
      <c r="AW332" s="986" t="str">
        <f t="shared" si="208"/>
        <v>.</v>
      </c>
      <c r="AX332" s="214"/>
      <c r="AY332" s="3"/>
      <c r="AZ332" s="3"/>
      <c r="BA332" s="3"/>
      <c r="BB332" s="3"/>
    </row>
    <row r="333" spans="1:54" ht="12" x14ac:dyDescent="0.25">
      <c r="A333" s="3"/>
      <c r="B333" s="212"/>
      <c r="C333" s="279" t="str">
        <f t="shared" si="228"/>
        <v>Special rate</v>
      </c>
      <c r="D333" s="279" t="str">
        <f t="shared" si="228"/>
        <v/>
      </c>
      <c r="E333" s="557" t="str">
        <f t="shared" si="218"/>
        <v>.</v>
      </c>
      <c r="F333" s="579"/>
      <c r="G333" s="578"/>
      <c r="H333" s="578"/>
      <c r="I333" s="578"/>
      <c r="J333" s="578"/>
      <c r="K333" s="578"/>
      <c r="L333" s="578"/>
      <c r="M333" s="220"/>
      <c r="N333" s="3"/>
      <c r="O333" s="655">
        <f t="shared" si="229"/>
        <v>0</v>
      </c>
      <c r="P333" s="657">
        <f t="shared" si="229"/>
        <v>0</v>
      </c>
      <c r="Q333" s="3"/>
      <c r="R333" s="212"/>
      <c r="S333" s="699" t="str">
        <f t="shared" si="219"/>
        <v>.</v>
      </c>
      <c r="T333" s="700" t="str">
        <f t="shared" si="220"/>
        <v>.</v>
      </c>
      <c r="U333" s="700" t="str">
        <f t="shared" si="221"/>
        <v>.</v>
      </c>
      <c r="V333" s="700" t="str">
        <f t="shared" si="222"/>
        <v>.</v>
      </c>
      <c r="W333" s="700" t="str">
        <f t="shared" si="223"/>
        <v>.</v>
      </c>
      <c r="X333" s="700" t="str">
        <f t="shared" si="224"/>
        <v>.</v>
      </c>
      <c r="Y333" s="701" t="str">
        <f t="shared" si="225"/>
        <v>.</v>
      </c>
      <c r="Z333" s="3"/>
      <c r="AA333" s="985" t="str">
        <f t="shared" si="210"/>
        <v>.</v>
      </c>
      <c r="AB333" s="702" t="str">
        <f t="shared" si="197"/>
        <v>.</v>
      </c>
      <c r="AC333" s="702" t="str">
        <f t="shared" si="198"/>
        <v>.</v>
      </c>
      <c r="AD333" s="702" t="str">
        <f t="shared" si="199"/>
        <v>.</v>
      </c>
      <c r="AE333" s="702" t="str">
        <f t="shared" si="200"/>
        <v>.</v>
      </c>
      <c r="AF333" s="702" t="str">
        <f t="shared" si="201"/>
        <v>.</v>
      </c>
      <c r="AG333" s="986" t="str">
        <f t="shared" si="202"/>
        <v>.</v>
      </c>
      <c r="AH333" s="3"/>
      <c r="AI333" s="699" t="str">
        <f>IF(S333=".",".",SUM($S333:S333))</f>
        <v>.</v>
      </c>
      <c r="AJ333" s="700" t="str">
        <f>IF(T333=".",".",SUM($S333:T333))</f>
        <v>.</v>
      </c>
      <c r="AK333" s="700" t="str">
        <f>IF(U333=".",".",SUM($S333:U333))</f>
        <v>.</v>
      </c>
      <c r="AL333" s="700" t="str">
        <f>IF(V333=".",".",SUM($S333:V333))</f>
        <v>.</v>
      </c>
      <c r="AM333" s="700" t="str">
        <f>IF(W333=".",".",SUM($S333:W333))</f>
        <v>.</v>
      </c>
      <c r="AN333" s="700" t="str">
        <f>IF(X333=".",".",SUM($S333:X333))</f>
        <v>.</v>
      </c>
      <c r="AO333" s="701" t="str">
        <f>IF(Y333=".",".",SUM($S333:Y333))</f>
        <v>.</v>
      </c>
      <c r="AP333" s="3"/>
      <c r="AQ333" s="985" t="str">
        <f t="shared" si="209"/>
        <v>.</v>
      </c>
      <c r="AR333" s="702" t="str">
        <f t="shared" si="203"/>
        <v>.</v>
      </c>
      <c r="AS333" s="702" t="str">
        <f t="shared" si="204"/>
        <v>.</v>
      </c>
      <c r="AT333" s="702" t="str">
        <f t="shared" si="205"/>
        <v>.</v>
      </c>
      <c r="AU333" s="702" t="str">
        <f t="shared" si="206"/>
        <v>.</v>
      </c>
      <c r="AV333" s="702" t="str">
        <f t="shared" si="207"/>
        <v>.</v>
      </c>
      <c r="AW333" s="986" t="str">
        <f t="shared" si="208"/>
        <v>.</v>
      </c>
      <c r="AX333" s="214"/>
      <c r="AY333" s="3"/>
      <c r="AZ333" s="3"/>
      <c r="BA333" s="3"/>
      <c r="BB333" s="3"/>
    </row>
    <row r="334" spans="1:54" ht="12" x14ac:dyDescent="0.25">
      <c r="A334" s="3"/>
      <c r="B334" s="212"/>
      <c r="C334" s="279" t="str">
        <f t="shared" si="228"/>
        <v>Special rate</v>
      </c>
      <c r="D334" s="279" t="str">
        <f t="shared" si="228"/>
        <v/>
      </c>
      <c r="E334" s="557" t="str">
        <f t="shared" si="218"/>
        <v>.</v>
      </c>
      <c r="F334" s="579"/>
      <c r="G334" s="578"/>
      <c r="H334" s="578"/>
      <c r="I334" s="578"/>
      <c r="J334" s="578"/>
      <c r="K334" s="578"/>
      <c r="L334" s="578"/>
      <c r="M334" s="220"/>
      <c r="N334" s="3"/>
      <c r="O334" s="655">
        <f t="shared" si="229"/>
        <v>0</v>
      </c>
      <c r="P334" s="657">
        <f t="shared" si="229"/>
        <v>0</v>
      </c>
      <c r="Q334" s="3"/>
      <c r="R334" s="212"/>
      <c r="S334" s="699" t="str">
        <f t="shared" si="219"/>
        <v>.</v>
      </c>
      <c r="T334" s="700" t="str">
        <f t="shared" si="220"/>
        <v>.</v>
      </c>
      <c r="U334" s="700" t="str">
        <f t="shared" si="221"/>
        <v>.</v>
      </c>
      <c r="V334" s="700" t="str">
        <f t="shared" si="222"/>
        <v>.</v>
      </c>
      <c r="W334" s="700" t="str">
        <f t="shared" si="223"/>
        <v>.</v>
      </c>
      <c r="X334" s="700" t="str">
        <f t="shared" si="224"/>
        <v>.</v>
      </c>
      <c r="Y334" s="701" t="str">
        <f t="shared" si="225"/>
        <v>.</v>
      </c>
      <c r="Z334" s="3"/>
      <c r="AA334" s="985" t="str">
        <f t="shared" si="210"/>
        <v>.</v>
      </c>
      <c r="AB334" s="702" t="str">
        <f t="shared" si="197"/>
        <v>.</v>
      </c>
      <c r="AC334" s="702" t="str">
        <f t="shared" si="198"/>
        <v>.</v>
      </c>
      <c r="AD334" s="702" t="str">
        <f t="shared" si="199"/>
        <v>.</v>
      </c>
      <c r="AE334" s="702" t="str">
        <f t="shared" si="200"/>
        <v>.</v>
      </c>
      <c r="AF334" s="702" t="str">
        <f t="shared" si="201"/>
        <v>.</v>
      </c>
      <c r="AG334" s="986" t="str">
        <f t="shared" si="202"/>
        <v>.</v>
      </c>
      <c r="AH334" s="3"/>
      <c r="AI334" s="699" t="str">
        <f>IF(S334=".",".",SUM($S334:S334))</f>
        <v>.</v>
      </c>
      <c r="AJ334" s="700" t="str">
        <f>IF(T334=".",".",SUM($S334:T334))</f>
        <v>.</v>
      </c>
      <c r="AK334" s="700" t="str">
        <f>IF(U334=".",".",SUM($S334:U334))</f>
        <v>.</v>
      </c>
      <c r="AL334" s="700" t="str">
        <f>IF(V334=".",".",SUM($S334:V334))</f>
        <v>.</v>
      </c>
      <c r="AM334" s="700" t="str">
        <f>IF(W334=".",".",SUM($S334:W334))</f>
        <v>.</v>
      </c>
      <c r="AN334" s="700" t="str">
        <f>IF(X334=".",".",SUM($S334:X334))</f>
        <v>.</v>
      </c>
      <c r="AO334" s="701" t="str">
        <f>IF(Y334=".",".",SUM($S334:Y334))</f>
        <v>.</v>
      </c>
      <c r="AP334" s="3"/>
      <c r="AQ334" s="985" t="str">
        <f t="shared" si="209"/>
        <v>.</v>
      </c>
      <c r="AR334" s="702" t="str">
        <f t="shared" si="203"/>
        <v>.</v>
      </c>
      <c r="AS334" s="702" t="str">
        <f t="shared" si="204"/>
        <v>.</v>
      </c>
      <c r="AT334" s="702" t="str">
        <f t="shared" si="205"/>
        <v>.</v>
      </c>
      <c r="AU334" s="702" t="str">
        <f t="shared" si="206"/>
        <v>.</v>
      </c>
      <c r="AV334" s="702" t="str">
        <f t="shared" si="207"/>
        <v>.</v>
      </c>
      <c r="AW334" s="986" t="str">
        <f t="shared" si="208"/>
        <v>.</v>
      </c>
      <c r="AX334" s="214"/>
      <c r="AY334" s="3"/>
      <c r="AZ334" s="3"/>
      <c r="BA334" s="3"/>
      <c r="BB334" s="3"/>
    </row>
    <row r="335" spans="1:54" ht="12" x14ac:dyDescent="0.25">
      <c r="A335" s="3"/>
      <c r="B335" s="212"/>
      <c r="C335" s="279" t="str">
        <f t="shared" si="228"/>
        <v>Special rate</v>
      </c>
      <c r="D335" s="279" t="str">
        <f t="shared" si="228"/>
        <v/>
      </c>
      <c r="E335" s="557" t="str">
        <f t="shared" si="218"/>
        <v>.</v>
      </c>
      <c r="F335" s="579"/>
      <c r="G335" s="578"/>
      <c r="H335" s="578"/>
      <c r="I335" s="578"/>
      <c r="J335" s="578"/>
      <c r="K335" s="578"/>
      <c r="L335" s="578"/>
      <c r="M335" s="220"/>
      <c r="N335" s="3"/>
      <c r="O335" s="655">
        <f t="shared" si="229"/>
        <v>0</v>
      </c>
      <c r="P335" s="657">
        <f t="shared" si="229"/>
        <v>0</v>
      </c>
      <c r="Q335" s="3"/>
      <c r="R335" s="212"/>
      <c r="S335" s="699" t="str">
        <f t="shared" si="219"/>
        <v>.</v>
      </c>
      <c r="T335" s="700" t="str">
        <f t="shared" si="220"/>
        <v>.</v>
      </c>
      <c r="U335" s="700" t="str">
        <f t="shared" si="221"/>
        <v>.</v>
      </c>
      <c r="V335" s="700" t="str">
        <f t="shared" si="222"/>
        <v>.</v>
      </c>
      <c r="W335" s="700" t="str">
        <f t="shared" si="223"/>
        <v>.</v>
      </c>
      <c r="X335" s="700" t="str">
        <f t="shared" si="224"/>
        <v>.</v>
      </c>
      <c r="Y335" s="701" t="str">
        <f t="shared" si="225"/>
        <v>.</v>
      </c>
      <c r="Z335" s="3"/>
      <c r="AA335" s="985" t="str">
        <f t="shared" si="210"/>
        <v>.</v>
      </c>
      <c r="AB335" s="702" t="str">
        <f t="shared" si="197"/>
        <v>.</v>
      </c>
      <c r="AC335" s="702" t="str">
        <f t="shared" si="198"/>
        <v>.</v>
      </c>
      <c r="AD335" s="702" t="str">
        <f t="shared" si="199"/>
        <v>.</v>
      </c>
      <c r="AE335" s="702" t="str">
        <f t="shared" si="200"/>
        <v>.</v>
      </c>
      <c r="AF335" s="702" t="str">
        <f t="shared" si="201"/>
        <v>.</v>
      </c>
      <c r="AG335" s="986" t="str">
        <f t="shared" si="202"/>
        <v>.</v>
      </c>
      <c r="AH335" s="3"/>
      <c r="AI335" s="699" t="str">
        <f>IF(S335=".",".",SUM($S335:S335))</f>
        <v>.</v>
      </c>
      <c r="AJ335" s="700" t="str">
        <f>IF(T335=".",".",SUM($S335:T335))</f>
        <v>.</v>
      </c>
      <c r="AK335" s="700" t="str">
        <f>IF(U335=".",".",SUM($S335:U335))</f>
        <v>.</v>
      </c>
      <c r="AL335" s="700" t="str">
        <f>IF(V335=".",".",SUM($S335:V335))</f>
        <v>.</v>
      </c>
      <c r="AM335" s="700" t="str">
        <f>IF(W335=".",".",SUM($S335:W335))</f>
        <v>.</v>
      </c>
      <c r="AN335" s="700" t="str">
        <f>IF(X335=".",".",SUM($S335:X335))</f>
        <v>.</v>
      </c>
      <c r="AO335" s="701" t="str">
        <f>IF(Y335=".",".",SUM($S335:Y335))</f>
        <v>.</v>
      </c>
      <c r="AP335" s="3"/>
      <c r="AQ335" s="985" t="str">
        <f t="shared" si="209"/>
        <v>.</v>
      </c>
      <c r="AR335" s="702" t="str">
        <f t="shared" si="203"/>
        <v>.</v>
      </c>
      <c r="AS335" s="702" t="str">
        <f t="shared" si="204"/>
        <v>.</v>
      </c>
      <c r="AT335" s="702" t="str">
        <f t="shared" si="205"/>
        <v>.</v>
      </c>
      <c r="AU335" s="702" t="str">
        <f t="shared" si="206"/>
        <v>.</v>
      </c>
      <c r="AV335" s="702" t="str">
        <f t="shared" si="207"/>
        <v>.</v>
      </c>
      <c r="AW335" s="986" t="str">
        <f t="shared" si="208"/>
        <v>.</v>
      </c>
      <c r="AX335" s="214"/>
      <c r="AY335" s="3"/>
      <c r="AZ335" s="3"/>
      <c r="BA335" s="3"/>
      <c r="BB335" s="3"/>
    </row>
    <row r="336" spans="1:54" ht="12" x14ac:dyDescent="0.25">
      <c r="A336" s="3"/>
      <c r="B336" s="212"/>
      <c r="C336" s="279" t="str">
        <f t="shared" si="228"/>
        <v>Special rate</v>
      </c>
      <c r="D336" s="279" t="str">
        <f t="shared" si="228"/>
        <v/>
      </c>
      <c r="E336" s="557" t="str">
        <f t="shared" si="218"/>
        <v>.</v>
      </c>
      <c r="F336" s="579"/>
      <c r="G336" s="578"/>
      <c r="H336" s="578"/>
      <c r="I336" s="578"/>
      <c r="J336" s="578"/>
      <c r="K336" s="578"/>
      <c r="L336" s="578"/>
      <c r="M336" s="220"/>
      <c r="N336" s="3"/>
      <c r="O336" s="655">
        <f t="shared" si="229"/>
        <v>0</v>
      </c>
      <c r="P336" s="657">
        <f t="shared" si="229"/>
        <v>0</v>
      </c>
      <c r="Q336" s="3"/>
      <c r="R336" s="212"/>
      <c r="S336" s="699" t="str">
        <f t="shared" si="219"/>
        <v>.</v>
      </c>
      <c r="T336" s="700" t="str">
        <f t="shared" si="220"/>
        <v>.</v>
      </c>
      <c r="U336" s="700" t="str">
        <f t="shared" si="221"/>
        <v>.</v>
      </c>
      <c r="V336" s="700" t="str">
        <f t="shared" si="222"/>
        <v>.</v>
      </c>
      <c r="W336" s="700" t="str">
        <f t="shared" si="223"/>
        <v>.</v>
      </c>
      <c r="X336" s="700" t="str">
        <f t="shared" si="224"/>
        <v>.</v>
      </c>
      <c r="Y336" s="701" t="str">
        <f t="shared" si="225"/>
        <v>.</v>
      </c>
      <c r="Z336" s="3"/>
      <c r="AA336" s="985" t="str">
        <f t="shared" si="210"/>
        <v>.</v>
      </c>
      <c r="AB336" s="702" t="str">
        <f t="shared" si="197"/>
        <v>.</v>
      </c>
      <c r="AC336" s="702" t="str">
        <f t="shared" si="198"/>
        <v>.</v>
      </c>
      <c r="AD336" s="702" t="str">
        <f t="shared" si="199"/>
        <v>.</v>
      </c>
      <c r="AE336" s="702" t="str">
        <f t="shared" si="200"/>
        <v>.</v>
      </c>
      <c r="AF336" s="702" t="str">
        <f t="shared" si="201"/>
        <v>.</v>
      </c>
      <c r="AG336" s="986" t="str">
        <f t="shared" si="202"/>
        <v>.</v>
      </c>
      <c r="AH336" s="3"/>
      <c r="AI336" s="699" t="str">
        <f>IF(S336=".",".",SUM($S336:S336))</f>
        <v>.</v>
      </c>
      <c r="AJ336" s="700" t="str">
        <f>IF(T336=".",".",SUM($S336:T336))</f>
        <v>.</v>
      </c>
      <c r="AK336" s="700" t="str">
        <f>IF(U336=".",".",SUM($S336:U336))</f>
        <v>.</v>
      </c>
      <c r="AL336" s="700" t="str">
        <f>IF(V336=".",".",SUM($S336:V336))</f>
        <v>.</v>
      </c>
      <c r="AM336" s="700" t="str">
        <f>IF(W336=".",".",SUM($S336:W336))</f>
        <v>.</v>
      </c>
      <c r="AN336" s="700" t="str">
        <f>IF(X336=".",".",SUM($S336:X336))</f>
        <v>.</v>
      </c>
      <c r="AO336" s="701" t="str">
        <f>IF(Y336=".",".",SUM($S336:Y336))</f>
        <v>.</v>
      </c>
      <c r="AP336" s="3"/>
      <c r="AQ336" s="985" t="str">
        <f t="shared" si="209"/>
        <v>.</v>
      </c>
      <c r="AR336" s="702" t="str">
        <f t="shared" si="203"/>
        <v>.</v>
      </c>
      <c r="AS336" s="702" t="str">
        <f t="shared" si="204"/>
        <v>.</v>
      </c>
      <c r="AT336" s="702" t="str">
        <f t="shared" si="205"/>
        <v>.</v>
      </c>
      <c r="AU336" s="702" t="str">
        <f t="shared" si="206"/>
        <v>.</v>
      </c>
      <c r="AV336" s="702" t="str">
        <f t="shared" si="207"/>
        <v>.</v>
      </c>
      <c r="AW336" s="986" t="str">
        <f t="shared" si="208"/>
        <v>.</v>
      </c>
      <c r="AX336" s="214"/>
      <c r="AY336" s="3"/>
      <c r="AZ336" s="3"/>
      <c r="BA336" s="3"/>
      <c r="BB336" s="3"/>
    </row>
    <row r="337" spans="1:54" ht="12" x14ac:dyDescent="0.25">
      <c r="A337" s="3"/>
      <c r="B337" s="212"/>
      <c r="C337" s="279" t="str">
        <f t="shared" si="228"/>
        <v>Special rate</v>
      </c>
      <c r="D337" s="279" t="str">
        <f t="shared" si="228"/>
        <v/>
      </c>
      <c r="E337" s="557" t="str">
        <f t="shared" si="218"/>
        <v>.</v>
      </c>
      <c r="F337" s="579"/>
      <c r="G337" s="578"/>
      <c r="H337" s="578"/>
      <c r="I337" s="578"/>
      <c r="J337" s="578"/>
      <c r="K337" s="578"/>
      <c r="L337" s="578"/>
      <c r="M337" s="220"/>
      <c r="N337" s="3"/>
      <c r="O337" s="655">
        <f t="shared" si="229"/>
        <v>0</v>
      </c>
      <c r="P337" s="657">
        <f t="shared" si="229"/>
        <v>0</v>
      </c>
      <c r="Q337" s="3"/>
      <c r="R337" s="212"/>
      <c r="S337" s="699" t="str">
        <f t="shared" si="219"/>
        <v>.</v>
      </c>
      <c r="T337" s="700" t="str">
        <f t="shared" si="220"/>
        <v>.</v>
      </c>
      <c r="U337" s="700" t="str">
        <f t="shared" si="221"/>
        <v>.</v>
      </c>
      <c r="V337" s="700" t="str">
        <f t="shared" si="222"/>
        <v>.</v>
      </c>
      <c r="W337" s="700" t="str">
        <f t="shared" si="223"/>
        <v>.</v>
      </c>
      <c r="X337" s="700" t="str">
        <f t="shared" si="224"/>
        <v>.</v>
      </c>
      <c r="Y337" s="701" t="str">
        <f t="shared" si="225"/>
        <v>.</v>
      </c>
      <c r="Z337" s="3"/>
      <c r="AA337" s="985" t="str">
        <f t="shared" si="210"/>
        <v>.</v>
      </c>
      <c r="AB337" s="702" t="str">
        <f t="shared" si="197"/>
        <v>.</v>
      </c>
      <c r="AC337" s="702" t="str">
        <f t="shared" si="198"/>
        <v>.</v>
      </c>
      <c r="AD337" s="702" t="str">
        <f t="shared" si="199"/>
        <v>.</v>
      </c>
      <c r="AE337" s="702" t="str">
        <f t="shared" si="200"/>
        <v>.</v>
      </c>
      <c r="AF337" s="702" t="str">
        <f t="shared" si="201"/>
        <v>.</v>
      </c>
      <c r="AG337" s="986" t="str">
        <f t="shared" si="202"/>
        <v>.</v>
      </c>
      <c r="AH337" s="3"/>
      <c r="AI337" s="699" t="str">
        <f>IF(S337=".",".",SUM($S337:S337))</f>
        <v>.</v>
      </c>
      <c r="AJ337" s="700" t="str">
        <f>IF(T337=".",".",SUM($S337:T337))</f>
        <v>.</v>
      </c>
      <c r="AK337" s="700" t="str">
        <f>IF(U337=".",".",SUM($S337:U337))</f>
        <v>.</v>
      </c>
      <c r="AL337" s="700" t="str">
        <f>IF(V337=".",".",SUM($S337:V337))</f>
        <v>.</v>
      </c>
      <c r="AM337" s="700" t="str">
        <f>IF(W337=".",".",SUM($S337:W337))</f>
        <v>.</v>
      </c>
      <c r="AN337" s="700" t="str">
        <f>IF(X337=".",".",SUM($S337:X337))</f>
        <v>.</v>
      </c>
      <c r="AO337" s="701" t="str">
        <f>IF(Y337=".",".",SUM($S337:Y337))</f>
        <v>.</v>
      </c>
      <c r="AP337" s="3"/>
      <c r="AQ337" s="985" t="str">
        <f t="shared" si="209"/>
        <v>.</v>
      </c>
      <c r="AR337" s="702" t="str">
        <f t="shared" si="203"/>
        <v>.</v>
      </c>
      <c r="AS337" s="702" t="str">
        <f t="shared" si="204"/>
        <v>.</v>
      </c>
      <c r="AT337" s="702" t="str">
        <f t="shared" si="205"/>
        <v>.</v>
      </c>
      <c r="AU337" s="702" t="str">
        <f t="shared" si="206"/>
        <v>.</v>
      </c>
      <c r="AV337" s="702" t="str">
        <f t="shared" si="207"/>
        <v>.</v>
      </c>
      <c r="AW337" s="986" t="str">
        <f t="shared" si="208"/>
        <v>.</v>
      </c>
      <c r="AX337" s="214"/>
      <c r="AY337" s="3"/>
      <c r="AZ337" s="3"/>
      <c r="BA337" s="3"/>
      <c r="BB337" s="3"/>
    </row>
    <row r="338" spans="1:54" ht="12" x14ac:dyDescent="0.25">
      <c r="A338" s="3"/>
      <c r="B338" s="212"/>
      <c r="C338" s="279" t="str">
        <f t="shared" si="228"/>
        <v>Special rate</v>
      </c>
      <c r="D338" s="279" t="str">
        <f t="shared" si="228"/>
        <v/>
      </c>
      <c r="E338" s="557" t="str">
        <f t="shared" si="218"/>
        <v>.</v>
      </c>
      <c r="F338" s="579"/>
      <c r="G338" s="578"/>
      <c r="H338" s="578"/>
      <c r="I338" s="578"/>
      <c r="J338" s="578"/>
      <c r="K338" s="578"/>
      <c r="L338" s="578"/>
      <c r="M338" s="220"/>
      <c r="N338" s="3"/>
      <c r="O338" s="655">
        <f t="shared" si="229"/>
        <v>0</v>
      </c>
      <c r="P338" s="657">
        <f t="shared" si="229"/>
        <v>0</v>
      </c>
      <c r="Q338" s="3"/>
      <c r="R338" s="212"/>
      <c r="S338" s="699" t="str">
        <f t="shared" si="219"/>
        <v>.</v>
      </c>
      <c r="T338" s="700" t="str">
        <f t="shared" si="220"/>
        <v>.</v>
      </c>
      <c r="U338" s="700" t="str">
        <f t="shared" si="221"/>
        <v>.</v>
      </c>
      <c r="V338" s="700" t="str">
        <f t="shared" si="222"/>
        <v>.</v>
      </c>
      <c r="W338" s="700" t="str">
        <f t="shared" si="223"/>
        <v>.</v>
      </c>
      <c r="X338" s="700" t="str">
        <f t="shared" si="224"/>
        <v>.</v>
      </c>
      <c r="Y338" s="701" t="str">
        <f t="shared" si="225"/>
        <v>.</v>
      </c>
      <c r="Z338" s="3"/>
      <c r="AA338" s="985" t="str">
        <f t="shared" si="210"/>
        <v>.</v>
      </c>
      <c r="AB338" s="702" t="str">
        <f t="shared" si="197"/>
        <v>.</v>
      </c>
      <c r="AC338" s="702" t="str">
        <f t="shared" si="198"/>
        <v>.</v>
      </c>
      <c r="AD338" s="702" t="str">
        <f t="shared" si="199"/>
        <v>.</v>
      </c>
      <c r="AE338" s="702" t="str">
        <f t="shared" si="200"/>
        <v>.</v>
      </c>
      <c r="AF338" s="702" t="str">
        <f t="shared" si="201"/>
        <v>.</v>
      </c>
      <c r="AG338" s="986" t="str">
        <f t="shared" si="202"/>
        <v>.</v>
      </c>
      <c r="AH338" s="3"/>
      <c r="AI338" s="699" t="str">
        <f>IF(S338=".",".",SUM($S338:S338))</f>
        <v>.</v>
      </c>
      <c r="AJ338" s="700" t="str">
        <f>IF(T338=".",".",SUM($S338:T338))</f>
        <v>.</v>
      </c>
      <c r="AK338" s="700" t="str">
        <f>IF(U338=".",".",SUM($S338:U338))</f>
        <v>.</v>
      </c>
      <c r="AL338" s="700" t="str">
        <f>IF(V338=".",".",SUM($S338:V338))</f>
        <v>.</v>
      </c>
      <c r="AM338" s="700" t="str">
        <f>IF(W338=".",".",SUM($S338:W338))</f>
        <v>.</v>
      </c>
      <c r="AN338" s="700" t="str">
        <f>IF(X338=".",".",SUM($S338:X338))</f>
        <v>.</v>
      </c>
      <c r="AO338" s="701" t="str">
        <f>IF(Y338=".",".",SUM($S338:Y338))</f>
        <v>.</v>
      </c>
      <c r="AP338" s="3"/>
      <c r="AQ338" s="985" t="str">
        <f t="shared" si="209"/>
        <v>.</v>
      </c>
      <c r="AR338" s="702" t="str">
        <f t="shared" si="203"/>
        <v>.</v>
      </c>
      <c r="AS338" s="702" t="str">
        <f t="shared" si="204"/>
        <v>.</v>
      </c>
      <c r="AT338" s="702" t="str">
        <f t="shared" si="205"/>
        <v>.</v>
      </c>
      <c r="AU338" s="702" t="str">
        <f t="shared" si="206"/>
        <v>.</v>
      </c>
      <c r="AV338" s="702" t="str">
        <f t="shared" si="207"/>
        <v>.</v>
      </c>
      <c r="AW338" s="986" t="str">
        <f t="shared" si="208"/>
        <v>.</v>
      </c>
      <c r="AX338" s="214"/>
      <c r="AY338" s="3"/>
      <c r="AZ338" s="3"/>
      <c r="BA338" s="3"/>
      <c r="BB338" s="3"/>
    </row>
    <row r="339" spans="1:54" ht="12" x14ac:dyDescent="0.25">
      <c r="A339" s="3"/>
      <c r="B339" s="212"/>
      <c r="C339" s="279" t="str">
        <f t="shared" si="228"/>
        <v>Special rate</v>
      </c>
      <c r="D339" s="279" t="str">
        <f t="shared" si="228"/>
        <v/>
      </c>
      <c r="E339" s="557" t="str">
        <f t="shared" si="218"/>
        <v>.</v>
      </c>
      <c r="F339" s="579"/>
      <c r="G339" s="578"/>
      <c r="H339" s="578"/>
      <c r="I339" s="578"/>
      <c r="J339" s="578"/>
      <c r="K339" s="578"/>
      <c r="L339" s="578"/>
      <c r="M339" s="220"/>
      <c r="N339" s="3"/>
      <c r="O339" s="655">
        <f t="shared" si="229"/>
        <v>0</v>
      </c>
      <c r="P339" s="657">
        <f t="shared" si="229"/>
        <v>0</v>
      </c>
      <c r="Q339" s="3"/>
      <c r="R339" s="212"/>
      <c r="S339" s="699" t="str">
        <f t="shared" si="219"/>
        <v>.</v>
      </c>
      <c r="T339" s="700" t="str">
        <f t="shared" si="220"/>
        <v>.</v>
      </c>
      <c r="U339" s="700" t="str">
        <f t="shared" si="221"/>
        <v>.</v>
      </c>
      <c r="V339" s="700" t="str">
        <f t="shared" si="222"/>
        <v>.</v>
      </c>
      <c r="W339" s="700" t="str">
        <f t="shared" si="223"/>
        <v>.</v>
      </c>
      <c r="X339" s="700" t="str">
        <f t="shared" si="224"/>
        <v>.</v>
      </c>
      <c r="Y339" s="701" t="str">
        <f t="shared" si="225"/>
        <v>.</v>
      </c>
      <c r="Z339" s="3"/>
      <c r="AA339" s="985" t="str">
        <f t="shared" si="210"/>
        <v>.</v>
      </c>
      <c r="AB339" s="702" t="str">
        <f t="shared" si="197"/>
        <v>.</v>
      </c>
      <c r="AC339" s="702" t="str">
        <f t="shared" si="198"/>
        <v>.</v>
      </c>
      <c r="AD339" s="702" t="str">
        <f t="shared" si="199"/>
        <v>.</v>
      </c>
      <c r="AE339" s="702" t="str">
        <f t="shared" si="200"/>
        <v>.</v>
      </c>
      <c r="AF339" s="702" t="str">
        <f t="shared" si="201"/>
        <v>.</v>
      </c>
      <c r="AG339" s="986" t="str">
        <f t="shared" si="202"/>
        <v>.</v>
      </c>
      <c r="AH339" s="3"/>
      <c r="AI339" s="699" t="str">
        <f>IF(S339=".",".",SUM($S339:S339))</f>
        <v>.</v>
      </c>
      <c r="AJ339" s="700" t="str">
        <f>IF(T339=".",".",SUM($S339:T339))</f>
        <v>.</v>
      </c>
      <c r="AK339" s="700" t="str">
        <f>IF(U339=".",".",SUM($S339:U339))</f>
        <v>.</v>
      </c>
      <c r="AL339" s="700" t="str">
        <f>IF(V339=".",".",SUM($S339:V339))</f>
        <v>.</v>
      </c>
      <c r="AM339" s="700" t="str">
        <f>IF(W339=".",".",SUM($S339:W339))</f>
        <v>.</v>
      </c>
      <c r="AN339" s="700" t="str">
        <f>IF(X339=".",".",SUM($S339:X339))</f>
        <v>.</v>
      </c>
      <c r="AO339" s="701" t="str">
        <f>IF(Y339=".",".",SUM($S339:Y339))</f>
        <v>.</v>
      </c>
      <c r="AP339" s="3"/>
      <c r="AQ339" s="985" t="str">
        <f t="shared" si="209"/>
        <v>.</v>
      </c>
      <c r="AR339" s="702" t="str">
        <f t="shared" si="203"/>
        <v>.</v>
      </c>
      <c r="AS339" s="702" t="str">
        <f t="shared" si="204"/>
        <v>.</v>
      </c>
      <c r="AT339" s="702" t="str">
        <f t="shared" si="205"/>
        <v>.</v>
      </c>
      <c r="AU339" s="702" t="str">
        <f t="shared" si="206"/>
        <v>.</v>
      </c>
      <c r="AV339" s="702" t="str">
        <f t="shared" si="207"/>
        <v>.</v>
      </c>
      <c r="AW339" s="986" t="str">
        <f t="shared" si="208"/>
        <v>.</v>
      </c>
      <c r="AX339" s="214"/>
      <c r="AY339" s="3"/>
      <c r="AZ339" s="3"/>
      <c r="BA339" s="3"/>
      <c r="BB339" s="3"/>
    </row>
    <row r="340" spans="1:54" ht="12" x14ac:dyDescent="0.25">
      <c r="A340" s="3"/>
      <c r="B340" s="212"/>
      <c r="C340" s="141" t="str">
        <f t="shared" si="228"/>
        <v>Special rate</v>
      </c>
      <c r="D340" s="141" t="str">
        <f t="shared" si="228"/>
        <v/>
      </c>
      <c r="E340" s="558" t="str">
        <f t="shared" si="218"/>
        <v>.</v>
      </c>
      <c r="F340" s="581"/>
      <c r="G340" s="163"/>
      <c r="H340" s="163"/>
      <c r="I340" s="163"/>
      <c r="J340" s="163"/>
      <c r="K340" s="163"/>
      <c r="L340" s="163"/>
      <c r="M340" s="220"/>
      <c r="N340" s="3"/>
      <c r="O340" s="655">
        <f t="shared" si="229"/>
        <v>0</v>
      </c>
      <c r="P340" s="657">
        <f t="shared" si="229"/>
        <v>0</v>
      </c>
      <c r="Q340" s="3"/>
      <c r="R340" s="212"/>
      <c r="S340" s="699" t="str">
        <f t="shared" si="219"/>
        <v>.</v>
      </c>
      <c r="T340" s="700" t="str">
        <f t="shared" si="220"/>
        <v>.</v>
      </c>
      <c r="U340" s="700" t="str">
        <f t="shared" si="221"/>
        <v>.</v>
      </c>
      <c r="V340" s="700" t="str">
        <f t="shared" si="222"/>
        <v>.</v>
      </c>
      <c r="W340" s="700" t="str">
        <f t="shared" si="223"/>
        <v>.</v>
      </c>
      <c r="X340" s="700" t="str">
        <f t="shared" si="224"/>
        <v>.</v>
      </c>
      <c r="Y340" s="701" t="str">
        <f t="shared" si="225"/>
        <v>.</v>
      </c>
      <c r="Z340" s="3"/>
      <c r="AA340" s="985" t="str">
        <f t="shared" si="210"/>
        <v>.</v>
      </c>
      <c r="AB340" s="702" t="str">
        <f t="shared" si="197"/>
        <v>.</v>
      </c>
      <c r="AC340" s="702" t="str">
        <f t="shared" si="198"/>
        <v>.</v>
      </c>
      <c r="AD340" s="702" t="str">
        <f t="shared" si="199"/>
        <v>.</v>
      </c>
      <c r="AE340" s="702" t="str">
        <f t="shared" si="200"/>
        <v>.</v>
      </c>
      <c r="AF340" s="702" t="str">
        <f t="shared" si="201"/>
        <v>.</v>
      </c>
      <c r="AG340" s="986" t="str">
        <f t="shared" si="202"/>
        <v>.</v>
      </c>
      <c r="AH340" s="3"/>
      <c r="AI340" s="699" t="str">
        <f>IF(S340=".",".",SUM($S340:S340))</f>
        <v>.</v>
      </c>
      <c r="AJ340" s="700" t="str">
        <f>IF(T340=".",".",SUM($S340:T340))</f>
        <v>.</v>
      </c>
      <c r="AK340" s="700" t="str">
        <f>IF(U340=".",".",SUM($S340:U340))</f>
        <v>.</v>
      </c>
      <c r="AL340" s="700" t="str">
        <f>IF(V340=".",".",SUM($S340:V340))</f>
        <v>.</v>
      </c>
      <c r="AM340" s="700" t="str">
        <f>IF(W340=".",".",SUM($S340:W340))</f>
        <v>.</v>
      </c>
      <c r="AN340" s="700" t="str">
        <f>IF(X340=".",".",SUM($S340:X340))</f>
        <v>.</v>
      </c>
      <c r="AO340" s="701" t="str">
        <f>IF(Y340=".",".",SUM($S340:Y340))</f>
        <v>.</v>
      </c>
      <c r="AP340" s="3"/>
      <c r="AQ340" s="985" t="str">
        <f t="shared" si="209"/>
        <v>.</v>
      </c>
      <c r="AR340" s="702" t="str">
        <f t="shared" si="203"/>
        <v>.</v>
      </c>
      <c r="AS340" s="702" t="str">
        <f t="shared" si="204"/>
        <v>.</v>
      </c>
      <c r="AT340" s="702" t="str">
        <f t="shared" si="205"/>
        <v>.</v>
      </c>
      <c r="AU340" s="702" t="str">
        <f t="shared" si="206"/>
        <v>.</v>
      </c>
      <c r="AV340" s="702" t="str">
        <f t="shared" si="207"/>
        <v>.</v>
      </c>
      <c r="AW340" s="986" t="str">
        <f t="shared" si="208"/>
        <v>.</v>
      </c>
      <c r="AX340" s="214"/>
      <c r="AY340" s="3"/>
      <c r="AZ340" s="3"/>
      <c r="BA340" s="3"/>
      <c r="BB340" s="3"/>
    </row>
    <row r="341" spans="1:54" s="26" customFormat="1" ht="12" x14ac:dyDescent="0.25">
      <c r="A341" s="3"/>
      <c r="B341" s="221"/>
      <c r="C341" s="148"/>
      <c r="D341" s="148" t="s">
        <v>820</v>
      </c>
      <c r="E341" s="250" t="str">
        <f t="shared" si="218"/>
        <v>.</v>
      </c>
      <c r="F341" s="251" t="str">
        <f>IF($P341=0,".",SUMPRODUCT(F321:F340,$P321:$P340)/$P341)</f>
        <v>.</v>
      </c>
      <c r="G341" s="140" t="str">
        <f>IF($P341=0,".",SUMPRODUCT(G321:G340,$P321:$P340)/$P341)</f>
        <v>.</v>
      </c>
      <c r="H341" s="140" t="str">
        <f t="shared" ref="H341:L341" si="230">IF($P341=0,".",SUMPRODUCT(H321:H340,$P321:$P340)/$P341)</f>
        <v>.</v>
      </c>
      <c r="I341" s="140" t="str">
        <f t="shared" si="230"/>
        <v>.</v>
      </c>
      <c r="J341" s="140" t="str">
        <f t="shared" si="230"/>
        <v>.</v>
      </c>
      <c r="K341" s="140" t="str">
        <f t="shared" si="230"/>
        <v>.</v>
      </c>
      <c r="L341" s="140" t="str">
        <f t="shared" si="230"/>
        <v>.</v>
      </c>
      <c r="M341" s="220"/>
      <c r="N341" s="2"/>
      <c r="O341" s="713">
        <f t="shared" si="229"/>
        <v>0</v>
      </c>
      <c r="P341" s="714">
        <f t="shared" si="229"/>
        <v>0</v>
      </c>
      <c r="Q341" s="2"/>
      <c r="R341" s="221"/>
      <c r="S341" s="706" t="str">
        <f>IF(F341=".",".",F341-E341)</f>
        <v>.</v>
      </c>
      <c r="T341" s="707" t="str">
        <f t="shared" ref="T341:Y341" si="231">IF(G341=".",".",G341-F341)</f>
        <v>.</v>
      </c>
      <c r="U341" s="707" t="str">
        <f t="shared" si="231"/>
        <v>.</v>
      </c>
      <c r="V341" s="707" t="str">
        <f t="shared" si="231"/>
        <v>.</v>
      </c>
      <c r="W341" s="707" t="str">
        <f t="shared" si="231"/>
        <v>.</v>
      </c>
      <c r="X341" s="707" t="str">
        <f t="shared" si="231"/>
        <v>.</v>
      </c>
      <c r="Y341" s="708" t="str">
        <f t="shared" si="231"/>
        <v>.</v>
      </c>
      <c r="Z341" s="2"/>
      <c r="AA341" s="990" t="str">
        <f t="shared" si="210"/>
        <v>.</v>
      </c>
      <c r="AB341" s="991" t="str">
        <f t="shared" si="197"/>
        <v>.</v>
      </c>
      <c r="AC341" s="991" t="str">
        <f t="shared" si="198"/>
        <v>.</v>
      </c>
      <c r="AD341" s="991" t="str">
        <f t="shared" si="199"/>
        <v>.</v>
      </c>
      <c r="AE341" s="991" t="str">
        <f t="shared" si="200"/>
        <v>.</v>
      </c>
      <c r="AF341" s="991" t="str">
        <f t="shared" si="201"/>
        <v>.</v>
      </c>
      <c r="AG341" s="992" t="str">
        <f t="shared" si="202"/>
        <v>.</v>
      </c>
      <c r="AH341" s="2"/>
      <c r="AI341" s="706" t="str">
        <f>IF(S341=".",".",SUM($S341:S341))</f>
        <v>.</v>
      </c>
      <c r="AJ341" s="707" t="str">
        <f>IF(T341=".",".",SUM($S341:T341))</f>
        <v>.</v>
      </c>
      <c r="AK341" s="707" t="str">
        <f>IF(U341=".",".",SUM($S341:U341))</f>
        <v>.</v>
      </c>
      <c r="AL341" s="707" t="str">
        <f>IF(V341=".",".",SUM($S341:V341))</f>
        <v>.</v>
      </c>
      <c r="AM341" s="707" t="str">
        <f>IF(W341=".",".",SUM($S341:W341))</f>
        <v>.</v>
      </c>
      <c r="AN341" s="707" t="str">
        <f>IF(X341=".",".",SUM($S341:X341))</f>
        <v>.</v>
      </c>
      <c r="AO341" s="708" t="str">
        <f>IF(Y341=".",".",SUM($S341:Y341))</f>
        <v>.</v>
      </c>
      <c r="AP341" s="3"/>
      <c r="AQ341" s="990" t="str">
        <f t="shared" si="209"/>
        <v>.</v>
      </c>
      <c r="AR341" s="991" t="str">
        <f t="shared" si="203"/>
        <v>.</v>
      </c>
      <c r="AS341" s="991" t="str">
        <f t="shared" si="204"/>
        <v>.</v>
      </c>
      <c r="AT341" s="991" t="str">
        <f t="shared" si="205"/>
        <v>.</v>
      </c>
      <c r="AU341" s="991" t="str">
        <f t="shared" si="206"/>
        <v>.</v>
      </c>
      <c r="AV341" s="991" t="str">
        <f t="shared" si="207"/>
        <v>.</v>
      </c>
      <c r="AW341" s="992" t="str">
        <f t="shared" si="208"/>
        <v>.</v>
      </c>
      <c r="AX341" s="229"/>
      <c r="AY341" s="2"/>
      <c r="AZ341" s="2"/>
      <c r="BA341" s="2"/>
      <c r="BB341" s="2"/>
    </row>
    <row r="342" spans="1:54" ht="12" x14ac:dyDescent="0.25">
      <c r="A342" s="3"/>
      <c r="B342" s="212"/>
      <c r="C342" s="3"/>
      <c r="D342" s="3"/>
      <c r="E342" s="77"/>
      <c r="F342" s="77"/>
      <c r="G342" s="3"/>
      <c r="H342" s="3"/>
      <c r="I342" s="3"/>
      <c r="J342" s="3"/>
      <c r="K342" s="3"/>
      <c r="L342" s="3"/>
      <c r="M342" s="220"/>
      <c r="N342" s="3"/>
      <c r="O342" s="3"/>
      <c r="P342" s="3"/>
      <c r="Q342" s="3"/>
      <c r="R342" s="212"/>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214"/>
      <c r="AY342" s="3"/>
      <c r="AZ342" s="3"/>
      <c r="BA342" s="3"/>
      <c r="BB342" s="3"/>
    </row>
    <row r="343" spans="1:54" ht="12" x14ac:dyDescent="0.25">
      <c r="A343" s="3"/>
      <c r="B343" s="212"/>
      <c r="C343" s="3"/>
      <c r="D343" s="3"/>
      <c r="E343" s="77"/>
      <c r="F343" s="77"/>
      <c r="G343" s="3"/>
      <c r="H343" s="3"/>
      <c r="I343" s="3"/>
      <c r="J343" s="3"/>
      <c r="K343" s="3"/>
      <c r="L343" s="3"/>
      <c r="M343" s="220"/>
      <c r="N343" s="3"/>
      <c r="O343" s="3"/>
      <c r="P343" s="3"/>
      <c r="Q343" s="3"/>
      <c r="R343" s="212"/>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214"/>
      <c r="AY343" s="3"/>
      <c r="AZ343" s="3"/>
      <c r="BA343" s="3"/>
      <c r="BB343" s="3"/>
    </row>
    <row r="344" spans="1:54" ht="12" x14ac:dyDescent="0.25">
      <c r="A344" s="3"/>
      <c r="B344" s="212"/>
      <c r="C344" s="2"/>
      <c r="D344" s="3"/>
      <c r="E344" s="77"/>
      <c r="F344" s="77"/>
      <c r="G344" s="3"/>
      <c r="H344" s="3"/>
      <c r="I344" s="3"/>
      <c r="J344" s="3"/>
      <c r="K344" s="3"/>
      <c r="L344" s="3"/>
      <c r="M344" s="220"/>
      <c r="N344" s="3"/>
      <c r="O344" s="3"/>
      <c r="P344" s="3"/>
      <c r="Q344" s="3"/>
      <c r="R344" s="212"/>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214"/>
      <c r="AY344" s="3"/>
      <c r="AZ344" s="3"/>
      <c r="BA344" s="3"/>
      <c r="BB344" s="3"/>
    </row>
    <row r="345" spans="1:54" ht="12" x14ac:dyDescent="0.25">
      <c r="A345" s="3"/>
      <c r="B345" s="212"/>
      <c r="C345" s="3"/>
      <c r="D345" s="3"/>
      <c r="E345" s="77"/>
      <c r="F345" s="77"/>
      <c r="G345" s="3"/>
      <c r="H345" s="3"/>
      <c r="I345" s="3"/>
      <c r="J345" s="3"/>
      <c r="K345" s="3"/>
      <c r="L345" s="3"/>
      <c r="M345" s="220"/>
      <c r="N345" s="3"/>
      <c r="O345" s="3"/>
      <c r="P345" s="3"/>
      <c r="Q345" s="3"/>
      <c r="R345" s="212"/>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214"/>
      <c r="AY345" s="3"/>
      <c r="AZ345" s="3"/>
      <c r="BA345" s="3"/>
      <c r="BB345" s="3"/>
    </row>
    <row r="346" spans="1:54" ht="12" x14ac:dyDescent="0.25">
      <c r="A346" s="3"/>
      <c r="B346" s="212"/>
      <c r="C346" s="3"/>
      <c r="D346" s="3"/>
      <c r="E346" s="77"/>
      <c r="F346" s="77"/>
      <c r="G346" s="3"/>
      <c r="H346" s="3"/>
      <c r="I346" s="3"/>
      <c r="J346" s="3"/>
      <c r="K346" s="3"/>
      <c r="L346" s="3"/>
      <c r="M346" s="220"/>
      <c r="N346" s="3"/>
      <c r="O346" s="3"/>
      <c r="P346" s="3"/>
      <c r="Q346" s="3"/>
      <c r="R346" s="212"/>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214"/>
      <c r="AY346" s="3"/>
      <c r="AZ346" s="3"/>
      <c r="BA346" s="3"/>
      <c r="BB346" s="3"/>
    </row>
    <row r="347" spans="1:54" ht="13.8" x14ac:dyDescent="0.25">
      <c r="A347" s="3"/>
      <c r="B347" s="212"/>
      <c r="C347" s="1246" t="s">
        <v>823</v>
      </c>
      <c r="D347" s="1064"/>
      <c r="E347" s="1177"/>
      <c r="F347" s="1177"/>
      <c r="G347" s="848"/>
      <c r="H347" s="1178" t="str">
        <f>$H$21</f>
        <v>$ nominal per year</v>
      </c>
      <c r="I347" s="1179"/>
      <c r="J347" s="1179"/>
      <c r="K347" s="1179"/>
      <c r="L347" s="1180"/>
      <c r="M347" s="220"/>
      <c r="N347" s="3"/>
      <c r="O347" s="3"/>
      <c r="P347" s="3"/>
      <c r="Q347" s="3"/>
      <c r="R347" s="212"/>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214"/>
      <c r="AY347" s="3"/>
      <c r="AZ347" s="3"/>
      <c r="BA347" s="3"/>
      <c r="BB347" s="3"/>
    </row>
    <row r="348" spans="1:54" ht="12" x14ac:dyDescent="0.25">
      <c r="A348" s="3"/>
      <c r="B348" s="212"/>
      <c r="C348" s="183" t="s">
        <v>824</v>
      </c>
      <c r="D348" s="184"/>
      <c r="E348" s="560"/>
      <c r="F348" s="560"/>
      <c r="G348" s="185"/>
      <c r="H348" s="185"/>
      <c r="I348" s="185"/>
      <c r="J348" s="185"/>
      <c r="K348" s="185"/>
      <c r="L348" s="186"/>
      <c r="M348" s="220"/>
      <c r="N348" s="3"/>
      <c r="O348" s="3"/>
      <c r="P348" s="3"/>
      <c r="Q348" s="3"/>
      <c r="R348" s="212"/>
      <c r="S348" s="620" t="str">
        <f>S$21</f>
        <v>Annual increases (nominal $ per year)</v>
      </c>
      <c r="T348" s="3"/>
      <c r="U348" s="3"/>
      <c r="V348" s="3"/>
      <c r="W348" s="3"/>
      <c r="X348" s="3"/>
      <c r="Y348" s="3"/>
      <c r="Z348" s="3"/>
      <c r="AA348" s="620" t="str">
        <f>AA$21</f>
        <v>Annual increases (%)</v>
      </c>
      <c r="AB348" s="3"/>
      <c r="AC348" s="3"/>
      <c r="AD348" s="3"/>
      <c r="AE348" s="3"/>
      <c r="AF348" s="3"/>
      <c r="AG348" s="3"/>
      <c r="AH348" s="3"/>
      <c r="AI348" s="620" t="str">
        <f>AI$21</f>
        <v>Cumulative increases (nominal $ per year)</v>
      </c>
      <c r="AJ348" s="3"/>
      <c r="AK348" s="3"/>
      <c r="AL348" s="3"/>
      <c r="AM348" s="3"/>
      <c r="AN348" s="3"/>
      <c r="AO348" s="3"/>
      <c r="AP348" s="3"/>
      <c r="AQ348" s="620" t="str">
        <f>AQ$21</f>
        <v>Cumulative increases (%)</v>
      </c>
      <c r="AR348" s="3"/>
      <c r="AS348" s="3"/>
      <c r="AT348" s="3"/>
      <c r="AU348" s="3"/>
      <c r="AV348" s="3"/>
      <c r="AW348" s="3"/>
      <c r="AX348" s="214"/>
      <c r="AY348" s="3"/>
      <c r="AZ348" s="3"/>
      <c r="BA348" s="3"/>
      <c r="BB348" s="3"/>
    </row>
    <row r="349" spans="1:54" ht="39" customHeight="1" x14ac:dyDescent="0.25">
      <c r="A349" s="3"/>
      <c r="B349" s="212"/>
      <c r="C349" s="1205" t="s">
        <v>825</v>
      </c>
      <c r="D349" s="1181"/>
      <c r="E349" s="178" t="s">
        <v>826</v>
      </c>
      <c r="F349" s="178" t="s">
        <v>827</v>
      </c>
      <c r="G349" s="178" t="s">
        <v>828</v>
      </c>
      <c r="H349" s="178" t="s">
        <v>829</v>
      </c>
      <c r="I349" s="178" t="s">
        <v>830</v>
      </c>
      <c r="J349" s="178" t="s">
        <v>831</v>
      </c>
      <c r="K349" s="178" t="s">
        <v>832</v>
      </c>
      <c r="L349" s="178" t="s">
        <v>833</v>
      </c>
      <c r="M349" s="220"/>
      <c r="N349" s="3"/>
      <c r="O349" s="3"/>
      <c r="P349" s="3"/>
      <c r="Q349" s="3"/>
      <c r="R349" s="212"/>
      <c r="S349" s="1234" t="str">
        <f>C347</f>
        <v>Domestic Waste Management Services - Annual Charge</v>
      </c>
      <c r="T349" s="928"/>
      <c r="U349" s="928"/>
      <c r="V349" s="928"/>
      <c r="W349" s="928"/>
      <c r="X349" s="928"/>
      <c r="Y349" s="929"/>
      <c r="Z349" s="3"/>
      <c r="AA349" s="1234" t="str">
        <f>$S349</f>
        <v>Domestic Waste Management Services - Annual Charge</v>
      </c>
      <c r="AB349" s="928"/>
      <c r="AC349" s="928"/>
      <c r="AD349" s="928"/>
      <c r="AE349" s="928"/>
      <c r="AF349" s="928"/>
      <c r="AG349" s="929"/>
      <c r="AH349" s="3"/>
      <c r="AI349" s="1234" t="str">
        <f>$S349</f>
        <v>Domestic Waste Management Services - Annual Charge</v>
      </c>
      <c r="AJ349" s="928"/>
      <c r="AK349" s="928"/>
      <c r="AL349" s="928"/>
      <c r="AM349" s="928"/>
      <c r="AN349" s="928"/>
      <c r="AO349" s="929"/>
      <c r="AP349" s="3"/>
      <c r="AQ349" s="1234" t="str">
        <f>$S349</f>
        <v>Domestic Waste Management Services - Annual Charge</v>
      </c>
      <c r="AR349" s="928"/>
      <c r="AS349" s="928"/>
      <c r="AT349" s="928"/>
      <c r="AU349" s="928"/>
      <c r="AV349" s="928"/>
      <c r="AW349" s="929"/>
      <c r="AX349" s="214"/>
      <c r="AY349" s="3"/>
      <c r="AZ349" s="3"/>
      <c r="BA349" s="3"/>
      <c r="BB349" s="3"/>
    </row>
    <row r="350" spans="1:54" ht="12" x14ac:dyDescent="0.25">
      <c r="A350" s="3"/>
      <c r="B350" s="212"/>
      <c r="C350" s="97"/>
      <c r="D350" s="98"/>
      <c r="E350" s="146" t="str">
        <f t="shared" ref="E350:L350" si="232">E222</f>
        <v>2022-23</v>
      </c>
      <c r="F350" s="146" t="str">
        <f t="shared" si="232"/>
        <v>2023-24</v>
      </c>
      <c r="G350" s="146" t="str">
        <f t="shared" si="232"/>
        <v>2024-25</v>
      </c>
      <c r="H350" s="146" t="str">
        <f t="shared" si="232"/>
        <v>2025-26</v>
      </c>
      <c r="I350" s="146" t="str">
        <f t="shared" si="232"/>
        <v>2026-27</v>
      </c>
      <c r="J350" s="146" t="str">
        <f t="shared" si="232"/>
        <v>2027-28</v>
      </c>
      <c r="K350" s="146" t="str">
        <f t="shared" si="232"/>
        <v>2028-29</v>
      </c>
      <c r="L350" s="146" t="str">
        <f t="shared" si="232"/>
        <v>2029-30</v>
      </c>
      <c r="M350" s="220"/>
      <c r="N350" s="3"/>
      <c r="O350" s="3"/>
      <c r="P350" s="3"/>
      <c r="Q350" s="3"/>
      <c r="R350" s="212"/>
      <c r="S350" s="696" t="str">
        <f>S$23</f>
        <v>Year 1</v>
      </c>
      <c r="T350" s="697" t="str">
        <f t="shared" ref="T350:Y350" si="233">T$23</f>
        <v>Year 2</v>
      </c>
      <c r="U350" s="697" t="str">
        <f t="shared" si="233"/>
        <v>Year 3</v>
      </c>
      <c r="V350" s="697" t="str">
        <f t="shared" si="233"/>
        <v>Year 4</v>
      </c>
      <c r="W350" s="697" t="str">
        <f t="shared" si="233"/>
        <v>Year 5</v>
      </c>
      <c r="X350" s="697" t="str">
        <f t="shared" si="233"/>
        <v>Year 6</v>
      </c>
      <c r="Y350" s="698" t="str">
        <f t="shared" si="233"/>
        <v>Year 7</v>
      </c>
      <c r="Z350" s="80"/>
      <c r="AA350" s="696" t="str">
        <f t="shared" ref="AA350:AG350" si="234">AA$23</f>
        <v>Year 1</v>
      </c>
      <c r="AB350" s="697" t="str">
        <f t="shared" si="234"/>
        <v>Year 2</v>
      </c>
      <c r="AC350" s="697" t="str">
        <f t="shared" si="234"/>
        <v>Year 3</v>
      </c>
      <c r="AD350" s="697" t="str">
        <f t="shared" si="234"/>
        <v>Year 4</v>
      </c>
      <c r="AE350" s="697" t="str">
        <f t="shared" si="234"/>
        <v>Year 5</v>
      </c>
      <c r="AF350" s="697" t="str">
        <f t="shared" si="234"/>
        <v>Year 6</v>
      </c>
      <c r="AG350" s="698" t="str">
        <f t="shared" si="234"/>
        <v>Year 7</v>
      </c>
      <c r="AH350" s="80"/>
      <c r="AI350" s="696" t="str">
        <f>AI$23</f>
        <v>Year 1</v>
      </c>
      <c r="AJ350" s="697" t="str">
        <f t="shared" ref="AJ350:AO350" si="235">AJ$23</f>
        <v>Year 2</v>
      </c>
      <c r="AK350" s="697" t="str">
        <f t="shared" si="235"/>
        <v>Year 3</v>
      </c>
      <c r="AL350" s="697" t="str">
        <f t="shared" si="235"/>
        <v>Year 4</v>
      </c>
      <c r="AM350" s="697" t="str">
        <f t="shared" si="235"/>
        <v>Year 5</v>
      </c>
      <c r="AN350" s="697" t="str">
        <f t="shared" si="235"/>
        <v>Year 6</v>
      </c>
      <c r="AO350" s="698" t="str">
        <f t="shared" si="235"/>
        <v>Year 7</v>
      </c>
      <c r="AP350" s="80"/>
      <c r="AQ350" s="696" t="str">
        <f>AQ$23</f>
        <v>Year 1</v>
      </c>
      <c r="AR350" s="697" t="str">
        <f t="shared" ref="AR350:AW350" si="236">AR$23</f>
        <v>Year 2</v>
      </c>
      <c r="AS350" s="697" t="str">
        <f t="shared" si="236"/>
        <v>Year 3</v>
      </c>
      <c r="AT350" s="697" t="str">
        <f t="shared" si="236"/>
        <v>Year 4</v>
      </c>
      <c r="AU350" s="697" t="str">
        <f t="shared" si="236"/>
        <v>Year 5</v>
      </c>
      <c r="AV350" s="697" t="str">
        <f t="shared" si="236"/>
        <v>Year 6</v>
      </c>
      <c r="AW350" s="698" t="str">
        <f t="shared" si="236"/>
        <v>Year 7</v>
      </c>
      <c r="AX350" s="214"/>
      <c r="AY350" s="3"/>
      <c r="AZ350" s="3"/>
      <c r="BA350" s="3"/>
      <c r="BB350" s="3"/>
    </row>
    <row r="351" spans="1:54" ht="12" x14ac:dyDescent="0.25">
      <c r="A351" s="3"/>
      <c r="B351" s="212"/>
      <c r="C351" s="1247" t="s">
        <v>834</v>
      </c>
      <c r="D351" s="1182"/>
      <c r="E351" s="1237">
        <v>636</v>
      </c>
      <c r="F351" s="1237">
        <f>+E351*1.035</f>
        <v>658.26</v>
      </c>
      <c r="G351" s="1237">
        <f>+F351*1.029</f>
        <v>677.34953999999993</v>
      </c>
      <c r="H351" s="1237">
        <f>+G351*1.028</f>
        <v>696.31532711999989</v>
      </c>
      <c r="I351" s="1237">
        <f>+H351*1.024</f>
        <v>713.02689497087988</v>
      </c>
      <c r="J351" s="1237">
        <f>+I351*1.024</f>
        <v>730.13954045018102</v>
      </c>
      <c r="K351" s="1237">
        <f>+J351*1.024</f>
        <v>747.66288942098538</v>
      </c>
      <c r="L351" s="1237">
        <f>+K351*1.024</f>
        <v>765.606798767089</v>
      </c>
      <c r="M351" s="220"/>
      <c r="N351" s="3"/>
      <c r="O351" s="3"/>
      <c r="P351" s="3"/>
      <c r="Q351" s="3"/>
      <c r="R351" s="212"/>
      <c r="S351" s="1239">
        <f t="shared" ref="S351:S376" si="237">IF(F351="",".",F351-E351)</f>
        <v>22.259999999999991</v>
      </c>
      <c r="T351" s="1172">
        <f t="shared" ref="T351:T376" si="238">IF(G351="",".",G351-F351)</f>
        <v>19.089539999999943</v>
      </c>
      <c r="U351" s="1172">
        <f t="shared" ref="U351:U376" si="239">IF(H351="",".",H351-G351)</f>
        <v>18.965787119999959</v>
      </c>
      <c r="V351" s="1172">
        <f t="shared" ref="V351:V376" si="240">IF(I351="",".",I351-H351)</f>
        <v>16.711567850879987</v>
      </c>
      <c r="W351" s="1172">
        <f t="shared" ref="W351:W376" si="241">IF(J351="",".",J351-I351)</f>
        <v>17.112645479301136</v>
      </c>
      <c r="X351" s="1172">
        <f t="shared" ref="X351:X376" si="242">IF(K351="",".",K351-J351)</f>
        <v>17.523348970804363</v>
      </c>
      <c r="Y351" s="1173">
        <f t="shared" ref="Y351:Y376" si="243">IF(L351="",".",L351-K351)</f>
        <v>17.943909346103624</v>
      </c>
      <c r="Z351" s="3"/>
      <c r="AA351" s="985">
        <f>IFERROR(F351/E351-1,".")</f>
        <v>3.499999999999992E-2</v>
      </c>
      <c r="AB351" s="702">
        <f t="shared" ref="AB351" si="244">IFERROR(G351/F351-1,".")</f>
        <v>2.8999999999999915E-2</v>
      </c>
      <c r="AC351" s="702">
        <f t="shared" ref="AC351" si="245">IFERROR(H351/G351-1,".")</f>
        <v>2.8000000000000025E-2</v>
      </c>
      <c r="AD351" s="702">
        <f t="shared" ref="AD351" si="246">IFERROR(I351/H351-1,".")</f>
        <v>2.4000000000000021E-2</v>
      </c>
      <c r="AE351" s="702">
        <f t="shared" ref="AE351" si="247">IFERROR(J351/I351-1,".")</f>
        <v>2.4000000000000021E-2</v>
      </c>
      <c r="AF351" s="702">
        <f t="shared" ref="AF351" si="248">IFERROR(K351/J351-1,".")</f>
        <v>2.4000000000000021E-2</v>
      </c>
      <c r="AG351" s="986">
        <f t="shared" ref="AG351" si="249">IFERROR(L351/K351-1,".")</f>
        <v>2.4000000000000021E-2</v>
      </c>
      <c r="AH351" s="3"/>
      <c r="AI351" s="1239">
        <f>IF(S351=".",".",SUM($S351:S351))</f>
        <v>22.259999999999991</v>
      </c>
      <c r="AJ351" s="1172">
        <f>IF(T351=".",".",SUM($S351:T351))</f>
        <v>41.349539999999934</v>
      </c>
      <c r="AK351" s="1172">
        <f>IF(U351=".",".",SUM($S351:U351))</f>
        <v>60.315327119999893</v>
      </c>
      <c r="AL351" s="1172">
        <f>IF(V351=".",".",SUM($S351:V351))</f>
        <v>77.02689497087988</v>
      </c>
      <c r="AM351" s="1172">
        <f>IF(W351=".",".",SUM($S351:W351))</f>
        <v>94.139540450181016</v>
      </c>
      <c r="AN351" s="1172">
        <f>IF(X351=".",".",SUM($S351:X351))</f>
        <v>111.66288942098538</v>
      </c>
      <c r="AO351" s="1173">
        <f>IF(Y351=".",".",SUM($S351:Y351))</f>
        <v>129.606798767089</v>
      </c>
      <c r="AP351" s="3"/>
      <c r="AQ351" s="985">
        <f t="shared" ref="AQ351:AQ376" si="250">IFERROR(F351/$E351-1,".")</f>
        <v>3.499999999999992E-2</v>
      </c>
      <c r="AR351" s="702">
        <f t="shared" ref="AR351:AR376" si="251">IFERROR(G351/$E351-1,".")</f>
        <v>6.5014999999999823E-2</v>
      </c>
      <c r="AS351" s="702">
        <f t="shared" ref="AS351:AS376" si="252">IFERROR(H351/$E351-1,".")</f>
        <v>9.4835419999999893E-2</v>
      </c>
      <c r="AT351" s="702">
        <f t="shared" ref="AT351:AT376" si="253">IFERROR(I351/$E351-1,".")</f>
        <v>0.12111147007999978</v>
      </c>
      <c r="AU351" s="702">
        <f t="shared" ref="AU351:AU376" si="254">IFERROR(J351/$E351-1,".")</f>
        <v>0.14801814536191982</v>
      </c>
      <c r="AV351" s="702">
        <f t="shared" ref="AV351:AV376" si="255">IFERROR(K351/$E351-1,".")</f>
        <v>0.17557058085060584</v>
      </c>
      <c r="AW351" s="986">
        <f t="shared" ref="AW351:AW376" si="256">IFERROR(L351/$E351-1,".")</f>
        <v>0.20378427479102035</v>
      </c>
      <c r="AX351" s="214"/>
      <c r="AY351" s="3"/>
      <c r="AZ351" s="3"/>
      <c r="BA351" s="3"/>
      <c r="BB351" s="3"/>
    </row>
    <row r="352" spans="1:54" ht="12" x14ac:dyDescent="0.25">
      <c r="A352" s="3"/>
      <c r="B352" s="212"/>
      <c r="C352" s="718"/>
      <c r="D352" s="715"/>
      <c r="E352" s="579"/>
      <c r="F352" s="579"/>
      <c r="G352" s="579"/>
      <c r="H352" s="579"/>
      <c r="I352" s="579"/>
      <c r="J352" s="579"/>
      <c r="K352" s="579"/>
      <c r="L352" s="579"/>
      <c r="M352" s="220"/>
      <c r="N352" s="3"/>
      <c r="O352" s="3"/>
      <c r="P352" s="3"/>
      <c r="Q352" s="3"/>
      <c r="R352" s="212"/>
      <c r="S352" s="699" t="str">
        <f t="shared" si="237"/>
        <v>.</v>
      </c>
      <c r="T352" s="700" t="str">
        <f t="shared" si="238"/>
        <v>.</v>
      </c>
      <c r="U352" s="700" t="str">
        <f t="shared" si="239"/>
        <v>.</v>
      </c>
      <c r="V352" s="700" t="str">
        <f t="shared" si="240"/>
        <v>.</v>
      </c>
      <c r="W352" s="700" t="str">
        <f t="shared" si="241"/>
        <v>.</v>
      </c>
      <c r="X352" s="700" t="str">
        <f t="shared" si="242"/>
        <v>.</v>
      </c>
      <c r="Y352" s="701" t="str">
        <f t="shared" si="243"/>
        <v>.</v>
      </c>
      <c r="Z352" s="3"/>
      <c r="AA352" s="985" t="str">
        <f t="shared" ref="AA352:AA376" si="257">IFERROR(F352/E352-1,".")</f>
        <v>.</v>
      </c>
      <c r="AB352" s="702" t="str">
        <f t="shared" ref="AB352:AB376" si="258">IFERROR(G352/F352-1,".")</f>
        <v>.</v>
      </c>
      <c r="AC352" s="702" t="str">
        <f t="shared" ref="AC352:AC376" si="259">IFERROR(H352/G352-1,".")</f>
        <v>.</v>
      </c>
      <c r="AD352" s="702" t="str">
        <f t="shared" ref="AD352:AD376" si="260">IFERROR(I352/H352-1,".")</f>
        <v>.</v>
      </c>
      <c r="AE352" s="702" t="str">
        <f t="shared" ref="AE352:AE376" si="261">IFERROR(J352/I352-1,".")</f>
        <v>.</v>
      </c>
      <c r="AF352" s="702" t="str">
        <f t="shared" ref="AF352:AF376" si="262">IFERROR(K352/J352-1,".")</f>
        <v>.</v>
      </c>
      <c r="AG352" s="986" t="str">
        <f t="shared" ref="AG352:AG376" si="263">IFERROR(L352/K352-1,".")</f>
        <v>.</v>
      </c>
      <c r="AH352" s="3"/>
      <c r="AI352" s="699" t="str">
        <f>IF(S352=".",".",SUM($S352:S352))</f>
        <v>.</v>
      </c>
      <c r="AJ352" s="700" t="str">
        <f>IF(T352=".",".",SUM($S352:T352))</f>
        <v>.</v>
      </c>
      <c r="AK352" s="700" t="str">
        <f>IF(U352=".",".",SUM($S352:U352))</f>
        <v>.</v>
      </c>
      <c r="AL352" s="700" t="str">
        <f>IF(V352=".",".",SUM($S352:V352))</f>
        <v>.</v>
      </c>
      <c r="AM352" s="700" t="str">
        <f>IF(W352=".",".",SUM($S352:W352))</f>
        <v>.</v>
      </c>
      <c r="AN352" s="700" t="str">
        <f>IF(X352=".",".",SUM($S352:X352))</f>
        <v>.</v>
      </c>
      <c r="AO352" s="701" t="str">
        <f>IF(Y352=".",".",SUM($S352:Y352))</f>
        <v>.</v>
      </c>
      <c r="AP352" s="3"/>
      <c r="AQ352" s="985" t="str">
        <f t="shared" si="250"/>
        <v>.</v>
      </c>
      <c r="AR352" s="702" t="str">
        <f t="shared" si="251"/>
        <v>.</v>
      </c>
      <c r="AS352" s="702" t="str">
        <f t="shared" si="252"/>
        <v>.</v>
      </c>
      <c r="AT352" s="702" t="str">
        <f t="shared" si="253"/>
        <v>.</v>
      </c>
      <c r="AU352" s="702" t="str">
        <f t="shared" si="254"/>
        <v>.</v>
      </c>
      <c r="AV352" s="702" t="str">
        <f t="shared" si="255"/>
        <v>.</v>
      </c>
      <c r="AW352" s="986" t="str">
        <f t="shared" si="256"/>
        <v>.</v>
      </c>
      <c r="AX352" s="214"/>
      <c r="AY352" s="3"/>
      <c r="AZ352" s="3"/>
      <c r="BA352" s="3"/>
      <c r="BB352" s="3"/>
    </row>
    <row r="353" spans="1:54" ht="12" x14ac:dyDescent="0.25">
      <c r="A353" s="3"/>
      <c r="B353" s="212"/>
      <c r="C353" s="718"/>
      <c r="D353" s="715"/>
      <c r="E353" s="579"/>
      <c r="F353" s="579"/>
      <c r="G353" s="578"/>
      <c r="H353" s="578"/>
      <c r="I353" s="578"/>
      <c r="J353" s="578"/>
      <c r="K353" s="578"/>
      <c r="L353" s="578"/>
      <c r="M353" s="220"/>
      <c r="N353" s="3"/>
      <c r="O353" s="3"/>
      <c r="P353" s="3"/>
      <c r="Q353" s="3"/>
      <c r="R353" s="212"/>
      <c r="S353" s="699" t="str">
        <f t="shared" si="237"/>
        <v>.</v>
      </c>
      <c r="T353" s="700" t="str">
        <f t="shared" si="238"/>
        <v>.</v>
      </c>
      <c r="U353" s="700" t="str">
        <f t="shared" si="239"/>
        <v>.</v>
      </c>
      <c r="V353" s="700" t="str">
        <f t="shared" si="240"/>
        <v>.</v>
      </c>
      <c r="W353" s="700" t="str">
        <f t="shared" si="241"/>
        <v>.</v>
      </c>
      <c r="X353" s="700" t="str">
        <f t="shared" si="242"/>
        <v>.</v>
      </c>
      <c r="Y353" s="701" t="str">
        <f t="shared" si="243"/>
        <v>.</v>
      </c>
      <c r="Z353" s="3"/>
      <c r="AA353" s="985" t="str">
        <f t="shared" si="257"/>
        <v>.</v>
      </c>
      <c r="AB353" s="702" t="str">
        <f t="shared" si="258"/>
        <v>.</v>
      </c>
      <c r="AC353" s="702" t="str">
        <f t="shared" si="259"/>
        <v>.</v>
      </c>
      <c r="AD353" s="702" t="str">
        <f t="shared" si="260"/>
        <v>.</v>
      </c>
      <c r="AE353" s="702" t="str">
        <f t="shared" si="261"/>
        <v>.</v>
      </c>
      <c r="AF353" s="702" t="str">
        <f t="shared" si="262"/>
        <v>.</v>
      </c>
      <c r="AG353" s="986" t="str">
        <f t="shared" si="263"/>
        <v>.</v>
      </c>
      <c r="AH353" s="3"/>
      <c r="AI353" s="699" t="str">
        <f>IF(S353=".",".",SUM($S353:S353))</f>
        <v>.</v>
      </c>
      <c r="AJ353" s="700" t="str">
        <f>IF(T353=".",".",SUM($S353:T353))</f>
        <v>.</v>
      </c>
      <c r="AK353" s="700" t="str">
        <f>IF(U353=".",".",SUM($S353:U353))</f>
        <v>.</v>
      </c>
      <c r="AL353" s="700" t="str">
        <f>IF(V353=".",".",SUM($S353:V353))</f>
        <v>.</v>
      </c>
      <c r="AM353" s="700" t="str">
        <f>IF(W353=".",".",SUM($S353:W353))</f>
        <v>.</v>
      </c>
      <c r="AN353" s="700" t="str">
        <f>IF(X353=".",".",SUM($S353:X353))</f>
        <v>.</v>
      </c>
      <c r="AO353" s="701" t="str">
        <f>IF(Y353=".",".",SUM($S353:Y353))</f>
        <v>.</v>
      </c>
      <c r="AP353" s="3"/>
      <c r="AQ353" s="985" t="str">
        <f t="shared" si="250"/>
        <v>.</v>
      </c>
      <c r="AR353" s="702" t="str">
        <f t="shared" si="251"/>
        <v>.</v>
      </c>
      <c r="AS353" s="702" t="str">
        <f t="shared" si="252"/>
        <v>.</v>
      </c>
      <c r="AT353" s="702" t="str">
        <f t="shared" si="253"/>
        <v>.</v>
      </c>
      <c r="AU353" s="702" t="str">
        <f t="shared" si="254"/>
        <v>.</v>
      </c>
      <c r="AV353" s="702" t="str">
        <f t="shared" si="255"/>
        <v>.</v>
      </c>
      <c r="AW353" s="986" t="str">
        <f t="shared" si="256"/>
        <v>.</v>
      </c>
      <c r="AX353" s="214"/>
      <c r="AY353" s="3"/>
      <c r="AZ353" s="3"/>
      <c r="BA353" s="3"/>
      <c r="BB353" s="3"/>
    </row>
    <row r="354" spans="1:54" ht="12" x14ac:dyDescent="0.25">
      <c r="A354" s="3"/>
      <c r="B354" s="212"/>
      <c r="C354" s="718"/>
      <c r="D354" s="715"/>
      <c r="E354" s="579"/>
      <c r="F354" s="579"/>
      <c r="G354" s="578"/>
      <c r="H354" s="578"/>
      <c r="I354" s="578"/>
      <c r="J354" s="578"/>
      <c r="K354" s="578"/>
      <c r="L354" s="578"/>
      <c r="M354" s="220"/>
      <c r="N354" s="3"/>
      <c r="O354" s="3"/>
      <c r="P354" s="3"/>
      <c r="Q354" s="3"/>
      <c r="R354" s="212"/>
      <c r="S354" s="699" t="str">
        <f t="shared" si="237"/>
        <v>.</v>
      </c>
      <c r="T354" s="700" t="str">
        <f t="shared" si="238"/>
        <v>.</v>
      </c>
      <c r="U354" s="700" t="str">
        <f t="shared" si="239"/>
        <v>.</v>
      </c>
      <c r="V354" s="700" t="str">
        <f t="shared" si="240"/>
        <v>.</v>
      </c>
      <c r="W354" s="700" t="str">
        <f t="shared" si="241"/>
        <v>.</v>
      </c>
      <c r="X354" s="700" t="str">
        <f t="shared" si="242"/>
        <v>.</v>
      </c>
      <c r="Y354" s="701" t="str">
        <f t="shared" si="243"/>
        <v>.</v>
      </c>
      <c r="Z354" s="3"/>
      <c r="AA354" s="985" t="str">
        <f t="shared" si="257"/>
        <v>.</v>
      </c>
      <c r="AB354" s="702" t="str">
        <f t="shared" si="258"/>
        <v>.</v>
      </c>
      <c r="AC354" s="702" t="str">
        <f t="shared" si="259"/>
        <v>.</v>
      </c>
      <c r="AD354" s="702" t="str">
        <f t="shared" si="260"/>
        <v>.</v>
      </c>
      <c r="AE354" s="702" t="str">
        <f t="shared" si="261"/>
        <v>.</v>
      </c>
      <c r="AF354" s="702" t="str">
        <f t="shared" si="262"/>
        <v>.</v>
      </c>
      <c r="AG354" s="986" t="str">
        <f t="shared" si="263"/>
        <v>.</v>
      </c>
      <c r="AH354" s="3"/>
      <c r="AI354" s="699" t="str">
        <f>IF(S354=".",".",SUM($S354:S354))</f>
        <v>.</v>
      </c>
      <c r="AJ354" s="700" t="str">
        <f>IF(T354=".",".",SUM($S354:T354))</f>
        <v>.</v>
      </c>
      <c r="AK354" s="700" t="str">
        <f>IF(U354=".",".",SUM($S354:U354))</f>
        <v>.</v>
      </c>
      <c r="AL354" s="700" t="str">
        <f>IF(V354=".",".",SUM($S354:V354))</f>
        <v>.</v>
      </c>
      <c r="AM354" s="700" t="str">
        <f>IF(W354=".",".",SUM($S354:W354))</f>
        <v>.</v>
      </c>
      <c r="AN354" s="700" t="str">
        <f>IF(X354=".",".",SUM($S354:X354))</f>
        <v>.</v>
      </c>
      <c r="AO354" s="701" t="str">
        <f>IF(Y354=".",".",SUM($S354:Y354))</f>
        <v>.</v>
      </c>
      <c r="AP354" s="3"/>
      <c r="AQ354" s="985" t="str">
        <f t="shared" si="250"/>
        <v>.</v>
      </c>
      <c r="AR354" s="702" t="str">
        <f t="shared" si="251"/>
        <v>.</v>
      </c>
      <c r="AS354" s="702" t="str">
        <f t="shared" si="252"/>
        <v>.</v>
      </c>
      <c r="AT354" s="702" t="str">
        <f t="shared" si="253"/>
        <v>.</v>
      </c>
      <c r="AU354" s="702" t="str">
        <f t="shared" si="254"/>
        <v>.</v>
      </c>
      <c r="AV354" s="702" t="str">
        <f t="shared" si="255"/>
        <v>.</v>
      </c>
      <c r="AW354" s="986" t="str">
        <f t="shared" si="256"/>
        <v>.</v>
      </c>
      <c r="AX354" s="214"/>
      <c r="AY354" s="3"/>
      <c r="AZ354" s="3"/>
      <c r="BA354" s="3"/>
      <c r="BB354" s="3"/>
    </row>
    <row r="355" spans="1:54" ht="12" x14ac:dyDescent="0.25">
      <c r="A355" s="3"/>
      <c r="B355" s="212"/>
      <c r="C355" s="718"/>
      <c r="D355" s="715"/>
      <c r="E355" s="579"/>
      <c r="F355" s="579"/>
      <c r="G355" s="578"/>
      <c r="H355" s="578"/>
      <c r="I355" s="578"/>
      <c r="J355" s="578"/>
      <c r="K355" s="578"/>
      <c r="L355" s="578"/>
      <c r="M355" s="220"/>
      <c r="N355" s="3"/>
      <c r="O355" s="3"/>
      <c r="P355" s="3"/>
      <c r="Q355" s="3"/>
      <c r="R355" s="212"/>
      <c r="S355" s="699" t="str">
        <f t="shared" si="237"/>
        <v>.</v>
      </c>
      <c r="T355" s="700" t="str">
        <f t="shared" si="238"/>
        <v>.</v>
      </c>
      <c r="U355" s="700" t="str">
        <f t="shared" si="239"/>
        <v>.</v>
      </c>
      <c r="V355" s="700" t="str">
        <f t="shared" si="240"/>
        <v>.</v>
      </c>
      <c r="W355" s="700" t="str">
        <f t="shared" si="241"/>
        <v>.</v>
      </c>
      <c r="X355" s="700" t="str">
        <f t="shared" si="242"/>
        <v>.</v>
      </c>
      <c r="Y355" s="701" t="str">
        <f t="shared" si="243"/>
        <v>.</v>
      </c>
      <c r="Z355" s="3"/>
      <c r="AA355" s="985" t="str">
        <f t="shared" si="257"/>
        <v>.</v>
      </c>
      <c r="AB355" s="702" t="str">
        <f t="shared" si="258"/>
        <v>.</v>
      </c>
      <c r="AC355" s="702" t="str">
        <f t="shared" si="259"/>
        <v>.</v>
      </c>
      <c r="AD355" s="702" t="str">
        <f t="shared" si="260"/>
        <v>.</v>
      </c>
      <c r="AE355" s="702" t="str">
        <f t="shared" si="261"/>
        <v>.</v>
      </c>
      <c r="AF355" s="702" t="str">
        <f t="shared" si="262"/>
        <v>.</v>
      </c>
      <c r="AG355" s="986" t="str">
        <f t="shared" si="263"/>
        <v>.</v>
      </c>
      <c r="AH355" s="3"/>
      <c r="AI355" s="699" t="str">
        <f>IF(S355=".",".",SUM($S355:S355))</f>
        <v>.</v>
      </c>
      <c r="AJ355" s="700" t="str">
        <f>IF(T355=".",".",SUM($S355:T355))</f>
        <v>.</v>
      </c>
      <c r="AK355" s="700" t="str">
        <f>IF(U355=".",".",SUM($S355:U355))</f>
        <v>.</v>
      </c>
      <c r="AL355" s="700" t="str">
        <f>IF(V355=".",".",SUM($S355:V355))</f>
        <v>.</v>
      </c>
      <c r="AM355" s="700" t="str">
        <f>IF(W355=".",".",SUM($S355:W355))</f>
        <v>.</v>
      </c>
      <c r="AN355" s="700" t="str">
        <f>IF(X355=".",".",SUM($S355:X355))</f>
        <v>.</v>
      </c>
      <c r="AO355" s="701" t="str">
        <f>IF(Y355=".",".",SUM($S355:Y355))</f>
        <v>.</v>
      </c>
      <c r="AP355" s="3"/>
      <c r="AQ355" s="985" t="str">
        <f t="shared" si="250"/>
        <v>.</v>
      </c>
      <c r="AR355" s="702" t="str">
        <f t="shared" si="251"/>
        <v>.</v>
      </c>
      <c r="AS355" s="702" t="str">
        <f t="shared" si="252"/>
        <v>.</v>
      </c>
      <c r="AT355" s="702" t="str">
        <f t="shared" si="253"/>
        <v>.</v>
      </c>
      <c r="AU355" s="702" t="str">
        <f t="shared" si="254"/>
        <v>.</v>
      </c>
      <c r="AV355" s="702" t="str">
        <f t="shared" si="255"/>
        <v>.</v>
      </c>
      <c r="AW355" s="986" t="str">
        <f t="shared" si="256"/>
        <v>.</v>
      </c>
      <c r="AX355" s="214"/>
      <c r="AY355" s="3"/>
      <c r="AZ355" s="3"/>
      <c r="BA355" s="3"/>
      <c r="BB355" s="3"/>
    </row>
    <row r="356" spans="1:54" ht="12" x14ac:dyDescent="0.25">
      <c r="A356" s="3"/>
      <c r="B356" s="212"/>
      <c r="C356" s="718"/>
      <c r="D356" s="715"/>
      <c r="E356" s="579"/>
      <c r="F356" s="579"/>
      <c r="G356" s="578"/>
      <c r="H356" s="578"/>
      <c r="I356" s="578"/>
      <c r="J356" s="578"/>
      <c r="K356" s="578"/>
      <c r="L356" s="578"/>
      <c r="M356" s="220"/>
      <c r="N356" s="3"/>
      <c r="O356" s="3"/>
      <c r="P356" s="3"/>
      <c r="Q356" s="3"/>
      <c r="R356" s="212"/>
      <c r="S356" s="699" t="str">
        <f t="shared" si="237"/>
        <v>.</v>
      </c>
      <c r="T356" s="700" t="str">
        <f t="shared" si="238"/>
        <v>.</v>
      </c>
      <c r="U356" s="700" t="str">
        <f t="shared" si="239"/>
        <v>.</v>
      </c>
      <c r="V356" s="700" t="str">
        <f t="shared" si="240"/>
        <v>.</v>
      </c>
      <c r="W356" s="700" t="str">
        <f t="shared" si="241"/>
        <v>.</v>
      </c>
      <c r="X356" s="700" t="str">
        <f t="shared" si="242"/>
        <v>.</v>
      </c>
      <c r="Y356" s="701" t="str">
        <f t="shared" si="243"/>
        <v>.</v>
      </c>
      <c r="Z356" s="3"/>
      <c r="AA356" s="985" t="str">
        <f t="shared" si="257"/>
        <v>.</v>
      </c>
      <c r="AB356" s="702" t="str">
        <f t="shared" si="258"/>
        <v>.</v>
      </c>
      <c r="AC356" s="702" t="str">
        <f t="shared" si="259"/>
        <v>.</v>
      </c>
      <c r="AD356" s="702" t="str">
        <f t="shared" si="260"/>
        <v>.</v>
      </c>
      <c r="AE356" s="702" t="str">
        <f t="shared" si="261"/>
        <v>.</v>
      </c>
      <c r="AF356" s="702" t="str">
        <f t="shared" si="262"/>
        <v>.</v>
      </c>
      <c r="AG356" s="986" t="str">
        <f t="shared" si="263"/>
        <v>.</v>
      </c>
      <c r="AH356" s="3"/>
      <c r="AI356" s="699" t="str">
        <f>IF(S356=".",".",SUM($S356:S356))</f>
        <v>.</v>
      </c>
      <c r="AJ356" s="700" t="str">
        <f>IF(T356=".",".",SUM($S356:T356))</f>
        <v>.</v>
      </c>
      <c r="AK356" s="700" t="str">
        <f>IF(U356=".",".",SUM($S356:U356))</f>
        <v>.</v>
      </c>
      <c r="AL356" s="700" t="str">
        <f>IF(V356=".",".",SUM($S356:V356))</f>
        <v>.</v>
      </c>
      <c r="AM356" s="700" t="str">
        <f>IF(W356=".",".",SUM($S356:W356))</f>
        <v>.</v>
      </c>
      <c r="AN356" s="700" t="str">
        <f>IF(X356=".",".",SUM($S356:X356))</f>
        <v>.</v>
      </c>
      <c r="AO356" s="701" t="str">
        <f>IF(Y356=".",".",SUM($S356:Y356))</f>
        <v>.</v>
      </c>
      <c r="AP356" s="3"/>
      <c r="AQ356" s="985" t="str">
        <f t="shared" si="250"/>
        <v>.</v>
      </c>
      <c r="AR356" s="702" t="str">
        <f t="shared" si="251"/>
        <v>.</v>
      </c>
      <c r="AS356" s="702" t="str">
        <f t="shared" si="252"/>
        <v>.</v>
      </c>
      <c r="AT356" s="702" t="str">
        <f t="shared" si="253"/>
        <v>.</v>
      </c>
      <c r="AU356" s="702" t="str">
        <f t="shared" si="254"/>
        <v>.</v>
      </c>
      <c r="AV356" s="702" t="str">
        <f t="shared" si="255"/>
        <v>.</v>
      </c>
      <c r="AW356" s="986" t="str">
        <f t="shared" si="256"/>
        <v>.</v>
      </c>
      <c r="AX356" s="214"/>
      <c r="AY356" s="3"/>
      <c r="AZ356" s="3"/>
      <c r="BA356" s="3"/>
      <c r="BB356" s="3"/>
    </row>
    <row r="357" spans="1:54" ht="12" x14ac:dyDescent="0.25">
      <c r="A357" s="3"/>
      <c r="B357" s="212"/>
      <c r="C357" s="718"/>
      <c r="D357" s="715"/>
      <c r="E357" s="579"/>
      <c r="F357" s="579"/>
      <c r="G357" s="578"/>
      <c r="H357" s="578"/>
      <c r="I357" s="578"/>
      <c r="J357" s="578"/>
      <c r="K357" s="578"/>
      <c r="L357" s="578"/>
      <c r="M357" s="220"/>
      <c r="N357" s="3"/>
      <c r="O357" s="3"/>
      <c r="P357" s="3"/>
      <c r="Q357" s="3"/>
      <c r="R357" s="212"/>
      <c r="S357" s="699" t="str">
        <f t="shared" si="237"/>
        <v>.</v>
      </c>
      <c r="T357" s="700" t="str">
        <f t="shared" si="238"/>
        <v>.</v>
      </c>
      <c r="U357" s="700" t="str">
        <f t="shared" si="239"/>
        <v>.</v>
      </c>
      <c r="V357" s="700" t="str">
        <f t="shared" si="240"/>
        <v>.</v>
      </c>
      <c r="W357" s="700" t="str">
        <f t="shared" si="241"/>
        <v>.</v>
      </c>
      <c r="X357" s="700" t="str">
        <f t="shared" si="242"/>
        <v>.</v>
      </c>
      <c r="Y357" s="701" t="str">
        <f t="shared" si="243"/>
        <v>.</v>
      </c>
      <c r="Z357" s="3"/>
      <c r="AA357" s="985" t="str">
        <f t="shared" si="257"/>
        <v>.</v>
      </c>
      <c r="AB357" s="702" t="str">
        <f t="shared" si="258"/>
        <v>.</v>
      </c>
      <c r="AC357" s="702" t="str">
        <f t="shared" si="259"/>
        <v>.</v>
      </c>
      <c r="AD357" s="702" t="str">
        <f t="shared" si="260"/>
        <v>.</v>
      </c>
      <c r="AE357" s="702" t="str">
        <f t="shared" si="261"/>
        <v>.</v>
      </c>
      <c r="AF357" s="702" t="str">
        <f t="shared" si="262"/>
        <v>.</v>
      </c>
      <c r="AG357" s="986" t="str">
        <f t="shared" si="263"/>
        <v>.</v>
      </c>
      <c r="AH357" s="3"/>
      <c r="AI357" s="699" t="str">
        <f>IF(S357=".",".",SUM($S357:S357))</f>
        <v>.</v>
      </c>
      <c r="AJ357" s="700" t="str">
        <f>IF(T357=".",".",SUM($S357:T357))</f>
        <v>.</v>
      </c>
      <c r="AK357" s="700" t="str">
        <f>IF(U357=".",".",SUM($S357:U357))</f>
        <v>.</v>
      </c>
      <c r="AL357" s="700" t="str">
        <f>IF(V357=".",".",SUM($S357:V357))</f>
        <v>.</v>
      </c>
      <c r="AM357" s="700" t="str">
        <f>IF(W357=".",".",SUM($S357:W357))</f>
        <v>.</v>
      </c>
      <c r="AN357" s="700" t="str">
        <f>IF(X357=".",".",SUM($S357:X357))</f>
        <v>.</v>
      </c>
      <c r="AO357" s="701" t="str">
        <f>IF(Y357=".",".",SUM($S357:Y357))</f>
        <v>.</v>
      </c>
      <c r="AP357" s="3"/>
      <c r="AQ357" s="985" t="str">
        <f t="shared" si="250"/>
        <v>.</v>
      </c>
      <c r="AR357" s="702" t="str">
        <f t="shared" si="251"/>
        <v>.</v>
      </c>
      <c r="AS357" s="702" t="str">
        <f t="shared" si="252"/>
        <v>.</v>
      </c>
      <c r="AT357" s="702" t="str">
        <f t="shared" si="253"/>
        <v>.</v>
      </c>
      <c r="AU357" s="702" t="str">
        <f t="shared" si="254"/>
        <v>.</v>
      </c>
      <c r="AV357" s="702" t="str">
        <f t="shared" si="255"/>
        <v>.</v>
      </c>
      <c r="AW357" s="986" t="str">
        <f t="shared" si="256"/>
        <v>.</v>
      </c>
      <c r="AX357" s="214"/>
      <c r="AY357" s="3"/>
      <c r="AZ357" s="3"/>
      <c r="BA357" s="3"/>
      <c r="BB357" s="3"/>
    </row>
    <row r="358" spans="1:54" ht="12" x14ac:dyDescent="0.25">
      <c r="A358" s="3"/>
      <c r="B358" s="212"/>
      <c r="C358" s="718"/>
      <c r="D358" s="715"/>
      <c r="E358" s="579"/>
      <c r="F358" s="579"/>
      <c r="G358" s="578"/>
      <c r="H358" s="578"/>
      <c r="I358" s="578"/>
      <c r="J358" s="578"/>
      <c r="K358" s="578"/>
      <c r="L358" s="578"/>
      <c r="M358" s="220"/>
      <c r="N358" s="3"/>
      <c r="O358" s="3"/>
      <c r="P358" s="3"/>
      <c r="Q358" s="3"/>
      <c r="R358" s="212"/>
      <c r="S358" s="699" t="str">
        <f t="shared" si="237"/>
        <v>.</v>
      </c>
      <c r="T358" s="700" t="str">
        <f t="shared" si="238"/>
        <v>.</v>
      </c>
      <c r="U358" s="700" t="str">
        <f t="shared" si="239"/>
        <v>.</v>
      </c>
      <c r="V358" s="700" t="str">
        <f t="shared" si="240"/>
        <v>.</v>
      </c>
      <c r="W358" s="700" t="str">
        <f t="shared" si="241"/>
        <v>.</v>
      </c>
      <c r="X358" s="700" t="str">
        <f t="shared" si="242"/>
        <v>.</v>
      </c>
      <c r="Y358" s="701" t="str">
        <f t="shared" si="243"/>
        <v>.</v>
      </c>
      <c r="Z358" s="3"/>
      <c r="AA358" s="985" t="str">
        <f t="shared" si="257"/>
        <v>.</v>
      </c>
      <c r="AB358" s="702" t="str">
        <f t="shared" si="258"/>
        <v>.</v>
      </c>
      <c r="AC358" s="702" t="str">
        <f t="shared" si="259"/>
        <v>.</v>
      </c>
      <c r="AD358" s="702" t="str">
        <f t="shared" si="260"/>
        <v>.</v>
      </c>
      <c r="AE358" s="702" t="str">
        <f t="shared" si="261"/>
        <v>.</v>
      </c>
      <c r="AF358" s="702" t="str">
        <f t="shared" si="262"/>
        <v>.</v>
      </c>
      <c r="AG358" s="986" t="str">
        <f t="shared" si="263"/>
        <v>.</v>
      </c>
      <c r="AH358" s="3"/>
      <c r="AI358" s="699" t="str">
        <f>IF(S358=".",".",SUM($S358:S358))</f>
        <v>.</v>
      </c>
      <c r="AJ358" s="700" t="str">
        <f>IF(T358=".",".",SUM($S358:T358))</f>
        <v>.</v>
      </c>
      <c r="AK358" s="700" t="str">
        <f>IF(U358=".",".",SUM($S358:U358))</f>
        <v>.</v>
      </c>
      <c r="AL358" s="700" t="str">
        <f>IF(V358=".",".",SUM($S358:V358))</f>
        <v>.</v>
      </c>
      <c r="AM358" s="700" t="str">
        <f>IF(W358=".",".",SUM($S358:W358))</f>
        <v>.</v>
      </c>
      <c r="AN358" s="700" t="str">
        <f>IF(X358=".",".",SUM($S358:X358))</f>
        <v>.</v>
      </c>
      <c r="AO358" s="701" t="str">
        <f>IF(Y358=".",".",SUM($S358:Y358))</f>
        <v>.</v>
      </c>
      <c r="AP358" s="3"/>
      <c r="AQ358" s="985" t="str">
        <f t="shared" si="250"/>
        <v>.</v>
      </c>
      <c r="AR358" s="702" t="str">
        <f t="shared" si="251"/>
        <v>.</v>
      </c>
      <c r="AS358" s="702" t="str">
        <f t="shared" si="252"/>
        <v>.</v>
      </c>
      <c r="AT358" s="702" t="str">
        <f t="shared" si="253"/>
        <v>.</v>
      </c>
      <c r="AU358" s="702" t="str">
        <f t="shared" si="254"/>
        <v>.</v>
      </c>
      <c r="AV358" s="702" t="str">
        <f t="shared" si="255"/>
        <v>.</v>
      </c>
      <c r="AW358" s="986" t="str">
        <f t="shared" si="256"/>
        <v>.</v>
      </c>
      <c r="AX358" s="214"/>
      <c r="AY358" s="3"/>
      <c r="AZ358" s="3"/>
      <c r="BA358" s="3"/>
      <c r="BB358" s="3"/>
    </row>
    <row r="359" spans="1:54" ht="12" x14ac:dyDescent="0.25">
      <c r="A359" s="3"/>
      <c r="B359" s="212"/>
      <c r="C359" s="718"/>
      <c r="D359" s="715"/>
      <c r="E359" s="579"/>
      <c r="F359" s="579"/>
      <c r="G359" s="578"/>
      <c r="H359" s="578"/>
      <c r="I359" s="578"/>
      <c r="J359" s="578"/>
      <c r="K359" s="578"/>
      <c r="L359" s="578"/>
      <c r="M359" s="220"/>
      <c r="N359" s="3"/>
      <c r="O359" s="3"/>
      <c r="P359" s="3"/>
      <c r="Q359" s="3"/>
      <c r="R359" s="212"/>
      <c r="S359" s="699" t="str">
        <f t="shared" si="237"/>
        <v>.</v>
      </c>
      <c r="T359" s="700" t="str">
        <f t="shared" si="238"/>
        <v>.</v>
      </c>
      <c r="U359" s="700" t="str">
        <f t="shared" si="239"/>
        <v>.</v>
      </c>
      <c r="V359" s="700" t="str">
        <f t="shared" si="240"/>
        <v>.</v>
      </c>
      <c r="W359" s="700" t="str">
        <f t="shared" si="241"/>
        <v>.</v>
      </c>
      <c r="X359" s="700" t="str">
        <f t="shared" si="242"/>
        <v>.</v>
      </c>
      <c r="Y359" s="701" t="str">
        <f t="shared" si="243"/>
        <v>.</v>
      </c>
      <c r="Z359" s="3"/>
      <c r="AA359" s="985" t="str">
        <f t="shared" si="257"/>
        <v>.</v>
      </c>
      <c r="AB359" s="702" t="str">
        <f t="shared" si="258"/>
        <v>.</v>
      </c>
      <c r="AC359" s="702" t="str">
        <f t="shared" si="259"/>
        <v>.</v>
      </c>
      <c r="AD359" s="702" t="str">
        <f t="shared" si="260"/>
        <v>.</v>
      </c>
      <c r="AE359" s="702" t="str">
        <f t="shared" si="261"/>
        <v>.</v>
      </c>
      <c r="AF359" s="702" t="str">
        <f t="shared" si="262"/>
        <v>.</v>
      </c>
      <c r="AG359" s="986" t="str">
        <f t="shared" si="263"/>
        <v>.</v>
      </c>
      <c r="AH359" s="3"/>
      <c r="AI359" s="699" t="str">
        <f>IF(S359=".",".",SUM($S359:S359))</f>
        <v>.</v>
      </c>
      <c r="AJ359" s="700" t="str">
        <f>IF(T359=".",".",SUM($S359:T359))</f>
        <v>.</v>
      </c>
      <c r="AK359" s="700" t="str">
        <f>IF(U359=".",".",SUM($S359:U359))</f>
        <v>.</v>
      </c>
      <c r="AL359" s="700" t="str">
        <f>IF(V359=".",".",SUM($S359:V359))</f>
        <v>.</v>
      </c>
      <c r="AM359" s="700" t="str">
        <f>IF(W359=".",".",SUM($S359:W359))</f>
        <v>.</v>
      </c>
      <c r="AN359" s="700" t="str">
        <f>IF(X359=".",".",SUM($S359:X359))</f>
        <v>.</v>
      </c>
      <c r="AO359" s="701" t="str">
        <f>IF(Y359=".",".",SUM($S359:Y359))</f>
        <v>.</v>
      </c>
      <c r="AP359" s="3"/>
      <c r="AQ359" s="985" t="str">
        <f t="shared" si="250"/>
        <v>.</v>
      </c>
      <c r="AR359" s="702" t="str">
        <f t="shared" si="251"/>
        <v>.</v>
      </c>
      <c r="AS359" s="702" t="str">
        <f t="shared" si="252"/>
        <v>.</v>
      </c>
      <c r="AT359" s="702" t="str">
        <f t="shared" si="253"/>
        <v>.</v>
      </c>
      <c r="AU359" s="702" t="str">
        <f t="shared" si="254"/>
        <v>.</v>
      </c>
      <c r="AV359" s="702" t="str">
        <f t="shared" si="255"/>
        <v>.</v>
      </c>
      <c r="AW359" s="986" t="str">
        <f t="shared" si="256"/>
        <v>.</v>
      </c>
      <c r="AX359" s="214"/>
      <c r="AY359" s="3"/>
      <c r="AZ359" s="3"/>
      <c r="BA359" s="3"/>
      <c r="BB359" s="3"/>
    </row>
    <row r="360" spans="1:54" ht="12" x14ac:dyDescent="0.25">
      <c r="A360" s="3"/>
      <c r="B360" s="212"/>
      <c r="C360" s="718"/>
      <c r="D360" s="715"/>
      <c r="E360" s="579"/>
      <c r="F360" s="579"/>
      <c r="G360" s="578"/>
      <c r="H360" s="578"/>
      <c r="I360" s="578"/>
      <c r="J360" s="578"/>
      <c r="K360" s="578"/>
      <c r="L360" s="578"/>
      <c r="M360" s="220"/>
      <c r="N360" s="3"/>
      <c r="O360" s="3"/>
      <c r="P360" s="3"/>
      <c r="Q360" s="3"/>
      <c r="R360" s="212"/>
      <c r="S360" s="699" t="str">
        <f t="shared" si="237"/>
        <v>.</v>
      </c>
      <c r="T360" s="700" t="str">
        <f t="shared" si="238"/>
        <v>.</v>
      </c>
      <c r="U360" s="700" t="str">
        <f t="shared" si="239"/>
        <v>.</v>
      </c>
      <c r="V360" s="700" t="str">
        <f t="shared" si="240"/>
        <v>.</v>
      </c>
      <c r="W360" s="700" t="str">
        <f t="shared" si="241"/>
        <v>.</v>
      </c>
      <c r="X360" s="700" t="str">
        <f t="shared" si="242"/>
        <v>.</v>
      </c>
      <c r="Y360" s="701" t="str">
        <f t="shared" si="243"/>
        <v>.</v>
      </c>
      <c r="Z360" s="3"/>
      <c r="AA360" s="985" t="str">
        <f t="shared" si="257"/>
        <v>.</v>
      </c>
      <c r="AB360" s="702" t="str">
        <f t="shared" si="258"/>
        <v>.</v>
      </c>
      <c r="AC360" s="702" t="str">
        <f t="shared" si="259"/>
        <v>.</v>
      </c>
      <c r="AD360" s="702" t="str">
        <f t="shared" si="260"/>
        <v>.</v>
      </c>
      <c r="AE360" s="702" t="str">
        <f t="shared" si="261"/>
        <v>.</v>
      </c>
      <c r="AF360" s="702" t="str">
        <f t="shared" si="262"/>
        <v>.</v>
      </c>
      <c r="AG360" s="986" t="str">
        <f t="shared" si="263"/>
        <v>.</v>
      </c>
      <c r="AH360" s="3"/>
      <c r="AI360" s="699" t="str">
        <f>IF(S360=".",".",SUM($S360:S360))</f>
        <v>.</v>
      </c>
      <c r="AJ360" s="700" t="str">
        <f>IF(T360=".",".",SUM($S360:T360))</f>
        <v>.</v>
      </c>
      <c r="AK360" s="700" t="str">
        <f>IF(U360=".",".",SUM($S360:U360))</f>
        <v>.</v>
      </c>
      <c r="AL360" s="700" t="str">
        <f>IF(V360=".",".",SUM($S360:V360))</f>
        <v>.</v>
      </c>
      <c r="AM360" s="700" t="str">
        <f>IF(W360=".",".",SUM($S360:W360))</f>
        <v>.</v>
      </c>
      <c r="AN360" s="700" t="str">
        <f>IF(X360=".",".",SUM($S360:X360))</f>
        <v>.</v>
      </c>
      <c r="AO360" s="701" t="str">
        <f>IF(Y360=".",".",SUM($S360:Y360))</f>
        <v>.</v>
      </c>
      <c r="AP360" s="3"/>
      <c r="AQ360" s="985" t="str">
        <f t="shared" si="250"/>
        <v>.</v>
      </c>
      <c r="AR360" s="702" t="str">
        <f t="shared" si="251"/>
        <v>.</v>
      </c>
      <c r="AS360" s="702" t="str">
        <f t="shared" si="252"/>
        <v>.</v>
      </c>
      <c r="AT360" s="702" t="str">
        <f t="shared" si="253"/>
        <v>.</v>
      </c>
      <c r="AU360" s="702" t="str">
        <f t="shared" si="254"/>
        <v>.</v>
      </c>
      <c r="AV360" s="702" t="str">
        <f t="shared" si="255"/>
        <v>.</v>
      </c>
      <c r="AW360" s="986" t="str">
        <f t="shared" si="256"/>
        <v>.</v>
      </c>
      <c r="AX360" s="214"/>
      <c r="AY360" s="3"/>
      <c r="AZ360" s="3"/>
      <c r="BA360" s="3"/>
      <c r="BB360" s="3"/>
    </row>
    <row r="361" spans="1:54" ht="12" x14ac:dyDescent="0.25">
      <c r="A361" s="3"/>
      <c r="B361" s="212"/>
      <c r="C361" s="718"/>
      <c r="D361" s="715"/>
      <c r="E361" s="579"/>
      <c r="F361" s="579"/>
      <c r="G361" s="578"/>
      <c r="H361" s="578"/>
      <c r="I361" s="578"/>
      <c r="J361" s="578"/>
      <c r="K361" s="578"/>
      <c r="L361" s="578"/>
      <c r="M361" s="220"/>
      <c r="N361" s="3"/>
      <c r="O361" s="3"/>
      <c r="P361" s="3"/>
      <c r="Q361" s="3"/>
      <c r="R361" s="212"/>
      <c r="S361" s="699" t="str">
        <f t="shared" si="237"/>
        <v>.</v>
      </c>
      <c r="T361" s="700" t="str">
        <f t="shared" si="238"/>
        <v>.</v>
      </c>
      <c r="U361" s="700" t="str">
        <f t="shared" si="239"/>
        <v>.</v>
      </c>
      <c r="V361" s="700" t="str">
        <f t="shared" si="240"/>
        <v>.</v>
      </c>
      <c r="W361" s="700" t="str">
        <f t="shared" si="241"/>
        <v>.</v>
      </c>
      <c r="X361" s="700" t="str">
        <f t="shared" si="242"/>
        <v>.</v>
      </c>
      <c r="Y361" s="701" t="str">
        <f t="shared" si="243"/>
        <v>.</v>
      </c>
      <c r="Z361" s="3"/>
      <c r="AA361" s="985" t="str">
        <f t="shared" si="257"/>
        <v>.</v>
      </c>
      <c r="AB361" s="702" t="str">
        <f t="shared" si="258"/>
        <v>.</v>
      </c>
      <c r="AC361" s="702" t="str">
        <f t="shared" si="259"/>
        <v>.</v>
      </c>
      <c r="AD361" s="702" t="str">
        <f t="shared" si="260"/>
        <v>.</v>
      </c>
      <c r="AE361" s="702" t="str">
        <f t="shared" si="261"/>
        <v>.</v>
      </c>
      <c r="AF361" s="702" t="str">
        <f t="shared" si="262"/>
        <v>.</v>
      </c>
      <c r="AG361" s="986" t="str">
        <f t="shared" si="263"/>
        <v>.</v>
      </c>
      <c r="AH361" s="3"/>
      <c r="AI361" s="699" t="str">
        <f>IF(S361=".",".",SUM($S361:S361))</f>
        <v>.</v>
      </c>
      <c r="AJ361" s="700" t="str">
        <f>IF(T361=".",".",SUM($S361:T361))</f>
        <v>.</v>
      </c>
      <c r="AK361" s="700" t="str">
        <f>IF(U361=".",".",SUM($S361:U361))</f>
        <v>.</v>
      </c>
      <c r="AL361" s="700" t="str">
        <f>IF(V361=".",".",SUM($S361:V361))</f>
        <v>.</v>
      </c>
      <c r="AM361" s="700" t="str">
        <f>IF(W361=".",".",SUM($S361:W361))</f>
        <v>.</v>
      </c>
      <c r="AN361" s="700" t="str">
        <f>IF(X361=".",".",SUM($S361:X361))</f>
        <v>.</v>
      </c>
      <c r="AO361" s="701" t="str">
        <f>IF(Y361=".",".",SUM($S361:Y361))</f>
        <v>.</v>
      </c>
      <c r="AP361" s="3"/>
      <c r="AQ361" s="985" t="str">
        <f t="shared" si="250"/>
        <v>.</v>
      </c>
      <c r="AR361" s="702" t="str">
        <f t="shared" si="251"/>
        <v>.</v>
      </c>
      <c r="AS361" s="702" t="str">
        <f t="shared" si="252"/>
        <v>.</v>
      </c>
      <c r="AT361" s="702" t="str">
        <f t="shared" si="253"/>
        <v>.</v>
      </c>
      <c r="AU361" s="702" t="str">
        <f t="shared" si="254"/>
        <v>.</v>
      </c>
      <c r="AV361" s="702" t="str">
        <f t="shared" si="255"/>
        <v>.</v>
      </c>
      <c r="AW361" s="986" t="str">
        <f t="shared" si="256"/>
        <v>.</v>
      </c>
      <c r="AX361" s="214"/>
      <c r="AY361" s="3"/>
      <c r="AZ361" s="3"/>
      <c r="BA361" s="3"/>
      <c r="BB361" s="3"/>
    </row>
    <row r="362" spans="1:54" ht="12" x14ac:dyDescent="0.25">
      <c r="A362" s="3"/>
      <c r="B362" s="212"/>
      <c r="C362" s="718"/>
      <c r="D362" s="715"/>
      <c r="E362" s="579"/>
      <c r="F362" s="579"/>
      <c r="G362" s="578"/>
      <c r="H362" s="578"/>
      <c r="I362" s="578"/>
      <c r="J362" s="578"/>
      <c r="K362" s="578"/>
      <c r="L362" s="578"/>
      <c r="M362" s="220"/>
      <c r="N362" s="3"/>
      <c r="O362" s="3"/>
      <c r="P362" s="3"/>
      <c r="Q362" s="3"/>
      <c r="R362" s="212"/>
      <c r="S362" s="699" t="str">
        <f t="shared" si="237"/>
        <v>.</v>
      </c>
      <c r="T362" s="700" t="str">
        <f t="shared" si="238"/>
        <v>.</v>
      </c>
      <c r="U362" s="700" t="str">
        <f t="shared" si="239"/>
        <v>.</v>
      </c>
      <c r="V362" s="700" t="str">
        <f t="shared" si="240"/>
        <v>.</v>
      </c>
      <c r="W362" s="700" t="str">
        <f t="shared" si="241"/>
        <v>.</v>
      </c>
      <c r="X362" s="700" t="str">
        <f t="shared" si="242"/>
        <v>.</v>
      </c>
      <c r="Y362" s="701" t="str">
        <f t="shared" si="243"/>
        <v>.</v>
      </c>
      <c r="Z362" s="3"/>
      <c r="AA362" s="985" t="str">
        <f t="shared" si="257"/>
        <v>.</v>
      </c>
      <c r="AB362" s="702" t="str">
        <f t="shared" si="258"/>
        <v>.</v>
      </c>
      <c r="AC362" s="702" t="str">
        <f t="shared" si="259"/>
        <v>.</v>
      </c>
      <c r="AD362" s="702" t="str">
        <f t="shared" si="260"/>
        <v>.</v>
      </c>
      <c r="AE362" s="702" t="str">
        <f t="shared" si="261"/>
        <v>.</v>
      </c>
      <c r="AF362" s="702" t="str">
        <f t="shared" si="262"/>
        <v>.</v>
      </c>
      <c r="AG362" s="986" t="str">
        <f t="shared" si="263"/>
        <v>.</v>
      </c>
      <c r="AH362" s="3"/>
      <c r="AI362" s="699" t="str">
        <f>IF(S362=".",".",SUM($S362:S362))</f>
        <v>.</v>
      </c>
      <c r="AJ362" s="700" t="str">
        <f>IF(T362=".",".",SUM($S362:T362))</f>
        <v>.</v>
      </c>
      <c r="AK362" s="700" t="str">
        <f>IF(U362=".",".",SUM($S362:U362))</f>
        <v>.</v>
      </c>
      <c r="AL362" s="700" t="str">
        <f>IF(V362=".",".",SUM($S362:V362))</f>
        <v>.</v>
      </c>
      <c r="AM362" s="700" t="str">
        <f>IF(W362=".",".",SUM($S362:W362))</f>
        <v>.</v>
      </c>
      <c r="AN362" s="700" t="str">
        <f>IF(X362=".",".",SUM($S362:X362))</f>
        <v>.</v>
      </c>
      <c r="AO362" s="701" t="str">
        <f>IF(Y362=".",".",SUM($S362:Y362))</f>
        <v>.</v>
      </c>
      <c r="AP362" s="3"/>
      <c r="AQ362" s="985" t="str">
        <f t="shared" si="250"/>
        <v>.</v>
      </c>
      <c r="AR362" s="702" t="str">
        <f t="shared" si="251"/>
        <v>.</v>
      </c>
      <c r="AS362" s="702" t="str">
        <f t="shared" si="252"/>
        <v>.</v>
      </c>
      <c r="AT362" s="702" t="str">
        <f t="shared" si="253"/>
        <v>.</v>
      </c>
      <c r="AU362" s="702" t="str">
        <f t="shared" si="254"/>
        <v>.</v>
      </c>
      <c r="AV362" s="702" t="str">
        <f t="shared" si="255"/>
        <v>.</v>
      </c>
      <c r="AW362" s="986" t="str">
        <f t="shared" si="256"/>
        <v>.</v>
      </c>
      <c r="AX362" s="214"/>
      <c r="AY362" s="3"/>
      <c r="AZ362" s="3"/>
      <c r="BA362" s="3"/>
      <c r="BB362" s="3"/>
    </row>
    <row r="363" spans="1:54" ht="12" x14ac:dyDescent="0.25">
      <c r="A363" s="3"/>
      <c r="B363" s="212"/>
      <c r="C363" s="718"/>
      <c r="D363" s="715"/>
      <c r="E363" s="579"/>
      <c r="F363" s="579"/>
      <c r="G363" s="578"/>
      <c r="H363" s="578"/>
      <c r="I363" s="578"/>
      <c r="J363" s="578"/>
      <c r="K363" s="578"/>
      <c r="L363" s="578"/>
      <c r="M363" s="220"/>
      <c r="N363" s="3"/>
      <c r="O363" s="3"/>
      <c r="P363" s="3"/>
      <c r="Q363" s="3"/>
      <c r="R363" s="212"/>
      <c r="S363" s="699" t="str">
        <f t="shared" si="237"/>
        <v>.</v>
      </c>
      <c r="T363" s="700" t="str">
        <f t="shared" si="238"/>
        <v>.</v>
      </c>
      <c r="U363" s="700" t="str">
        <f t="shared" si="239"/>
        <v>.</v>
      </c>
      <c r="V363" s="700" t="str">
        <f t="shared" si="240"/>
        <v>.</v>
      </c>
      <c r="W363" s="700" t="str">
        <f t="shared" si="241"/>
        <v>.</v>
      </c>
      <c r="X363" s="700" t="str">
        <f t="shared" si="242"/>
        <v>.</v>
      </c>
      <c r="Y363" s="701" t="str">
        <f t="shared" si="243"/>
        <v>.</v>
      </c>
      <c r="Z363" s="3"/>
      <c r="AA363" s="985" t="str">
        <f t="shared" si="257"/>
        <v>.</v>
      </c>
      <c r="AB363" s="702" t="str">
        <f t="shared" si="258"/>
        <v>.</v>
      </c>
      <c r="AC363" s="702" t="str">
        <f t="shared" si="259"/>
        <v>.</v>
      </c>
      <c r="AD363" s="702" t="str">
        <f t="shared" si="260"/>
        <v>.</v>
      </c>
      <c r="AE363" s="702" t="str">
        <f t="shared" si="261"/>
        <v>.</v>
      </c>
      <c r="AF363" s="702" t="str">
        <f t="shared" si="262"/>
        <v>.</v>
      </c>
      <c r="AG363" s="986" t="str">
        <f t="shared" si="263"/>
        <v>.</v>
      </c>
      <c r="AH363" s="3"/>
      <c r="AI363" s="699" t="str">
        <f>IF(S363=".",".",SUM($S363:S363))</f>
        <v>.</v>
      </c>
      <c r="AJ363" s="700" t="str">
        <f>IF(T363=".",".",SUM($S363:T363))</f>
        <v>.</v>
      </c>
      <c r="AK363" s="700" t="str">
        <f>IF(U363=".",".",SUM($S363:U363))</f>
        <v>.</v>
      </c>
      <c r="AL363" s="700" t="str">
        <f>IF(V363=".",".",SUM($S363:V363))</f>
        <v>.</v>
      </c>
      <c r="AM363" s="700" t="str">
        <f>IF(W363=".",".",SUM($S363:W363))</f>
        <v>.</v>
      </c>
      <c r="AN363" s="700" t="str">
        <f>IF(X363=".",".",SUM($S363:X363))</f>
        <v>.</v>
      </c>
      <c r="AO363" s="701" t="str">
        <f>IF(Y363=".",".",SUM($S363:Y363))</f>
        <v>.</v>
      </c>
      <c r="AP363" s="3"/>
      <c r="AQ363" s="985" t="str">
        <f t="shared" si="250"/>
        <v>.</v>
      </c>
      <c r="AR363" s="702" t="str">
        <f t="shared" si="251"/>
        <v>.</v>
      </c>
      <c r="AS363" s="702" t="str">
        <f t="shared" si="252"/>
        <v>.</v>
      </c>
      <c r="AT363" s="702" t="str">
        <f t="shared" si="253"/>
        <v>.</v>
      </c>
      <c r="AU363" s="702" t="str">
        <f t="shared" si="254"/>
        <v>.</v>
      </c>
      <c r="AV363" s="702" t="str">
        <f t="shared" si="255"/>
        <v>.</v>
      </c>
      <c r="AW363" s="986" t="str">
        <f t="shared" si="256"/>
        <v>.</v>
      </c>
      <c r="AX363" s="214"/>
      <c r="AY363" s="3"/>
      <c r="AZ363" s="3"/>
      <c r="BA363" s="3"/>
      <c r="BB363" s="3"/>
    </row>
    <row r="364" spans="1:54" ht="12" x14ac:dyDescent="0.25">
      <c r="A364" s="3"/>
      <c r="B364" s="212"/>
      <c r="C364" s="718"/>
      <c r="D364" s="715"/>
      <c r="E364" s="579"/>
      <c r="F364" s="579"/>
      <c r="G364" s="578"/>
      <c r="H364" s="578"/>
      <c r="I364" s="578"/>
      <c r="J364" s="578"/>
      <c r="K364" s="578"/>
      <c r="L364" s="578"/>
      <c r="M364" s="220"/>
      <c r="N364" s="3"/>
      <c r="O364" s="3"/>
      <c r="P364" s="3"/>
      <c r="Q364" s="3"/>
      <c r="R364" s="212"/>
      <c r="S364" s="699" t="str">
        <f t="shared" si="237"/>
        <v>.</v>
      </c>
      <c r="T364" s="700" t="str">
        <f t="shared" si="238"/>
        <v>.</v>
      </c>
      <c r="U364" s="700" t="str">
        <f t="shared" si="239"/>
        <v>.</v>
      </c>
      <c r="V364" s="700" t="str">
        <f t="shared" si="240"/>
        <v>.</v>
      </c>
      <c r="W364" s="700" t="str">
        <f t="shared" si="241"/>
        <v>.</v>
      </c>
      <c r="X364" s="700" t="str">
        <f t="shared" si="242"/>
        <v>.</v>
      </c>
      <c r="Y364" s="701" t="str">
        <f t="shared" si="243"/>
        <v>.</v>
      </c>
      <c r="Z364" s="3"/>
      <c r="AA364" s="985" t="str">
        <f t="shared" si="257"/>
        <v>.</v>
      </c>
      <c r="AB364" s="702" t="str">
        <f t="shared" si="258"/>
        <v>.</v>
      </c>
      <c r="AC364" s="702" t="str">
        <f t="shared" si="259"/>
        <v>.</v>
      </c>
      <c r="AD364" s="702" t="str">
        <f t="shared" si="260"/>
        <v>.</v>
      </c>
      <c r="AE364" s="702" t="str">
        <f t="shared" si="261"/>
        <v>.</v>
      </c>
      <c r="AF364" s="702" t="str">
        <f t="shared" si="262"/>
        <v>.</v>
      </c>
      <c r="AG364" s="986" t="str">
        <f t="shared" si="263"/>
        <v>.</v>
      </c>
      <c r="AH364" s="3"/>
      <c r="AI364" s="699" t="str">
        <f>IF(S364=".",".",SUM($S364:S364))</f>
        <v>.</v>
      </c>
      <c r="AJ364" s="700" t="str">
        <f>IF(T364=".",".",SUM($S364:T364))</f>
        <v>.</v>
      </c>
      <c r="AK364" s="700" t="str">
        <f>IF(U364=".",".",SUM($S364:U364))</f>
        <v>.</v>
      </c>
      <c r="AL364" s="700" t="str">
        <f>IF(V364=".",".",SUM($S364:V364))</f>
        <v>.</v>
      </c>
      <c r="AM364" s="700" t="str">
        <f>IF(W364=".",".",SUM($S364:W364))</f>
        <v>.</v>
      </c>
      <c r="AN364" s="700" t="str">
        <f>IF(X364=".",".",SUM($S364:X364))</f>
        <v>.</v>
      </c>
      <c r="AO364" s="701" t="str">
        <f>IF(Y364=".",".",SUM($S364:Y364))</f>
        <v>.</v>
      </c>
      <c r="AP364" s="3"/>
      <c r="AQ364" s="985" t="str">
        <f t="shared" si="250"/>
        <v>.</v>
      </c>
      <c r="AR364" s="702" t="str">
        <f t="shared" si="251"/>
        <v>.</v>
      </c>
      <c r="AS364" s="702" t="str">
        <f t="shared" si="252"/>
        <v>.</v>
      </c>
      <c r="AT364" s="702" t="str">
        <f t="shared" si="253"/>
        <v>.</v>
      </c>
      <c r="AU364" s="702" t="str">
        <f t="shared" si="254"/>
        <v>.</v>
      </c>
      <c r="AV364" s="702" t="str">
        <f t="shared" si="255"/>
        <v>.</v>
      </c>
      <c r="AW364" s="986" t="str">
        <f t="shared" si="256"/>
        <v>.</v>
      </c>
      <c r="AX364" s="214"/>
      <c r="AY364" s="3"/>
      <c r="AZ364" s="3"/>
      <c r="BA364" s="3"/>
      <c r="BB364" s="3"/>
    </row>
    <row r="365" spans="1:54" ht="12" x14ac:dyDescent="0.25">
      <c r="A365" s="3"/>
      <c r="B365" s="212"/>
      <c r="C365" s="718"/>
      <c r="D365" s="715"/>
      <c r="E365" s="579"/>
      <c r="F365" s="579"/>
      <c r="G365" s="578"/>
      <c r="H365" s="578"/>
      <c r="I365" s="578"/>
      <c r="J365" s="578"/>
      <c r="K365" s="578"/>
      <c r="L365" s="578"/>
      <c r="M365" s="220"/>
      <c r="N365" s="3"/>
      <c r="O365" s="3"/>
      <c r="P365" s="3"/>
      <c r="Q365" s="3"/>
      <c r="R365" s="212"/>
      <c r="S365" s="699" t="str">
        <f t="shared" si="237"/>
        <v>.</v>
      </c>
      <c r="T365" s="700" t="str">
        <f t="shared" si="238"/>
        <v>.</v>
      </c>
      <c r="U365" s="700" t="str">
        <f t="shared" si="239"/>
        <v>.</v>
      </c>
      <c r="V365" s="700" t="str">
        <f t="shared" si="240"/>
        <v>.</v>
      </c>
      <c r="W365" s="700" t="str">
        <f t="shared" si="241"/>
        <v>.</v>
      </c>
      <c r="X365" s="700" t="str">
        <f t="shared" si="242"/>
        <v>.</v>
      </c>
      <c r="Y365" s="701" t="str">
        <f t="shared" si="243"/>
        <v>.</v>
      </c>
      <c r="Z365" s="3"/>
      <c r="AA365" s="985" t="str">
        <f t="shared" si="257"/>
        <v>.</v>
      </c>
      <c r="AB365" s="702" t="str">
        <f t="shared" si="258"/>
        <v>.</v>
      </c>
      <c r="AC365" s="702" t="str">
        <f t="shared" si="259"/>
        <v>.</v>
      </c>
      <c r="AD365" s="702" t="str">
        <f t="shared" si="260"/>
        <v>.</v>
      </c>
      <c r="AE365" s="702" t="str">
        <f t="shared" si="261"/>
        <v>.</v>
      </c>
      <c r="AF365" s="702" t="str">
        <f t="shared" si="262"/>
        <v>.</v>
      </c>
      <c r="AG365" s="986" t="str">
        <f t="shared" si="263"/>
        <v>.</v>
      </c>
      <c r="AH365" s="3"/>
      <c r="AI365" s="699" t="str">
        <f>IF(S365=".",".",SUM($S365:S365))</f>
        <v>.</v>
      </c>
      <c r="AJ365" s="700" t="str">
        <f>IF(T365=".",".",SUM($S365:T365))</f>
        <v>.</v>
      </c>
      <c r="AK365" s="700" t="str">
        <f>IF(U365=".",".",SUM($S365:U365))</f>
        <v>.</v>
      </c>
      <c r="AL365" s="700" t="str">
        <f>IF(V365=".",".",SUM($S365:V365))</f>
        <v>.</v>
      </c>
      <c r="AM365" s="700" t="str">
        <f>IF(W365=".",".",SUM($S365:W365))</f>
        <v>.</v>
      </c>
      <c r="AN365" s="700" t="str">
        <f>IF(X365=".",".",SUM($S365:X365))</f>
        <v>.</v>
      </c>
      <c r="AO365" s="701" t="str">
        <f>IF(Y365=".",".",SUM($S365:Y365))</f>
        <v>.</v>
      </c>
      <c r="AP365" s="3"/>
      <c r="AQ365" s="985" t="str">
        <f t="shared" si="250"/>
        <v>.</v>
      </c>
      <c r="AR365" s="702" t="str">
        <f t="shared" si="251"/>
        <v>.</v>
      </c>
      <c r="AS365" s="702" t="str">
        <f t="shared" si="252"/>
        <v>.</v>
      </c>
      <c r="AT365" s="702" t="str">
        <f t="shared" si="253"/>
        <v>.</v>
      </c>
      <c r="AU365" s="702" t="str">
        <f t="shared" si="254"/>
        <v>.</v>
      </c>
      <c r="AV365" s="702" t="str">
        <f t="shared" si="255"/>
        <v>.</v>
      </c>
      <c r="AW365" s="986" t="str">
        <f t="shared" si="256"/>
        <v>.</v>
      </c>
      <c r="AX365" s="214"/>
      <c r="AY365" s="3"/>
      <c r="AZ365" s="3"/>
      <c r="BA365" s="3"/>
      <c r="BB365" s="3"/>
    </row>
    <row r="366" spans="1:54" ht="12" x14ac:dyDescent="0.25">
      <c r="A366" s="3"/>
      <c r="B366" s="212"/>
      <c r="C366" s="718"/>
      <c r="D366" s="715"/>
      <c r="E366" s="579"/>
      <c r="F366" s="579"/>
      <c r="G366" s="578"/>
      <c r="H366" s="578"/>
      <c r="I366" s="578"/>
      <c r="J366" s="578"/>
      <c r="K366" s="578"/>
      <c r="L366" s="578"/>
      <c r="M366" s="220"/>
      <c r="N366" s="3"/>
      <c r="O366" s="3"/>
      <c r="P366" s="3"/>
      <c r="Q366" s="3"/>
      <c r="R366" s="212"/>
      <c r="S366" s="699" t="str">
        <f t="shared" si="237"/>
        <v>.</v>
      </c>
      <c r="T366" s="700" t="str">
        <f t="shared" si="238"/>
        <v>.</v>
      </c>
      <c r="U366" s="700" t="str">
        <f t="shared" si="239"/>
        <v>.</v>
      </c>
      <c r="V366" s="700" t="str">
        <f t="shared" si="240"/>
        <v>.</v>
      </c>
      <c r="W366" s="700" t="str">
        <f t="shared" si="241"/>
        <v>.</v>
      </c>
      <c r="X366" s="700" t="str">
        <f t="shared" si="242"/>
        <v>.</v>
      </c>
      <c r="Y366" s="701" t="str">
        <f t="shared" si="243"/>
        <v>.</v>
      </c>
      <c r="Z366" s="3"/>
      <c r="AA366" s="985" t="str">
        <f t="shared" si="257"/>
        <v>.</v>
      </c>
      <c r="AB366" s="702" t="str">
        <f t="shared" si="258"/>
        <v>.</v>
      </c>
      <c r="AC366" s="702" t="str">
        <f t="shared" si="259"/>
        <v>.</v>
      </c>
      <c r="AD366" s="702" t="str">
        <f t="shared" si="260"/>
        <v>.</v>
      </c>
      <c r="AE366" s="702" t="str">
        <f t="shared" si="261"/>
        <v>.</v>
      </c>
      <c r="AF366" s="702" t="str">
        <f t="shared" si="262"/>
        <v>.</v>
      </c>
      <c r="AG366" s="986" t="str">
        <f t="shared" si="263"/>
        <v>.</v>
      </c>
      <c r="AH366" s="3"/>
      <c r="AI366" s="699" t="str">
        <f>IF(S366=".",".",SUM($S366:S366))</f>
        <v>.</v>
      </c>
      <c r="AJ366" s="700" t="str">
        <f>IF(T366=".",".",SUM($S366:T366))</f>
        <v>.</v>
      </c>
      <c r="AK366" s="700" t="str">
        <f>IF(U366=".",".",SUM($S366:U366))</f>
        <v>.</v>
      </c>
      <c r="AL366" s="700" t="str">
        <f>IF(V366=".",".",SUM($S366:V366))</f>
        <v>.</v>
      </c>
      <c r="AM366" s="700" t="str">
        <f>IF(W366=".",".",SUM($S366:W366))</f>
        <v>.</v>
      </c>
      <c r="AN366" s="700" t="str">
        <f>IF(X366=".",".",SUM($S366:X366))</f>
        <v>.</v>
      </c>
      <c r="AO366" s="701" t="str">
        <f>IF(Y366=".",".",SUM($S366:Y366))</f>
        <v>.</v>
      </c>
      <c r="AP366" s="3"/>
      <c r="AQ366" s="985" t="str">
        <f t="shared" si="250"/>
        <v>.</v>
      </c>
      <c r="AR366" s="702" t="str">
        <f t="shared" si="251"/>
        <v>.</v>
      </c>
      <c r="AS366" s="702" t="str">
        <f t="shared" si="252"/>
        <v>.</v>
      </c>
      <c r="AT366" s="702" t="str">
        <f t="shared" si="253"/>
        <v>.</v>
      </c>
      <c r="AU366" s="702" t="str">
        <f t="shared" si="254"/>
        <v>.</v>
      </c>
      <c r="AV366" s="702" t="str">
        <f t="shared" si="255"/>
        <v>.</v>
      </c>
      <c r="AW366" s="986" t="str">
        <f t="shared" si="256"/>
        <v>.</v>
      </c>
      <c r="AX366" s="214"/>
      <c r="AY366" s="3"/>
      <c r="AZ366" s="3"/>
      <c r="BA366" s="3"/>
      <c r="BB366" s="3"/>
    </row>
    <row r="367" spans="1:54" ht="12" x14ac:dyDescent="0.25">
      <c r="A367" s="3"/>
      <c r="B367" s="212"/>
      <c r="C367" s="718"/>
      <c r="D367" s="715"/>
      <c r="E367" s="579"/>
      <c r="F367" s="579"/>
      <c r="G367" s="578"/>
      <c r="H367" s="578"/>
      <c r="I367" s="578"/>
      <c r="J367" s="578"/>
      <c r="K367" s="578"/>
      <c r="L367" s="578"/>
      <c r="M367" s="220"/>
      <c r="N367" s="3"/>
      <c r="O367" s="3"/>
      <c r="P367" s="3"/>
      <c r="Q367" s="3"/>
      <c r="R367" s="212"/>
      <c r="S367" s="699" t="str">
        <f t="shared" si="237"/>
        <v>.</v>
      </c>
      <c r="T367" s="700" t="str">
        <f t="shared" si="238"/>
        <v>.</v>
      </c>
      <c r="U367" s="700" t="str">
        <f t="shared" si="239"/>
        <v>.</v>
      </c>
      <c r="V367" s="700" t="str">
        <f t="shared" si="240"/>
        <v>.</v>
      </c>
      <c r="W367" s="700" t="str">
        <f t="shared" si="241"/>
        <v>.</v>
      </c>
      <c r="X367" s="700" t="str">
        <f t="shared" si="242"/>
        <v>.</v>
      </c>
      <c r="Y367" s="701" t="str">
        <f t="shared" si="243"/>
        <v>.</v>
      </c>
      <c r="Z367" s="3"/>
      <c r="AA367" s="985" t="str">
        <f t="shared" si="257"/>
        <v>.</v>
      </c>
      <c r="AB367" s="702" t="str">
        <f t="shared" si="258"/>
        <v>.</v>
      </c>
      <c r="AC367" s="702" t="str">
        <f t="shared" si="259"/>
        <v>.</v>
      </c>
      <c r="AD367" s="702" t="str">
        <f t="shared" si="260"/>
        <v>.</v>
      </c>
      <c r="AE367" s="702" t="str">
        <f t="shared" si="261"/>
        <v>.</v>
      </c>
      <c r="AF367" s="702" t="str">
        <f t="shared" si="262"/>
        <v>.</v>
      </c>
      <c r="AG367" s="986" t="str">
        <f t="shared" si="263"/>
        <v>.</v>
      </c>
      <c r="AH367" s="3"/>
      <c r="AI367" s="699" t="str">
        <f>IF(S367=".",".",SUM($S367:S367))</f>
        <v>.</v>
      </c>
      <c r="AJ367" s="700" t="str">
        <f>IF(T367=".",".",SUM($S367:T367))</f>
        <v>.</v>
      </c>
      <c r="AK367" s="700" t="str">
        <f>IF(U367=".",".",SUM($S367:U367))</f>
        <v>.</v>
      </c>
      <c r="AL367" s="700" t="str">
        <f>IF(V367=".",".",SUM($S367:V367))</f>
        <v>.</v>
      </c>
      <c r="AM367" s="700" t="str">
        <f>IF(W367=".",".",SUM($S367:W367))</f>
        <v>.</v>
      </c>
      <c r="AN367" s="700" t="str">
        <f>IF(X367=".",".",SUM($S367:X367))</f>
        <v>.</v>
      </c>
      <c r="AO367" s="701" t="str">
        <f>IF(Y367=".",".",SUM($S367:Y367))</f>
        <v>.</v>
      </c>
      <c r="AP367" s="3"/>
      <c r="AQ367" s="985" t="str">
        <f t="shared" si="250"/>
        <v>.</v>
      </c>
      <c r="AR367" s="702" t="str">
        <f t="shared" si="251"/>
        <v>.</v>
      </c>
      <c r="AS367" s="702" t="str">
        <f t="shared" si="252"/>
        <v>.</v>
      </c>
      <c r="AT367" s="702" t="str">
        <f t="shared" si="253"/>
        <v>.</v>
      </c>
      <c r="AU367" s="702" t="str">
        <f t="shared" si="254"/>
        <v>.</v>
      </c>
      <c r="AV367" s="702" t="str">
        <f t="shared" si="255"/>
        <v>.</v>
      </c>
      <c r="AW367" s="986" t="str">
        <f t="shared" si="256"/>
        <v>.</v>
      </c>
      <c r="AX367" s="214"/>
      <c r="AY367" s="3"/>
      <c r="AZ367" s="3"/>
      <c r="BA367" s="3"/>
      <c r="BB367" s="3"/>
    </row>
    <row r="368" spans="1:54" ht="12" x14ac:dyDescent="0.25">
      <c r="A368" s="3"/>
      <c r="B368" s="212"/>
      <c r="C368" s="718"/>
      <c r="D368" s="715"/>
      <c r="E368" s="579"/>
      <c r="F368" s="579"/>
      <c r="G368" s="578"/>
      <c r="H368" s="578"/>
      <c r="I368" s="578"/>
      <c r="J368" s="578"/>
      <c r="K368" s="578"/>
      <c r="L368" s="578"/>
      <c r="M368" s="220"/>
      <c r="N368" s="3"/>
      <c r="O368" s="3"/>
      <c r="P368" s="3"/>
      <c r="Q368" s="3"/>
      <c r="R368" s="212"/>
      <c r="S368" s="699" t="str">
        <f t="shared" si="237"/>
        <v>.</v>
      </c>
      <c r="T368" s="700" t="str">
        <f t="shared" si="238"/>
        <v>.</v>
      </c>
      <c r="U368" s="700" t="str">
        <f t="shared" si="239"/>
        <v>.</v>
      </c>
      <c r="V368" s="700" t="str">
        <f t="shared" si="240"/>
        <v>.</v>
      </c>
      <c r="W368" s="700" t="str">
        <f t="shared" si="241"/>
        <v>.</v>
      </c>
      <c r="X368" s="700" t="str">
        <f t="shared" si="242"/>
        <v>.</v>
      </c>
      <c r="Y368" s="701" t="str">
        <f t="shared" si="243"/>
        <v>.</v>
      </c>
      <c r="Z368" s="3"/>
      <c r="AA368" s="985" t="str">
        <f t="shared" si="257"/>
        <v>.</v>
      </c>
      <c r="AB368" s="702" t="str">
        <f t="shared" si="258"/>
        <v>.</v>
      </c>
      <c r="AC368" s="702" t="str">
        <f t="shared" si="259"/>
        <v>.</v>
      </c>
      <c r="AD368" s="702" t="str">
        <f t="shared" si="260"/>
        <v>.</v>
      </c>
      <c r="AE368" s="702" t="str">
        <f t="shared" si="261"/>
        <v>.</v>
      </c>
      <c r="AF368" s="702" t="str">
        <f t="shared" si="262"/>
        <v>.</v>
      </c>
      <c r="AG368" s="986" t="str">
        <f t="shared" si="263"/>
        <v>.</v>
      </c>
      <c r="AH368" s="3"/>
      <c r="AI368" s="699" t="str">
        <f>IF(S368=".",".",SUM($S368:S368))</f>
        <v>.</v>
      </c>
      <c r="AJ368" s="700" t="str">
        <f>IF(T368=".",".",SUM($S368:T368))</f>
        <v>.</v>
      </c>
      <c r="AK368" s="700" t="str">
        <f>IF(U368=".",".",SUM($S368:U368))</f>
        <v>.</v>
      </c>
      <c r="AL368" s="700" t="str">
        <f>IF(V368=".",".",SUM($S368:V368))</f>
        <v>.</v>
      </c>
      <c r="AM368" s="700" t="str">
        <f>IF(W368=".",".",SUM($S368:W368))</f>
        <v>.</v>
      </c>
      <c r="AN368" s="700" t="str">
        <f>IF(X368=".",".",SUM($S368:X368))</f>
        <v>.</v>
      </c>
      <c r="AO368" s="701" t="str">
        <f>IF(Y368=".",".",SUM($S368:Y368))</f>
        <v>.</v>
      </c>
      <c r="AP368" s="3"/>
      <c r="AQ368" s="985" t="str">
        <f t="shared" si="250"/>
        <v>.</v>
      </c>
      <c r="AR368" s="702" t="str">
        <f t="shared" si="251"/>
        <v>.</v>
      </c>
      <c r="AS368" s="702" t="str">
        <f t="shared" si="252"/>
        <v>.</v>
      </c>
      <c r="AT368" s="702" t="str">
        <f t="shared" si="253"/>
        <v>.</v>
      </c>
      <c r="AU368" s="702" t="str">
        <f t="shared" si="254"/>
        <v>.</v>
      </c>
      <c r="AV368" s="702" t="str">
        <f t="shared" si="255"/>
        <v>.</v>
      </c>
      <c r="AW368" s="986" t="str">
        <f t="shared" si="256"/>
        <v>.</v>
      </c>
      <c r="AX368" s="214"/>
      <c r="AY368" s="3"/>
      <c r="AZ368" s="3"/>
      <c r="BA368" s="3"/>
      <c r="BB368" s="3"/>
    </row>
    <row r="369" spans="1:54" ht="12" x14ac:dyDescent="0.25">
      <c r="A369" s="3"/>
      <c r="B369" s="212"/>
      <c r="C369" s="718"/>
      <c r="D369" s="715"/>
      <c r="E369" s="579"/>
      <c r="F369" s="579"/>
      <c r="G369" s="578"/>
      <c r="H369" s="578"/>
      <c r="I369" s="578"/>
      <c r="J369" s="578"/>
      <c r="K369" s="578"/>
      <c r="L369" s="578"/>
      <c r="M369" s="220"/>
      <c r="N369" s="3"/>
      <c r="O369" s="3"/>
      <c r="P369" s="3"/>
      <c r="Q369" s="3"/>
      <c r="R369" s="212"/>
      <c r="S369" s="699" t="str">
        <f t="shared" si="237"/>
        <v>.</v>
      </c>
      <c r="T369" s="700" t="str">
        <f t="shared" si="238"/>
        <v>.</v>
      </c>
      <c r="U369" s="700" t="str">
        <f t="shared" si="239"/>
        <v>.</v>
      </c>
      <c r="V369" s="700" t="str">
        <f t="shared" si="240"/>
        <v>.</v>
      </c>
      <c r="W369" s="700" t="str">
        <f t="shared" si="241"/>
        <v>.</v>
      </c>
      <c r="X369" s="700" t="str">
        <f t="shared" si="242"/>
        <v>.</v>
      </c>
      <c r="Y369" s="701" t="str">
        <f t="shared" si="243"/>
        <v>.</v>
      </c>
      <c r="Z369" s="3"/>
      <c r="AA369" s="985" t="str">
        <f t="shared" si="257"/>
        <v>.</v>
      </c>
      <c r="AB369" s="702" t="str">
        <f t="shared" si="258"/>
        <v>.</v>
      </c>
      <c r="AC369" s="702" t="str">
        <f t="shared" si="259"/>
        <v>.</v>
      </c>
      <c r="AD369" s="702" t="str">
        <f t="shared" si="260"/>
        <v>.</v>
      </c>
      <c r="AE369" s="702" t="str">
        <f t="shared" si="261"/>
        <v>.</v>
      </c>
      <c r="AF369" s="702" t="str">
        <f t="shared" si="262"/>
        <v>.</v>
      </c>
      <c r="AG369" s="986" t="str">
        <f t="shared" si="263"/>
        <v>.</v>
      </c>
      <c r="AH369" s="3"/>
      <c r="AI369" s="699" t="str">
        <f>IF(S369=".",".",SUM($S369:S369))</f>
        <v>.</v>
      </c>
      <c r="AJ369" s="700" t="str">
        <f>IF(T369=".",".",SUM($S369:T369))</f>
        <v>.</v>
      </c>
      <c r="AK369" s="700" t="str">
        <f>IF(U369=".",".",SUM($S369:U369))</f>
        <v>.</v>
      </c>
      <c r="AL369" s="700" t="str">
        <f>IF(V369=".",".",SUM($S369:V369))</f>
        <v>.</v>
      </c>
      <c r="AM369" s="700" t="str">
        <f>IF(W369=".",".",SUM($S369:W369))</f>
        <v>.</v>
      </c>
      <c r="AN369" s="700" t="str">
        <f>IF(X369=".",".",SUM($S369:X369))</f>
        <v>.</v>
      </c>
      <c r="AO369" s="701" t="str">
        <f>IF(Y369=".",".",SUM($S369:Y369))</f>
        <v>.</v>
      </c>
      <c r="AP369" s="3"/>
      <c r="AQ369" s="985" t="str">
        <f t="shared" si="250"/>
        <v>.</v>
      </c>
      <c r="AR369" s="702" t="str">
        <f t="shared" si="251"/>
        <v>.</v>
      </c>
      <c r="AS369" s="702" t="str">
        <f t="shared" si="252"/>
        <v>.</v>
      </c>
      <c r="AT369" s="702" t="str">
        <f t="shared" si="253"/>
        <v>.</v>
      </c>
      <c r="AU369" s="702" t="str">
        <f t="shared" si="254"/>
        <v>.</v>
      </c>
      <c r="AV369" s="702" t="str">
        <f t="shared" si="255"/>
        <v>.</v>
      </c>
      <c r="AW369" s="986" t="str">
        <f t="shared" si="256"/>
        <v>.</v>
      </c>
      <c r="AX369" s="214"/>
      <c r="AY369" s="3"/>
      <c r="AZ369" s="3"/>
      <c r="BA369" s="3"/>
      <c r="BB369" s="3"/>
    </row>
    <row r="370" spans="1:54" ht="12" x14ac:dyDescent="0.25">
      <c r="A370" s="3"/>
      <c r="B370" s="212"/>
      <c r="C370" s="718"/>
      <c r="D370" s="715"/>
      <c r="E370" s="579"/>
      <c r="F370" s="579"/>
      <c r="G370" s="578"/>
      <c r="H370" s="578"/>
      <c r="I370" s="578"/>
      <c r="J370" s="578"/>
      <c r="K370" s="578"/>
      <c r="L370" s="578"/>
      <c r="M370" s="220"/>
      <c r="N370" s="3"/>
      <c r="O370" s="3"/>
      <c r="P370" s="3"/>
      <c r="Q370" s="3"/>
      <c r="R370" s="212"/>
      <c r="S370" s="699" t="str">
        <f t="shared" si="237"/>
        <v>.</v>
      </c>
      <c r="T370" s="700" t="str">
        <f t="shared" si="238"/>
        <v>.</v>
      </c>
      <c r="U370" s="700" t="str">
        <f t="shared" si="239"/>
        <v>.</v>
      </c>
      <c r="V370" s="700" t="str">
        <f t="shared" si="240"/>
        <v>.</v>
      </c>
      <c r="W370" s="700" t="str">
        <f t="shared" si="241"/>
        <v>.</v>
      </c>
      <c r="X370" s="700" t="str">
        <f t="shared" si="242"/>
        <v>.</v>
      </c>
      <c r="Y370" s="701" t="str">
        <f t="shared" si="243"/>
        <v>.</v>
      </c>
      <c r="Z370" s="3"/>
      <c r="AA370" s="985" t="str">
        <f t="shared" si="257"/>
        <v>.</v>
      </c>
      <c r="AB370" s="702" t="str">
        <f t="shared" si="258"/>
        <v>.</v>
      </c>
      <c r="AC370" s="702" t="str">
        <f t="shared" si="259"/>
        <v>.</v>
      </c>
      <c r="AD370" s="702" t="str">
        <f t="shared" si="260"/>
        <v>.</v>
      </c>
      <c r="AE370" s="702" t="str">
        <f t="shared" si="261"/>
        <v>.</v>
      </c>
      <c r="AF370" s="702" t="str">
        <f t="shared" si="262"/>
        <v>.</v>
      </c>
      <c r="AG370" s="986" t="str">
        <f t="shared" si="263"/>
        <v>.</v>
      </c>
      <c r="AH370" s="3"/>
      <c r="AI370" s="699" t="str">
        <f>IF(S370=".",".",SUM($S370:S370))</f>
        <v>.</v>
      </c>
      <c r="AJ370" s="700" t="str">
        <f>IF(T370=".",".",SUM($S370:T370))</f>
        <v>.</v>
      </c>
      <c r="AK370" s="700" t="str">
        <f>IF(U370=".",".",SUM($S370:U370))</f>
        <v>.</v>
      </c>
      <c r="AL370" s="700" t="str">
        <f>IF(V370=".",".",SUM($S370:V370))</f>
        <v>.</v>
      </c>
      <c r="AM370" s="700" t="str">
        <f>IF(W370=".",".",SUM($S370:W370))</f>
        <v>.</v>
      </c>
      <c r="AN370" s="700" t="str">
        <f>IF(X370=".",".",SUM($S370:X370))</f>
        <v>.</v>
      </c>
      <c r="AO370" s="701" t="str">
        <f>IF(Y370=".",".",SUM($S370:Y370))</f>
        <v>.</v>
      </c>
      <c r="AP370" s="3"/>
      <c r="AQ370" s="985" t="str">
        <f t="shared" si="250"/>
        <v>.</v>
      </c>
      <c r="AR370" s="702" t="str">
        <f t="shared" si="251"/>
        <v>.</v>
      </c>
      <c r="AS370" s="702" t="str">
        <f t="shared" si="252"/>
        <v>.</v>
      </c>
      <c r="AT370" s="702" t="str">
        <f t="shared" si="253"/>
        <v>.</v>
      </c>
      <c r="AU370" s="702" t="str">
        <f t="shared" si="254"/>
        <v>.</v>
      </c>
      <c r="AV370" s="702" t="str">
        <f t="shared" si="255"/>
        <v>.</v>
      </c>
      <c r="AW370" s="986" t="str">
        <f t="shared" si="256"/>
        <v>.</v>
      </c>
      <c r="AX370" s="214"/>
      <c r="AY370" s="3"/>
      <c r="AZ370" s="3"/>
      <c r="BA370" s="3"/>
      <c r="BB370" s="3"/>
    </row>
    <row r="371" spans="1:54" ht="12" x14ac:dyDescent="0.25">
      <c r="A371" s="3"/>
      <c r="B371" s="212"/>
      <c r="C371" s="718"/>
      <c r="D371" s="715"/>
      <c r="E371" s="579"/>
      <c r="F371" s="579"/>
      <c r="G371" s="578"/>
      <c r="H371" s="578"/>
      <c r="I371" s="578"/>
      <c r="J371" s="578"/>
      <c r="K371" s="578"/>
      <c r="L371" s="578"/>
      <c r="M371" s="220"/>
      <c r="N371" s="3"/>
      <c r="O371" s="3"/>
      <c r="P371" s="3"/>
      <c r="Q371" s="3"/>
      <c r="R371" s="212"/>
      <c r="S371" s="699" t="str">
        <f t="shared" si="237"/>
        <v>.</v>
      </c>
      <c r="T371" s="700" t="str">
        <f t="shared" si="238"/>
        <v>.</v>
      </c>
      <c r="U371" s="700" t="str">
        <f t="shared" si="239"/>
        <v>.</v>
      </c>
      <c r="V371" s="700" t="str">
        <f t="shared" si="240"/>
        <v>.</v>
      </c>
      <c r="W371" s="700" t="str">
        <f t="shared" si="241"/>
        <v>.</v>
      </c>
      <c r="X371" s="700" t="str">
        <f t="shared" si="242"/>
        <v>.</v>
      </c>
      <c r="Y371" s="701" t="str">
        <f t="shared" si="243"/>
        <v>.</v>
      </c>
      <c r="Z371" s="3"/>
      <c r="AA371" s="985" t="str">
        <f t="shared" si="257"/>
        <v>.</v>
      </c>
      <c r="AB371" s="702" t="str">
        <f t="shared" si="258"/>
        <v>.</v>
      </c>
      <c r="AC371" s="702" t="str">
        <f t="shared" si="259"/>
        <v>.</v>
      </c>
      <c r="AD371" s="702" t="str">
        <f t="shared" si="260"/>
        <v>.</v>
      </c>
      <c r="AE371" s="702" t="str">
        <f t="shared" si="261"/>
        <v>.</v>
      </c>
      <c r="AF371" s="702" t="str">
        <f t="shared" si="262"/>
        <v>.</v>
      </c>
      <c r="AG371" s="986" t="str">
        <f t="shared" si="263"/>
        <v>.</v>
      </c>
      <c r="AH371" s="3"/>
      <c r="AI371" s="699" t="str">
        <f>IF(S371=".",".",SUM($S371:S371))</f>
        <v>.</v>
      </c>
      <c r="AJ371" s="700" t="str">
        <f>IF(T371=".",".",SUM($S371:T371))</f>
        <v>.</v>
      </c>
      <c r="AK371" s="700" t="str">
        <f>IF(U371=".",".",SUM($S371:U371))</f>
        <v>.</v>
      </c>
      <c r="AL371" s="700" t="str">
        <f>IF(V371=".",".",SUM($S371:V371))</f>
        <v>.</v>
      </c>
      <c r="AM371" s="700" t="str">
        <f>IF(W371=".",".",SUM($S371:W371))</f>
        <v>.</v>
      </c>
      <c r="AN371" s="700" t="str">
        <f>IF(X371=".",".",SUM($S371:X371))</f>
        <v>.</v>
      </c>
      <c r="AO371" s="701" t="str">
        <f>IF(Y371=".",".",SUM($S371:Y371))</f>
        <v>.</v>
      </c>
      <c r="AP371" s="3"/>
      <c r="AQ371" s="985" t="str">
        <f t="shared" si="250"/>
        <v>.</v>
      </c>
      <c r="AR371" s="702" t="str">
        <f t="shared" si="251"/>
        <v>.</v>
      </c>
      <c r="AS371" s="702" t="str">
        <f t="shared" si="252"/>
        <v>.</v>
      </c>
      <c r="AT371" s="702" t="str">
        <f t="shared" si="253"/>
        <v>.</v>
      </c>
      <c r="AU371" s="702" t="str">
        <f t="shared" si="254"/>
        <v>.</v>
      </c>
      <c r="AV371" s="702" t="str">
        <f t="shared" si="255"/>
        <v>.</v>
      </c>
      <c r="AW371" s="986" t="str">
        <f t="shared" si="256"/>
        <v>.</v>
      </c>
      <c r="AX371" s="214"/>
      <c r="AY371" s="3"/>
      <c r="AZ371" s="3"/>
      <c r="BA371" s="3"/>
      <c r="BB371" s="3"/>
    </row>
    <row r="372" spans="1:54" ht="12" x14ac:dyDescent="0.25">
      <c r="A372" s="3"/>
      <c r="B372" s="212"/>
      <c r="C372" s="718"/>
      <c r="D372" s="715"/>
      <c r="E372" s="579"/>
      <c r="F372" s="579"/>
      <c r="G372" s="578"/>
      <c r="H372" s="578"/>
      <c r="I372" s="578"/>
      <c r="J372" s="578"/>
      <c r="K372" s="578"/>
      <c r="L372" s="578"/>
      <c r="M372" s="220"/>
      <c r="N372" s="3"/>
      <c r="O372" s="3"/>
      <c r="P372" s="3"/>
      <c r="Q372" s="3"/>
      <c r="R372" s="212"/>
      <c r="S372" s="699" t="str">
        <f t="shared" si="237"/>
        <v>.</v>
      </c>
      <c r="T372" s="700" t="str">
        <f t="shared" si="238"/>
        <v>.</v>
      </c>
      <c r="U372" s="700" t="str">
        <f t="shared" si="239"/>
        <v>.</v>
      </c>
      <c r="V372" s="700" t="str">
        <f t="shared" si="240"/>
        <v>.</v>
      </c>
      <c r="W372" s="700" t="str">
        <f t="shared" si="241"/>
        <v>.</v>
      </c>
      <c r="X372" s="700" t="str">
        <f t="shared" si="242"/>
        <v>.</v>
      </c>
      <c r="Y372" s="701" t="str">
        <f t="shared" si="243"/>
        <v>.</v>
      </c>
      <c r="Z372" s="3"/>
      <c r="AA372" s="985" t="str">
        <f t="shared" si="257"/>
        <v>.</v>
      </c>
      <c r="AB372" s="702" t="str">
        <f t="shared" si="258"/>
        <v>.</v>
      </c>
      <c r="AC372" s="702" t="str">
        <f t="shared" si="259"/>
        <v>.</v>
      </c>
      <c r="AD372" s="702" t="str">
        <f t="shared" si="260"/>
        <v>.</v>
      </c>
      <c r="AE372" s="702" t="str">
        <f t="shared" si="261"/>
        <v>.</v>
      </c>
      <c r="AF372" s="702" t="str">
        <f t="shared" si="262"/>
        <v>.</v>
      </c>
      <c r="AG372" s="986" t="str">
        <f t="shared" si="263"/>
        <v>.</v>
      </c>
      <c r="AH372" s="3"/>
      <c r="AI372" s="699" t="str">
        <f>IF(S372=".",".",SUM($S372:S372))</f>
        <v>.</v>
      </c>
      <c r="AJ372" s="700" t="str">
        <f>IF(T372=".",".",SUM($S372:T372))</f>
        <v>.</v>
      </c>
      <c r="AK372" s="700" t="str">
        <f>IF(U372=".",".",SUM($S372:U372))</f>
        <v>.</v>
      </c>
      <c r="AL372" s="700" t="str">
        <f>IF(V372=".",".",SUM($S372:V372))</f>
        <v>.</v>
      </c>
      <c r="AM372" s="700" t="str">
        <f>IF(W372=".",".",SUM($S372:W372))</f>
        <v>.</v>
      </c>
      <c r="AN372" s="700" t="str">
        <f>IF(X372=".",".",SUM($S372:X372))</f>
        <v>.</v>
      </c>
      <c r="AO372" s="701" t="str">
        <f>IF(Y372=".",".",SUM($S372:Y372))</f>
        <v>.</v>
      </c>
      <c r="AP372" s="3"/>
      <c r="AQ372" s="985" t="str">
        <f t="shared" si="250"/>
        <v>.</v>
      </c>
      <c r="AR372" s="702" t="str">
        <f t="shared" si="251"/>
        <v>.</v>
      </c>
      <c r="AS372" s="702" t="str">
        <f t="shared" si="252"/>
        <v>.</v>
      </c>
      <c r="AT372" s="702" t="str">
        <f t="shared" si="253"/>
        <v>.</v>
      </c>
      <c r="AU372" s="702" t="str">
        <f t="shared" si="254"/>
        <v>.</v>
      </c>
      <c r="AV372" s="702" t="str">
        <f t="shared" si="255"/>
        <v>.</v>
      </c>
      <c r="AW372" s="986" t="str">
        <f t="shared" si="256"/>
        <v>.</v>
      </c>
      <c r="AX372" s="214"/>
      <c r="AY372" s="3"/>
      <c r="AZ372" s="3"/>
      <c r="BA372" s="3"/>
      <c r="BB372" s="3"/>
    </row>
    <row r="373" spans="1:54" ht="12" x14ac:dyDescent="0.25">
      <c r="A373" s="3"/>
      <c r="B373" s="212"/>
      <c r="C373" s="718"/>
      <c r="D373" s="715"/>
      <c r="E373" s="579"/>
      <c r="F373" s="579"/>
      <c r="G373" s="578"/>
      <c r="H373" s="578"/>
      <c r="I373" s="578"/>
      <c r="J373" s="578"/>
      <c r="K373" s="578"/>
      <c r="L373" s="578"/>
      <c r="M373" s="220"/>
      <c r="N373" s="3"/>
      <c r="O373" s="3"/>
      <c r="P373" s="3"/>
      <c r="Q373" s="3"/>
      <c r="R373" s="212"/>
      <c r="S373" s="699" t="str">
        <f t="shared" si="237"/>
        <v>.</v>
      </c>
      <c r="T373" s="700" t="str">
        <f t="shared" si="238"/>
        <v>.</v>
      </c>
      <c r="U373" s="700" t="str">
        <f t="shared" si="239"/>
        <v>.</v>
      </c>
      <c r="V373" s="700" t="str">
        <f t="shared" si="240"/>
        <v>.</v>
      </c>
      <c r="W373" s="700" t="str">
        <f t="shared" si="241"/>
        <v>.</v>
      </c>
      <c r="X373" s="700" t="str">
        <f t="shared" si="242"/>
        <v>.</v>
      </c>
      <c r="Y373" s="701" t="str">
        <f t="shared" si="243"/>
        <v>.</v>
      </c>
      <c r="Z373" s="3"/>
      <c r="AA373" s="985" t="str">
        <f t="shared" si="257"/>
        <v>.</v>
      </c>
      <c r="AB373" s="702" t="str">
        <f t="shared" si="258"/>
        <v>.</v>
      </c>
      <c r="AC373" s="702" t="str">
        <f t="shared" si="259"/>
        <v>.</v>
      </c>
      <c r="AD373" s="702" t="str">
        <f t="shared" si="260"/>
        <v>.</v>
      </c>
      <c r="AE373" s="702" t="str">
        <f t="shared" si="261"/>
        <v>.</v>
      </c>
      <c r="AF373" s="702" t="str">
        <f t="shared" si="262"/>
        <v>.</v>
      </c>
      <c r="AG373" s="986" t="str">
        <f t="shared" si="263"/>
        <v>.</v>
      </c>
      <c r="AH373" s="3"/>
      <c r="AI373" s="699" t="str">
        <f>IF(S373=".",".",SUM($S373:S373))</f>
        <v>.</v>
      </c>
      <c r="AJ373" s="700" t="str">
        <f>IF(T373=".",".",SUM($S373:T373))</f>
        <v>.</v>
      </c>
      <c r="AK373" s="700" t="str">
        <f>IF(U373=".",".",SUM($S373:U373))</f>
        <v>.</v>
      </c>
      <c r="AL373" s="700" t="str">
        <f>IF(V373=".",".",SUM($S373:V373))</f>
        <v>.</v>
      </c>
      <c r="AM373" s="700" t="str">
        <f>IF(W373=".",".",SUM($S373:W373))</f>
        <v>.</v>
      </c>
      <c r="AN373" s="700" t="str">
        <f>IF(X373=".",".",SUM($S373:X373))</f>
        <v>.</v>
      </c>
      <c r="AO373" s="701" t="str">
        <f>IF(Y373=".",".",SUM($S373:Y373))</f>
        <v>.</v>
      </c>
      <c r="AP373" s="3"/>
      <c r="AQ373" s="985" t="str">
        <f t="shared" si="250"/>
        <v>.</v>
      </c>
      <c r="AR373" s="702" t="str">
        <f t="shared" si="251"/>
        <v>.</v>
      </c>
      <c r="AS373" s="702" t="str">
        <f t="shared" si="252"/>
        <v>.</v>
      </c>
      <c r="AT373" s="702" t="str">
        <f t="shared" si="253"/>
        <v>.</v>
      </c>
      <c r="AU373" s="702" t="str">
        <f t="shared" si="254"/>
        <v>.</v>
      </c>
      <c r="AV373" s="702" t="str">
        <f t="shared" si="255"/>
        <v>.</v>
      </c>
      <c r="AW373" s="986" t="str">
        <f t="shared" si="256"/>
        <v>.</v>
      </c>
      <c r="AX373" s="214"/>
      <c r="AY373" s="3"/>
      <c r="AZ373" s="3"/>
      <c r="BA373" s="3"/>
      <c r="BB373" s="3"/>
    </row>
    <row r="374" spans="1:54" ht="12" x14ac:dyDescent="0.25">
      <c r="A374" s="3"/>
      <c r="B374" s="212"/>
      <c r="C374" s="718"/>
      <c r="D374" s="715"/>
      <c r="E374" s="579"/>
      <c r="F374" s="579"/>
      <c r="G374" s="578"/>
      <c r="H374" s="578"/>
      <c r="I374" s="578"/>
      <c r="J374" s="578"/>
      <c r="K374" s="578"/>
      <c r="L374" s="578"/>
      <c r="M374" s="220"/>
      <c r="N374" s="3"/>
      <c r="O374" s="3"/>
      <c r="P374" s="3"/>
      <c r="Q374" s="3"/>
      <c r="R374" s="212"/>
      <c r="S374" s="699" t="str">
        <f t="shared" si="237"/>
        <v>.</v>
      </c>
      <c r="T374" s="700" t="str">
        <f t="shared" si="238"/>
        <v>.</v>
      </c>
      <c r="U374" s="700" t="str">
        <f t="shared" si="239"/>
        <v>.</v>
      </c>
      <c r="V374" s="700" t="str">
        <f t="shared" si="240"/>
        <v>.</v>
      </c>
      <c r="W374" s="700" t="str">
        <f t="shared" si="241"/>
        <v>.</v>
      </c>
      <c r="X374" s="700" t="str">
        <f t="shared" si="242"/>
        <v>.</v>
      </c>
      <c r="Y374" s="701" t="str">
        <f t="shared" si="243"/>
        <v>.</v>
      </c>
      <c r="Z374" s="3"/>
      <c r="AA374" s="985" t="str">
        <f t="shared" si="257"/>
        <v>.</v>
      </c>
      <c r="AB374" s="702" t="str">
        <f t="shared" si="258"/>
        <v>.</v>
      </c>
      <c r="AC374" s="702" t="str">
        <f t="shared" si="259"/>
        <v>.</v>
      </c>
      <c r="AD374" s="702" t="str">
        <f t="shared" si="260"/>
        <v>.</v>
      </c>
      <c r="AE374" s="702" t="str">
        <f t="shared" si="261"/>
        <v>.</v>
      </c>
      <c r="AF374" s="702" t="str">
        <f t="shared" si="262"/>
        <v>.</v>
      </c>
      <c r="AG374" s="986" t="str">
        <f t="shared" si="263"/>
        <v>.</v>
      </c>
      <c r="AH374" s="3"/>
      <c r="AI374" s="699" t="str">
        <f>IF(S374=".",".",SUM($S374:S374))</f>
        <v>.</v>
      </c>
      <c r="AJ374" s="700" t="str">
        <f>IF(T374=".",".",SUM($S374:T374))</f>
        <v>.</v>
      </c>
      <c r="AK374" s="700" t="str">
        <f>IF(U374=".",".",SUM($S374:U374))</f>
        <v>.</v>
      </c>
      <c r="AL374" s="700" t="str">
        <f>IF(V374=".",".",SUM($S374:V374))</f>
        <v>.</v>
      </c>
      <c r="AM374" s="700" t="str">
        <f>IF(W374=".",".",SUM($S374:W374))</f>
        <v>.</v>
      </c>
      <c r="AN374" s="700" t="str">
        <f>IF(X374=".",".",SUM($S374:X374))</f>
        <v>.</v>
      </c>
      <c r="AO374" s="701" t="str">
        <f>IF(Y374=".",".",SUM($S374:Y374))</f>
        <v>.</v>
      </c>
      <c r="AP374" s="3"/>
      <c r="AQ374" s="985" t="str">
        <f t="shared" si="250"/>
        <v>.</v>
      </c>
      <c r="AR374" s="702" t="str">
        <f t="shared" si="251"/>
        <v>.</v>
      </c>
      <c r="AS374" s="702" t="str">
        <f t="shared" si="252"/>
        <v>.</v>
      </c>
      <c r="AT374" s="702" t="str">
        <f t="shared" si="253"/>
        <v>.</v>
      </c>
      <c r="AU374" s="702" t="str">
        <f t="shared" si="254"/>
        <v>.</v>
      </c>
      <c r="AV374" s="702" t="str">
        <f t="shared" si="255"/>
        <v>.</v>
      </c>
      <c r="AW374" s="986" t="str">
        <f t="shared" si="256"/>
        <v>.</v>
      </c>
      <c r="AX374" s="214"/>
      <c r="AY374" s="3"/>
      <c r="AZ374" s="3"/>
      <c r="BA374" s="3"/>
      <c r="BB374" s="3"/>
    </row>
    <row r="375" spans="1:54" ht="12" x14ac:dyDescent="0.25">
      <c r="A375" s="3"/>
      <c r="B375" s="212"/>
      <c r="C375" s="718"/>
      <c r="D375" s="715"/>
      <c r="E375" s="579"/>
      <c r="F375" s="579"/>
      <c r="G375" s="578"/>
      <c r="H375" s="578"/>
      <c r="I375" s="578"/>
      <c r="J375" s="578"/>
      <c r="K375" s="578"/>
      <c r="L375" s="578"/>
      <c r="M375" s="220"/>
      <c r="N375" s="3"/>
      <c r="O375" s="3"/>
      <c r="P375" s="3"/>
      <c r="Q375" s="3"/>
      <c r="R375" s="212"/>
      <c r="S375" s="699" t="str">
        <f t="shared" si="237"/>
        <v>.</v>
      </c>
      <c r="T375" s="700" t="str">
        <f t="shared" si="238"/>
        <v>.</v>
      </c>
      <c r="U375" s="700" t="str">
        <f t="shared" si="239"/>
        <v>.</v>
      </c>
      <c r="V375" s="700" t="str">
        <f t="shared" si="240"/>
        <v>.</v>
      </c>
      <c r="W375" s="700" t="str">
        <f t="shared" si="241"/>
        <v>.</v>
      </c>
      <c r="X375" s="700" t="str">
        <f t="shared" si="242"/>
        <v>.</v>
      </c>
      <c r="Y375" s="701" t="str">
        <f t="shared" si="243"/>
        <v>.</v>
      </c>
      <c r="Z375" s="3"/>
      <c r="AA375" s="985" t="str">
        <f t="shared" si="257"/>
        <v>.</v>
      </c>
      <c r="AB375" s="702" t="str">
        <f t="shared" si="258"/>
        <v>.</v>
      </c>
      <c r="AC375" s="702" t="str">
        <f t="shared" si="259"/>
        <v>.</v>
      </c>
      <c r="AD375" s="702" t="str">
        <f t="shared" si="260"/>
        <v>.</v>
      </c>
      <c r="AE375" s="702" t="str">
        <f t="shared" si="261"/>
        <v>.</v>
      </c>
      <c r="AF375" s="702" t="str">
        <f t="shared" si="262"/>
        <v>.</v>
      </c>
      <c r="AG375" s="986" t="str">
        <f t="shared" si="263"/>
        <v>.</v>
      </c>
      <c r="AH375" s="3"/>
      <c r="AI375" s="699" t="str">
        <f>IF(S375=".",".",SUM($S375:S375))</f>
        <v>.</v>
      </c>
      <c r="AJ375" s="700" t="str">
        <f>IF(T375=".",".",SUM($S375:T375))</f>
        <v>.</v>
      </c>
      <c r="AK375" s="700" t="str">
        <f>IF(U375=".",".",SUM($S375:U375))</f>
        <v>.</v>
      </c>
      <c r="AL375" s="700" t="str">
        <f>IF(V375=".",".",SUM($S375:V375))</f>
        <v>.</v>
      </c>
      <c r="AM375" s="700" t="str">
        <f>IF(W375=".",".",SUM($S375:W375))</f>
        <v>.</v>
      </c>
      <c r="AN375" s="700" t="str">
        <f>IF(X375=".",".",SUM($S375:X375))</f>
        <v>.</v>
      </c>
      <c r="AO375" s="701" t="str">
        <f>IF(Y375=".",".",SUM($S375:Y375))</f>
        <v>.</v>
      </c>
      <c r="AP375" s="3"/>
      <c r="AQ375" s="985" t="str">
        <f t="shared" si="250"/>
        <v>.</v>
      </c>
      <c r="AR375" s="702" t="str">
        <f t="shared" si="251"/>
        <v>.</v>
      </c>
      <c r="AS375" s="702" t="str">
        <f t="shared" si="252"/>
        <v>.</v>
      </c>
      <c r="AT375" s="702" t="str">
        <f t="shared" si="253"/>
        <v>.</v>
      </c>
      <c r="AU375" s="702" t="str">
        <f t="shared" si="254"/>
        <v>.</v>
      </c>
      <c r="AV375" s="702" t="str">
        <f t="shared" si="255"/>
        <v>.</v>
      </c>
      <c r="AW375" s="986" t="str">
        <f t="shared" si="256"/>
        <v>.</v>
      </c>
      <c r="AX375" s="214"/>
      <c r="AY375" s="3"/>
      <c r="AZ375" s="3"/>
      <c r="BA375" s="3"/>
      <c r="BB375" s="3"/>
    </row>
    <row r="376" spans="1:54" ht="12" x14ac:dyDescent="0.25">
      <c r="A376" s="3"/>
      <c r="B376" s="212"/>
      <c r="C376" s="719"/>
      <c r="D376" s="716"/>
      <c r="E376" s="581"/>
      <c r="F376" s="581"/>
      <c r="G376" s="163"/>
      <c r="H376" s="163"/>
      <c r="I376" s="163"/>
      <c r="J376" s="163"/>
      <c r="K376" s="163"/>
      <c r="L376" s="163"/>
      <c r="M376" s="220"/>
      <c r="N376" s="3"/>
      <c r="O376" s="3"/>
      <c r="P376" s="3"/>
      <c r="Q376" s="3"/>
      <c r="R376" s="212"/>
      <c r="S376" s="703" t="str">
        <f t="shared" si="237"/>
        <v>.</v>
      </c>
      <c r="T376" s="704" t="str">
        <f t="shared" si="238"/>
        <v>.</v>
      </c>
      <c r="U376" s="704" t="str">
        <f t="shared" si="239"/>
        <v>.</v>
      </c>
      <c r="V376" s="704" t="str">
        <f t="shared" si="240"/>
        <v>.</v>
      </c>
      <c r="W376" s="704" t="str">
        <f t="shared" si="241"/>
        <v>.</v>
      </c>
      <c r="X376" s="704" t="str">
        <f t="shared" si="242"/>
        <v>.</v>
      </c>
      <c r="Y376" s="705" t="str">
        <f t="shared" si="243"/>
        <v>.</v>
      </c>
      <c r="Z376" s="3"/>
      <c r="AA376" s="985" t="str">
        <f t="shared" si="257"/>
        <v>.</v>
      </c>
      <c r="AB376" s="702" t="str">
        <f t="shared" si="258"/>
        <v>.</v>
      </c>
      <c r="AC376" s="702" t="str">
        <f t="shared" si="259"/>
        <v>.</v>
      </c>
      <c r="AD376" s="702" t="str">
        <f t="shared" si="260"/>
        <v>.</v>
      </c>
      <c r="AE376" s="702" t="str">
        <f t="shared" si="261"/>
        <v>.</v>
      </c>
      <c r="AF376" s="702" t="str">
        <f t="shared" si="262"/>
        <v>.</v>
      </c>
      <c r="AG376" s="986" t="str">
        <f t="shared" si="263"/>
        <v>.</v>
      </c>
      <c r="AH376" s="3"/>
      <c r="AI376" s="703" t="str">
        <f>IF(S376=".",".",SUM($S376:S376))</f>
        <v>.</v>
      </c>
      <c r="AJ376" s="704" t="str">
        <f>IF(T376=".",".",SUM($S376:T376))</f>
        <v>.</v>
      </c>
      <c r="AK376" s="704" t="str">
        <f>IF(U376=".",".",SUM($S376:U376))</f>
        <v>.</v>
      </c>
      <c r="AL376" s="704" t="str">
        <f>IF(V376=".",".",SUM($S376:V376))</f>
        <v>.</v>
      </c>
      <c r="AM376" s="704" t="str">
        <f>IF(W376=".",".",SUM($S376:W376))</f>
        <v>.</v>
      </c>
      <c r="AN376" s="704" t="str">
        <f>IF(X376=".",".",SUM($S376:X376))</f>
        <v>.</v>
      </c>
      <c r="AO376" s="705" t="str">
        <f>IF(Y376=".",".",SUM($S376:Y376))</f>
        <v>.</v>
      </c>
      <c r="AP376" s="3"/>
      <c r="AQ376" s="987" t="str">
        <f t="shared" si="250"/>
        <v>.</v>
      </c>
      <c r="AR376" s="988" t="str">
        <f t="shared" si="251"/>
        <v>.</v>
      </c>
      <c r="AS376" s="988" t="str">
        <f t="shared" si="252"/>
        <v>.</v>
      </c>
      <c r="AT376" s="988" t="str">
        <f t="shared" si="253"/>
        <v>.</v>
      </c>
      <c r="AU376" s="988" t="str">
        <f t="shared" si="254"/>
        <v>.</v>
      </c>
      <c r="AV376" s="988" t="str">
        <f t="shared" si="255"/>
        <v>.</v>
      </c>
      <c r="AW376" s="989" t="str">
        <f t="shared" si="256"/>
        <v>.</v>
      </c>
      <c r="AX376" s="214"/>
      <c r="AY376" s="3"/>
      <c r="AZ376" s="3"/>
      <c r="BA376" s="3"/>
      <c r="BB376" s="3"/>
    </row>
    <row r="377" spans="1:54" ht="12" x14ac:dyDescent="0.25">
      <c r="A377" s="3"/>
      <c r="B377" s="212"/>
      <c r="C377" s="3"/>
      <c r="D377" s="3"/>
      <c r="E377" s="77"/>
      <c r="F377" s="77"/>
      <c r="G377" s="3"/>
      <c r="H377" s="3"/>
      <c r="I377" s="3"/>
      <c r="J377" s="3"/>
      <c r="K377" s="3"/>
      <c r="L377" s="3"/>
      <c r="M377" s="220"/>
      <c r="N377" s="3"/>
      <c r="O377" s="3"/>
      <c r="P377" s="3"/>
      <c r="Q377" s="3"/>
      <c r="R377" s="212"/>
      <c r="S377" s="3"/>
      <c r="T377" s="3"/>
      <c r="U377" s="3"/>
      <c r="V377" s="3"/>
      <c r="W377" s="3"/>
      <c r="X377" s="3"/>
      <c r="Y377" s="3"/>
      <c r="Z377" s="3"/>
      <c r="AA377" s="815"/>
      <c r="AB377" s="815"/>
      <c r="AC377" s="815"/>
      <c r="AD377" s="815"/>
      <c r="AE377" s="815"/>
      <c r="AF377" s="815"/>
      <c r="AG377" s="815"/>
      <c r="AH377" s="3"/>
      <c r="AI377" s="3"/>
      <c r="AJ377" s="3"/>
      <c r="AK377" s="3"/>
      <c r="AL377" s="3"/>
      <c r="AM377" s="3"/>
      <c r="AN377" s="3"/>
      <c r="AO377" s="3"/>
      <c r="AP377" s="3"/>
      <c r="AQ377" s="3"/>
      <c r="AR377" s="3"/>
      <c r="AS377" s="3"/>
      <c r="AT377" s="3"/>
      <c r="AU377" s="3"/>
      <c r="AV377" s="3"/>
      <c r="AW377" s="3"/>
      <c r="AX377" s="214"/>
      <c r="AY377" s="3"/>
      <c r="AZ377" s="3"/>
      <c r="BA377" s="3"/>
      <c r="BB377" s="3"/>
    </row>
    <row r="378" spans="1:54" ht="12" x14ac:dyDescent="0.25">
      <c r="A378" s="3"/>
      <c r="B378" s="212"/>
      <c r="C378" s="3"/>
      <c r="D378" s="3"/>
      <c r="E378" s="77"/>
      <c r="F378" s="77"/>
      <c r="G378" s="3"/>
      <c r="H378" s="3"/>
      <c r="I378" s="3"/>
      <c r="J378" s="3"/>
      <c r="K378" s="3"/>
      <c r="L378" s="3"/>
      <c r="M378" s="220"/>
      <c r="N378" s="3"/>
      <c r="O378" s="3"/>
      <c r="P378" s="3"/>
      <c r="Q378" s="3"/>
      <c r="R378" s="212"/>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214"/>
      <c r="AY378" s="3"/>
      <c r="AZ378" s="3"/>
      <c r="BA378" s="3"/>
      <c r="BB378" s="3"/>
    </row>
    <row r="379" spans="1:54" ht="12" x14ac:dyDescent="0.25">
      <c r="A379" s="3"/>
      <c r="B379" s="212"/>
      <c r="C379" s="2" t="s">
        <v>835</v>
      </c>
      <c r="D379" s="3"/>
      <c r="E379" s="77"/>
      <c r="F379" s="77"/>
      <c r="G379" s="3"/>
      <c r="H379" s="3"/>
      <c r="I379" s="3"/>
      <c r="J379" s="3"/>
      <c r="K379" s="3"/>
      <c r="L379" s="3"/>
      <c r="M379" s="220"/>
      <c r="N379" s="3"/>
      <c r="O379" s="3"/>
      <c r="P379" s="3"/>
      <c r="Q379" s="3"/>
      <c r="R379" s="212"/>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214"/>
      <c r="AY379" s="3"/>
      <c r="AZ379" s="3"/>
      <c r="BA379" s="3"/>
      <c r="BB379" s="3"/>
    </row>
    <row r="380" spans="1:54" ht="12" x14ac:dyDescent="0.25">
      <c r="A380" s="3"/>
      <c r="B380" s="212"/>
      <c r="C380" s="3"/>
      <c r="D380" s="3"/>
      <c r="E380" s="77"/>
      <c r="F380" s="77"/>
      <c r="G380" s="3"/>
      <c r="H380" s="3"/>
      <c r="I380" s="3"/>
      <c r="J380" s="3"/>
      <c r="K380" s="3"/>
      <c r="L380" s="3"/>
      <c r="M380" s="220"/>
      <c r="N380" s="3"/>
      <c r="O380" s="3"/>
      <c r="P380" s="3"/>
      <c r="Q380" s="3"/>
      <c r="R380" s="212"/>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214"/>
      <c r="AY380" s="3"/>
      <c r="AZ380" s="3"/>
      <c r="BA380" s="3"/>
      <c r="BB380" s="3"/>
    </row>
    <row r="381" spans="1:54" ht="13.8" x14ac:dyDescent="0.25">
      <c r="A381" s="3"/>
      <c r="B381" s="212"/>
      <c r="C381" s="1246" t="s">
        <v>835</v>
      </c>
      <c r="D381" s="1064"/>
      <c r="E381" s="1177"/>
      <c r="F381" s="1183" t="str">
        <f>$H$21</f>
        <v>$ nominal per year</v>
      </c>
      <c r="G381" s="1179"/>
      <c r="H381" s="1179"/>
      <c r="I381" s="1179"/>
      <c r="J381" s="1179"/>
      <c r="K381" s="1179"/>
      <c r="L381" s="1180"/>
      <c r="M381" s="220"/>
      <c r="N381" s="3"/>
      <c r="O381" s="3"/>
      <c r="P381" s="3"/>
      <c r="Q381" s="3"/>
      <c r="R381" s="212"/>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214"/>
      <c r="AY381" s="3"/>
      <c r="AZ381" s="3"/>
      <c r="BA381" s="3"/>
      <c r="BB381" s="3"/>
    </row>
    <row r="382" spans="1:54" ht="12" x14ac:dyDescent="0.25">
      <c r="A382" s="3"/>
      <c r="B382" s="212"/>
      <c r="C382" s="183" t="s">
        <v>824</v>
      </c>
      <c r="D382" s="184"/>
      <c r="E382" s="560"/>
      <c r="F382" s="561"/>
      <c r="G382" s="185"/>
      <c r="H382" s="185"/>
      <c r="I382" s="185"/>
      <c r="J382" s="185"/>
      <c r="K382" s="185"/>
      <c r="L382" s="186"/>
      <c r="M382" s="220"/>
      <c r="N382" s="3"/>
      <c r="O382" s="3"/>
      <c r="P382" s="3"/>
      <c r="Q382" s="3"/>
      <c r="R382" s="212"/>
      <c r="S382" s="620" t="str">
        <f>S$21</f>
        <v>Annual increases (nominal $ per year)</v>
      </c>
      <c r="T382" s="3"/>
      <c r="U382" s="3"/>
      <c r="V382" s="3"/>
      <c r="W382" s="3"/>
      <c r="X382" s="3"/>
      <c r="Y382" s="3"/>
      <c r="Z382" s="3"/>
      <c r="AA382" s="620" t="str">
        <f>AA$21</f>
        <v>Annual increases (%)</v>
      </c>
      <c r="AB382" s="3"/>
      <c r="AC382" s="3"/>
      <c r="AD382" s="3"/>
      <c r="AE382" s="3"/>
      <c r="AF382" s="3"/>
      <c r="AG382" s="3"/>
      <c r="AH382" s="3"/>
      <c r="AI382" s="620" t="str">
        <f>AI$21</f>
        <v>Cumulative increases (nominal $ per year)</v>
      </c>
      <c r="AJ382" s="3"/>
      <c r="AK382" s="3"/>
      <c r="AL382" s="3"/>
      <c r="AM382" s="3"/>
      <c r="AN382" s="3"/>
      <c r="AO382" s="3"/>
      <c r="AP382" s="3"/>
      <c r="AQ382" s="620" t="str">
        <f>AQ$21</f>
        <v>Cumulative increases (%)</v>
      </c>
      <c r="AR382" s="3"/>
      <c r="AS382" s="3"/>
      <c r="AT382" s="3"/>
      <c r="AU382" s="3"/>
      <c r="AV382" s="3"/>
      <c r="AW382" s="3"/>
      <c r="AX382" s="214"/>
      <c r="AY382" s="3"/>
      <c r="AZ382" s="3"/>
      <c r="BA382" s="3"/>
      <c r="BB382" s="3"/>
    </row>
    <row r="383" spans="1:54" ht="39" customHeight="1" x14ac:dyDescent="0.25">
      <c r="A383" s="3"/>
      <c r="B383" s="212"/>
      <c r="C383" s="1205" t="s">
        <v>825</v>
      </c>
      <c r="D383" s="1181"/>
      <c r="E383" s="178" t="s">
        <v>826</v>
      </c>
      <c r="F383" s="178" t="s">
        <v>827</v>
      </c>
      <c r="G383" s="178" t="s">
        <v>828</v>
      </c>
      <c r="H383" s="178" t="s">
        <v>829</v>
      </c>
      <c r="I383" s="178" t="s">
        <v>830</v>
      </c>
      <c r="J383" s="178" t="s">
        <v>831</v>
      </c>
      <c r="K383" s="178" t="s">
        <v>832</v>
      </c>
      <c r="L383" s="178" t="s">
        <v>833</v>
      </c>
      <c r="M383" s="220"/>
      <c r="N383" s="3"/>
      <c r="O383" s="3"/>
      <c r="P383" s="3"/>
      <c r="Q383" s="3"/>
      <c r="R383" s="212"/>
      <c r="S383" s="1234" t="str">
        <f>C381</f>
        <v>Water Supply Services - Annual Charge</v>
      </c>
      <c r="T383" s="928"/>
      <c r="U383" s="928"/>
      <c r="V383" s="928"/>
      <c r="W383" s="928"/>
      <c r="X383" s="928"/>
      <c r="Y383" s="929"/>
      <c r="Z383" s="3"/>
      <c r="AA383" s="1234" t="str">
        <f>$S383</f>
        <v>Water Supply Services - Annual Charge</v>
      </c>
      <c r="AB383" s="928"/>
      <c r="AC383" s="928"/>
      <c r="AD383" s="928"/>
      <c r="AE383" s="928"/>
      <c r="AF383" s="928"/>
      <c r="AG383" s="929"/>
      <c r="AH383" s="3"/>
      <c r="AI383" s="1234" t="str">
        <f>$S383</f>
        <v>Water Supply Services - Annual Charge</v>
      </c>
      <c r="AJ383" s="928"/>
      <c r="AK383" s="928"/>
      <c r="AL383" s="928"/>
      <c r="AM383" s="928"/>
      <c r="AN383" s="928"/>
      <c r="AO383" s="929"/>
      <c r="AP383" s="3"/>
      <c r="AQ383" s="1234" t="str">
        <f>$S383</f>
        <v>Water Supply Services - Annual Charge</v>
      </c>
      <c r="AR383" s="928"/>
      <c r="AS383" s="928"/>
      <c r="AT383" s="928"/>
      <c r="AU383" s="928"/>
      <c r="AV383" s="928"/>
      <c r="AW383" s="929"/>
      <c r="AX383" s="214"/>
      <c r="AY383" s="3"/>
      <c r="AZ383" s="3"/>
      <c r="BA383" s="3"/>
      <c r="BB383" s="3"/>
    </row>
    <row r="384" spans="1:54" ht="12" x14ac:dyDescent="0.25">
      <c r="A384" s="3"/>
      <c r="B384" s="212"/>
      <c r="C384" s="97"/>
      <c r="D384" s="98"/>
      <c r="E384" s="146" t="str">
        <f>E350</f>
        <v>2022-23</v>
      </c>
      <c r="F384" s="146" t="str">
        <f>F350</f>
        <v>2023-24</v>
      </c>
      <c r="G384" s="146" t="str">
        <f t="shared" ref="G384:L384" si="264">G350</f>
        <v>2024-25</v>
      </c>
      <c r="H384" s="146" t="str">
        <f t="shared" si="264"/>
        <v>2025-26</v>
      </c>
      <c r="I384" s="146" t="str">
        <f t="shared" si="264"/>
        <v>2026-27</v>
      </c>
      <c r="J384" s="146" t="str">
        <f t="shared" si="264"/>
        <v>2027-28</v>
      </c>
      <c r="K384" s="146" t="str">
        <f t="shared" si="264"/>
        <v>2028-29</v>
      </c>
      <c r="L384" s="146" t="str">
        <f t="shared" si="264"/>
        <v>2029-30</v>
      </c>
      <c r="M384" s="220"/>
      <c r="N384" s="3"/>
      <c r="O384" s="3"/>
      <c r="P384" s="3"/>
      <c r="Q384" s="3"/>
      <c r="R384" s="212"/>
      <c r="S384" s="696" t="str">
        <f>S$23</f>
        <v>Year 1</v>
      </c>
      <c r="T384" s="697" t="str">
        <f t="shared" ref="T384:Y384" si="265">T$23</f>
        <v>Year 2</v>
      </c>
      <c r="U384" s="697" t="str">
        <f t="shared" si="265"/>
        <v>Year 3</v>
      </c>
      <c r="V384" s="697" t="str">
        <f t="shared" si="265"/>
        <v>Year 4</v>
      </c>
      <c r="W384" s="697" t="str">
        <f t="shared" si="265"/>
        <v>Year 5</v>
      </c>
      <c r="X384" s="697" t="str">
        <f t="shared" si="265"/>
        <v>Year 6</v>
      </c>
      <c r="Y384" s="698" t="str">
        <f t="shared" si="265"/>
        <v>Year 7</v>
      </c>
      <c r="Z384" s="80"/>
      <c r="AA384" s="696" t="str">
        <f t="shared" ref="AA384:AG384" si="266">AA$23</f>
        <v>Year 1</v>
      </c>
      <c r="AB384" s="697" t="str">
        <f t="shared" si="266"/>
        <v>Year 2</v>
      </c>
      <c r="AC384" s="697" t="str">
        <f t="shared" si="266"/>
        <v>Year 3</v>
      </c>
      <c r="AD384" s="697" t="str">
        <f t="shared" si="266"/>
        <v>Year 4</v>
      </c>
      <c r="AE384" s="697" t="str">
        <f t="shared" si="266"/>
        <v>Year 5</v>
      </c>
      <c r="AF384" s="697" t="str">
        <f t="shared" si="266"/>
        <v>Year 6</v>
      </c>
      <c r="AG384" s="698" t="str">
        <f t="shared" si="266"/>
        <v>Year 7</v>
      </c>
      <c r="AH384" s="80"/>
      <c r="AI384" s="696" t="str">
        <f>AI$23</f>
        <v>Year 1</v>
      </c>
      <c r="AJ384" s="697" t="str">
        <f t="shared" ref="AJ384:AO384" si="267">AJ$23</f>
        <v>Year 2</v>
      </c>
      <c r="AK384" s="697" t="str">
        <f t="shared" si="267"/>
        <v>Year 3</v>
      </c>
      <c r="AL384" s="697" t="str">
        <f t="shared" si="267"/>
        <v>Year 4</v>
      </c>
      <c r="AM384" s="697" t="str">
        <f t="shared" si="267"/>
        <v>Year 5</v>
      </c>
      <c r="AN384" s="697" t="str">
        <f t="shared" si="267"/>
        <v>Year 6</v>
      </c>
      <c r="AO384" s="698" t="str">
        <f t="shared" si="267"/>
        <v>Year 7</v>
      </c>
      <c r="AP384" s="80"/>
      <c r="AQ384" s="696" t="str">
        <f>AQ$23</f>
        <v>Year 1</v>
      </c>
      <c r="AR384" s="697" t="str">
        <f t="shared" ref="AR384:AW384" si="268">AR$23</f>
        <v>Year 2</v>
      </c>
      <c r="AS384" s="697" t="str">
        <f t="shared" si="268"/>
        <v>Year 3</v>
      </c>
      <c r="AT384" s="697" t="str">
        <f t="shared" si="268"/>
        <v>Year 4</v>
      </c>
      <c r="AU384" s="697" t="str">
        <f t="shared" si="268"/>
        <v>Year 5</v>
      </c>
      <c r="AV384" s="697" t="str">
        <f t="shared" si="268"/>
        <v>Year 6</v>
      </c>
      <c r="AW384" s="698" t="str">
        <f t="shared" si="268"/>
        <v>Year 7</v>
      </c>
      <c r="AX384" s="214"/>
      <c r="AY384" s="3"/>
      <c r="AZ384" s="3"/>
      <c r="BA384" s="3"/>
      <c r="BB384" s="3"/>
    </row>
    <row r="385" spans="1:54" ht="12" x14ac:dyDescent="0.25">
      <c r="A385" s="3"/>
      <c r="B385" s="212"/>
      <c r="C385" s="1247"/>
      <c r="D385" s="1182"/>
      <c r="E385" s="1237"/>
      <c r="F385" s="1237"/>
      <c r="G385" s="1214"/>
      <c r="H385" s="1214"/>
      <c r="I385" s="1214"/>
      <c r="J385" s="1214"/>
      <c r="K385" s="1214"/>
      <c r="L385" s="1214"/>
      <c r="M385" s="220"/>
      <c r="N385" s="3"/>
      <c r="O385" s="3"/>
      <c r="P385" s="3"/>
      <c r="Q385" s="3"/>
      <c r="R385" s="212"/>
      <c r="S385" s="699" t="str">
        <f t="shared" ref="S385:S404" si="269">IF(F385="",".",F385-E385)</f>
        <v>.</v>
      </c>
      <c r="T385" s="700" t="str">
        <f t="shared" ref="T385:T404" si="270">IF(G385="",".",G385-F385)</f>
        <v>.</v>
      </c>
      <c r="U385" s="700" t="str">
        <f t="shared" ref="U385:U404" si="271">IF(H385="",".",H385-G385)</f>
        <v>.</v>
      </c>
      <c r="V385" s="700" t="str">
        <f t="shared" ref="V385:V404" si="272">IF(I385="",".",I385-H385)</f>
        <v>.</v>
      </c>
      <c r="W385" s="700" t="str">
        <f t="shared" ref="W385:W404" si="273">IF(J385="",".",J385-I385)</f>
        <v>.</v>
      </c>
      <c r="X385" s="700" t="str">
        <f t="shared" ref="X385:X404" si="274">IF(K385="",".",K385-J385)</f>
        <v>.</v>
      </c>
      <c r="Y385" s="701" t="str">
        <f t="shared" ref="Y385:Y404" si="275">IF(L385="",".",L385-K385)</f>
        <v>.</v>
      </c>
      <c r="Z385" s="3"/>
      <c r="AA385" s="985" t="str">
        <f t="shared" ref="AA385:AA404" si="276">IFERROR(F385/E385-1,".")</f>
        <v>.</v>
      </c>
      <c r="AB385" s="702" t="str">
        <f t="shared" ref="AB385:AB404" si="277">IFERROR(G385/F385-1,".")</f>
        <v>.</v>
      </c>
      <c r="AC385" s="702" t="str">
        <f t="shared" ref="AC385:AC404" si="278">IFERROR(H385/G385-1,".")</f>
        <v>.</v>
      </c>
      <c r="AD385" s="702" t="str">
        <f t="shared" ref="AD385:AD404" si="279">IFERROR(I385/H385-1,".")</f>
        <v>.</v>
      </c>
      <c r="AE385" s="702" t="str">
        <f t="shared" ref="AE385:AE404" si="280">IFERROR(J385/I385-1,".")</f>
        <v>.</v>
      </c>
      <c r="AF385" s="702" t="str">
        <f t="shared" ref="AF385:AF404" si="281">IFERROR(K385/J385-1,".")</f>
        <v>.</v>
      </c>
      <c r="AG385" s="986" t="str">
        <f t="shared" ref="AG385:AG404" si="282">IFERROR(L385/K385-1,".")</f>
        <v>.</v>
      </c>
      <c r="AH385" s="3"/>
      <c r="AI385" s="699" t="str">
        <f>IF(S385=".",".",SUM($S385:S385))</f>
        <v>.</v>
      </c>
      <c r="AJ385" s="700" t="str">
        <f>IF(T385=".",".",SUM($S385:T385))</f>
        <v>.</v>
      </c>
      <c r="AK385" s="700" t="str">
        <f>IF(U385=".",".",SUM($S385:U385))</f>
        <v>.</v>
      </c>
      <c r="AL385" s="700" t="str">
        <f>IF(V385=".",".",SUM($S385:V385))</f>
        <v>.</v>
      </c>
      <c r="AM385" s="700" t="str">
        <f>IF(W385=".",".",SUM($S385:W385))</f>
        <v>.</v>
      </c>
      <c r="AN385" s="700" t="str">
        <f>IF(X385=".",".",SUM($S385:X385))</f>
        <v>.</v>
      </c>
      <c r="AO385" s="701" t="str">
        <f>IF(Y385=".",".",SUM($S385:Y385))</f>
        <v>.</v>
      </c>
      <c r="AP385" s="3"/>
      <c r="AQ385" s="985" t="str">
        <f t="shared" ref="AQ385:AQ404" si="283">IFERROR(F385/$E385-1,".")</f>
        <v>.</v>
      </c>
      <c r="AR385" s="702" t="str">
        <f t="shared" ref="AR385:AR404" si="284">IFERROR(G385/$E385-1,".")</f>
        <v>.</v>
      </c>
      <c r="AS385" s="702" t="str">
        <f t="shared" ref="AS385:AS404" si="285">IFERROR(H385/$E385-1,".")</f>
        <v>.</v>
      </c>
      <c r="AT385" s="702" t="str">
        <f t="shared" ref="AT385:AT404" si="286">IFERROR(I385/$E385-1,".")</f>
        <v>.</v>
      </c>
      <c r="AU385" s="702" t="str">
        <f t="shared" ref="AU385:AU404" si="287">IFERROR(J385/$E385-1,".")</f>
        <v>.</v>
      </c>
      <c r="AV385" s="702" t="str">
        <f t="shared" ref="AV385:AV404" si="288">IFERROR(K385/$E385-1,".")</f>
        <v>.</v>
      </c>
      <c r="AW385" s="986" t="str">
        <f t="shared" ref="AW385:AW404" si="289">IFERROR(L385/$E385-1,".")</f>
        <v>.</v>
      </c>
      <c r="AX385" s="214"/>
      <c r="AY385" s="3"/>
      <c r="AZ385" s="3"/>
      <c r="BA385" s="3"/>
      <c r="BB385" s="3"/>
    </row>
    <row r="386" spans="1:54" ht="12" x14ac:dyDescent="0.25">
      <c r="A386" s="3"/>
      <c r="B386" s="212"/>
      <c r="C386" s="718"/>
      <c r="D386" s="715"/>
      <c r="E386" s="579"/>
      <c r="F386" s="579"/>
      <c r="G386" s="578"/>
      <c r="H386" s="578"/>
      <c r="I386" s="578"/>
      <c r="J386" s="578"/>
      <c r="K386" s="578"/>
      <c r="L386" s="578"/>
      <c r="M386" s="220"/>
      <c r="N386" s="3"/>
      <c r="O386" s="3"/>
      <c r="P386" s="3"/>
      <c r="Q386" s="3"/>
      <c r="R386" s="212"/>
      <c r="S386" s="699" t="str">
        <f t="shared" si="269"/>
        <v>.</v>
      </c>
      <c r="T386" s="700" t="str">
        <f t="shared" si="270"/>
        <v>.</v>
      </c>
      <c r="U386" s="700" t="str">
        <f t="shared" si="271"/>
        <v>.</v>
      </c>
      <c r="V386" s="700" t="str">
        <f t="shared" si="272"/>
        <v>.</v>
      </c>
      <c r="W386" s="700" t="str">
        <f t="shared" si="273"/>
        <v>.</v>
      </c>
      <c r="X386" s="700" t="str">
        <f t="shared" si="274"/>
        <v>.</v>
      </c>
      <c r="Y386" s="701" t="str">
        <f t="shared" si="275"/>
        <v>.</v>
      </c>
      <c r="Z386" s="3"/>
      <c r="AA386" s="985" t="str">
        <f t="shared" si="276"/>
        <v>.</v>
      </c>
      <c r="AB386" s="702" t="str">
        <f t="shared" si="277"/>
        <v>.</v>
      </c>
      <c r="AC386" s="702" t="str">
        <f t="shared" si="278"/>
        <v>.</v>
      </c>
      <c r="AD386" s="702" t="str">
        <f t="shared" si="279"/>
        <v>.</v>
      </c>
      <c r="AE386" s="702" t="str">
        <f t="shared" si="280"/>
        <v>.</v>
      </c>
      <c r="AF386" s="702" t="str">
        <f t="shared" si="281"/>
        <v>.</v>
      </c>
      <c r="AG386" s="986" t="str">
        <f t="shared" si="282"/>
        <v>.</v>
      </c>
      <c r="AH386" s="3"/>
      <c r="AI386" s="699" t="str">
        <f>IF(S386=".",".",SUM($S386:S386))</f>
        <v>.</v>
      </c>
      <c r="AJ386" s="700" t="str">
        <f>IF(T386=".",".",SUM($S386:T386))</f>
        <v>.</v>
      </c>
      <c r="AK386" s="700" t="str">
        <f>IF(U386=".",".",SUM($S386:U386))</f>
        <v>.</v>
      </c>
      <c r="AL386" s="700" t="str">
        <f>IF(V386=".",".",SUM($S386:V386))</f>
        <v>.</v>
      </c>
      <c r="AM386" s="700" t="str">
        <f>IF(W386=".",".",SUM($S386:W386))</f>
        <v>.</v>
      </c>
      <c r="AN386" s="700" t="str">
        <f>IF(X386=".",".",SUM($S386:X386))</f>
        <v>.</v>
      </c>
      <c r="AO386" s="701" t="str">
        <f>IF(Y386=".",".",SUM($S386:Y386))</f>
        <v>.</v>
      </c>
      <c r="AP386" s="3"/>
      <c r="AQ386" s="985" t="str">
        <f t="shared" si="283"/>
        <v>.</v>
      </c>
      <c r="AR386" s="702" t="str">
        <f t="shared" si="284"/>
        <v>.</v>
      </c>
      <c r="AS386" s="702" t="str">
        <f t="shared" si="285"/>
        <v>.</v>
      </c>
      <c r="AT386" s="702" t="str">
        <f t="shared" si="286"/>
        <v>.</v>
      </c>
      <c r="AU386" s="702" t="str">
        <f t="shared" si="287"/>
        <v>.</v>
      </c>
      <c r="AV386" s="702" t="str">
        <f t="shared" si="288"/>
        <v>.</v>
      </c>
      <c r="AW386" s="986" t="str">
        <f t="shared" si="289"/>
        <v>.</v>
      </c>
      <c r="AX386" s="214"/>
      <c r="AY386" s="3"/>
      <c r="AZ386" s="3"/>
      <c r="BA386" s="3"/>
      <c r="BB386" s="3"/>
    </row>
    <row r="387" spans="1:54" ht="12" x14ac:dyDescent="0.25">
      <c r="A387" s="3"/>
      <c r="B387" s="212"/>
      <c r="C387" s="718"/>
      <c r="D387" s="715"/>
      <c r="E387" s="579"/>
      <c r="F387" s="579"/>
      <c r="G387" s="578"/>
      <c r="H387" s="578"/>
      <c r="I387" s="578"/>
      <c r="J387" s="578"/>
      <c r="K387" s="578"/>
      <c r="L387" s="578"/>
      <c r="M387" s="220"/>
      <c r="N387" s="3"/>
      <c r="O387" s="3"/>
      <c r="P387" s="3"/>
      <c r="Q387" s="3"/>
      <c r="R387" s="212"/>
      <c r="S387" s="699" t="str">
        <f t="shared" si="269"/>
        <v>.</v>
      </c>
      <c r="T387" s="700" t="str">
        <f t="shared" si="270"/>
        <v>.</v>
      </c>
      <c r="U387" s="700" t="str">
        <f t="shared" si="271"/>
        <v>.</v>
      </c>
      <c r="V387" s="700" t="str">
        <f t="shared" si="272"/>
        <v>.</v>
      </c>
      <c r="W387" s="700" t="str">
        <f t="shared" si="273"/>
        <v>.</v>
      </c>
      <c r="X387" s="700" t="str">
        <f t="shared" si="274"/>
        <v>.</v>
      </c>
      <c r="Y387" s="701" t="str">
        <f t="shared" si="275"/>
        <v>.</v>
      </c>
      <c r="Z387" s="3"/>
      <c r="AA387" s="985" t="str">
        <f t="shared" si="276"/>
        <v>.</v>
      </c>
      <c r="AB387" s="702" t="str">
        <f t="shared" si="277"/>
        <v>.</v>
      </c>
      <c r="AC387" s="702" t="str">
        <f t="shared" si="278"/>
        <v>.</v>
      </c>
      <c r="AD387" s="702" t="str">
        <f t="shared" si="279"/>
        <v>.</v>
      </c>
      <c r="AE387" s="702" t="str">
        <f t="shared" si="280"/>
        <v>.</v>
      </c>
      <c r="AF387" s="702" t="str">
        <f t="shared" si="281"/>
        <v>.</v>
      </c>
      <c r="AG387" s="986" t="str">
        <f t="shared" si="282"/>
        <v>.</v>
      </c>
      <c r="AH387" s="3"/>
      <c r="AI387" s="699" t="str">
        <f>IF(S387=".",".",SUM($S387:S387))</f>
        <v>.</v>
      </c>
      <c r="AJ387" s="700" t="str">
        <f>IF(T387=".",".",SUM($S387:T387))</f>
        <v>.</v>
      </c>
      <c r="AK387" s="700" t="str">
        <f>IF(U387=".",".",SUM($S387:U387))</f>
        <v>.</v>
      </c>
      <c r="AL387" s="700" t="str">
        <f>IF(V387=".",".",SUM($S387:V387))</f>
        <v>.</v>
      </c>
      <c r="AM387" s="700" t="str">
        <f>IF(W387=".",".",SUM($S387:W387))</f>
        <v>.</v>
      </c>
      <c r="AN387" s="700" t="str">
        <f>IF(X387=".",".",SUM($S387:X387))</f>
        <v>.</v>
      </c>
      <c r="AO387" s="701" t="str">
        <f>IF(Y387=".",".",SUM($S387:Y387))</f>
        <v>.</v>
      </c>
      <c r="AP387" s="3"/>
      <c r="AQ387" s="985" t="str">
        <f t="shared" si="283"/>
        <v>.</v>
      </c>
      <c r="AR387" s="702" t="str">
        <f t="shared" si="284"/>
        <v>.</v>
      </c>
      <c r="AS387" s="702" t="str">
        <f t="shared" si="285"/>
        <v>.</v>
      </c>
      <c r="AT387" s="702" t="str">
        <f t="shared" si="286"/>
        <v>.</v>
      </c>
      <c r="AU387" s="702" t="str">
        <f t="shared" si="287"/>
        <v>.</v>
      </c>
      <c r="AV387" s="702" t="str">
        <f t="shared" si="288"/>
        <v>.</v>
      </c>
      <c r="AW387" s="986" t="str">
        <f t="shared" si="289"/>
        <v>.</v>
      </c>
      <c r="AX387" s="214"/>
      <c r="AY387" s="3"/>
      <c r="AZ387" s="3"/>
      <c r="BA387" s="3"/>
      <c r="BB387" s="3"/>
    </row>
    <row r="388" spans="1:54" ht="12" x14ac:dyDescent="0.25">
      <c r="A388" s="3"/>
      <c r="B388" s="212"/>
      <c r="C388" s="718"/>
      <c r="D388" s="715"/>
      <c r="E388" s="579"/>
      <c r="F388" s="579"/>
      <c r="G388" s="578"/>
      <c r="H388" s="578"/>
      <c r="I388" s="578"/>
      <c r="J388" s="578"/>
      <c r="K388" s="578"/>
      <c r="L388" s="578"/>
      <c r="M388" s="220"/>
      <c r="N388" s="3"/>
      <c r="O388" s="3"/>
      <c r="P388" s="3"/>
      <c r="Q388" s="3"/>
      <c r="R388" s="212"/>
      <c r="S388" s="699" t="str">
        <f t="shared" si="269"/>
        <v>.</v>
      </c>
      <c r="T388" s="700" t="str">
        <f t="shared" si="270"/>
        <v>.</v>
      </c>
      <c r="U388" s="700" t="str">
        <f t="shared" si="271"/>
        <v>.</v>
      </c>
      <c r="V388" s="700" t="str">
        <f t="shared" si="272"/>
        <v>.</v>
      </c>
      <c r="W388" s="700" t="str">
        <f t="shared" si="273"/>
        <v>.</v>
      </c>
      <c r="X388" s="700" t="str">
        <f t="shared" si="274"/>
        <v>.</v>
      </c>
      <c r="Y388" s="701" t="str">
        <f t="shared" si="275"/>
        <v>.</v>
      </c>
      <c r="Z388" s="3"/>
      <c r="AA388" s="985" t="str">
        <f t="shared" si="276"/>
        <v>.</v>
      </c>
      <c r="AB388" s="702" t="str">
        <f t="shared" si="277"/>
        <v>.</v>
      </c>
      <c r="AC388" s="702" t="str">
        <f t="shared" si="278"/>
        <v>.</v>
      </c>
      <c r="AD388" s="702" t="str">
        <f t="shared" si="279"/>
        <v>.</v>
      </c>
      <c r="AE388" s="702" t="str">
        <f t="shared" si="280"/>
        <v>.</v>
      </c>
      <c r="AF388" s="702" t="str">
        <f t="shared" si="281"/>
        <v>.</v>
      </c>
      <c r="AG388" s="986" t="str">
        <f t="shared" si="282"/>
        <v>.</v>
      </c>
      <c r="AH388" s="3"/>
      <c r="AI388" s="699" t="str">
        <f>IF(S388=".",".",SUM($S388:S388))</f>
        <v>.</v>
      </c>
      <c r="AJ388" s="700" t="str">
        <f>IF(T388=".",".",SUM($S388:T388))</f>
        <v>.</v>
      </c>
      <c r="AK388" s="700" t="str">
        <f>IF(U388=".",".",SUM($S388:U388))</f>
        <v>.</v>
      </c>
      <c r="AL388" s="700" t="str">
        <f>IF(V388=".",".",SUM($S388:V388))</f>
        <v>.</v>
      </c>
      <c r="AM388" s="700" t="str">
        <f>IF(W388=".",".",SUM($S388:W388))</f>
        <v>.</v>
      </c>
      <c r="AN388" s="700" t="str">
        <f>IF(X388=".",".",SUM($S388:X388))</f>
        <v>.</v>
      </c>
      <c r="AO388" s="701" t="str">
        <f>IF(Y388=".",".",SUM($S388:Y388))</f>
        <v>.</v>
      </c>
      <c r="AP388" s="3"/>
      <c r="AQ388" s="985" t="str">
        <f t="shared" si="283"/>
        <v>.</v>
      </c>
      <c r="AR388" s="702" t="str">
        <f t="shared" si="284"/>
        <v>.</v>
      </c>
      <c r="AS388" s="702" t="str">
        <f t="shared" si="285"/>
        <v>.</v>
      </c>
      <c r="AT388" s="702" t="str">
        <f t="shared" si="286"/>
        <v>.</v>
      </c>
      <c r="AU388" s="702" t="str">
        <f t="shared" si="287"/>
        <v>.</v>
      </c>
      <c r="AV388" s="702" t="str">
        <f t="shared" si="288"/>
        <v>.</v>
      </c>
      <c r="AW388" s="986" t="str">
        <f t="shared" si="289"/>
        <v>.</v>
      </c>
      <c r="AX388" s="214"/>
      <c r="AY388" s="3"/>
      <c r="AZ388" s="3"/>
      <c r="BA388" s="3"/>
      <c r="BB388" s="3"/>
    </row>
    <row r="389" spans="1:54" ht="12" x14ac:dyDescent="0.25">
      <c r="A389" s="3"/>
      <c r="B389" s="212"/>
      <c r="C389" s="718"/>
      <c r="D389" s="715"/>
      <c r="E389" s="579"/>
      <c r="F389" s="579"/>
      <c r="G389" s="578"/>
      <c r="H389" s="578"/>
      <c r="I389" s="578"/>
      <c r="J389" s="578"/>
      <c r="K389" s="578"/>
      <c r="L389" s="578"/>
      <c r="M389" s="220"/>
      <c r="N389" s="3"/>
      <c r="O389" s="3"/>
      <c r="P389" s="3"/>
      <c r="Q389" s="3"/>
      <c r="R389" s="212"/>
      <c r="S389" s="699" t="str">
        <f t="shared" si="269"/>
        <v>.</v>
      </c>
      <c r="T389" s="700" t="str">
        <f t="shared" si="270"/>
        <v>.</v>
      </c>
      <c r="U389" s="700" t="str">
        <f t="shared" si="271"/>
        <v>.</v>
      </c>
      <c r="V389" s="700" t="str">
        <f t="shared" si="272"/>
        <v>.</v>
      </c>
      <c r="W389" s="700" t="str">
        <f t="shared" si="273"/>
        <v>.</v>
      </c>
      <c r="X389" s="700" t="str">
        <f t="shared" si="274"/>
        <v>.</v>
      </c>
      <c r="Y389" s="701" t="str">
        <f t="shared" si="275"/>
        <v>.</v>
      </c>
      <c r="Z389" s="3"/>
      <c r="AA389" s="985" t="str">
        <f t="shared" si="276"/>
        <v>.</v>
      </c>
      <c r="AB389" s="702" t="str">
        <f t="shared" si="277"/>
        <v>.</v>
      </c>
      <c r="AC389" s="702" t="str">
        <f t="shared" si="278"/>
        <v>.</v>
      </c>
      <c r="AD389" s="702" t="str">
        <f t="shared" si="279"/>
        <v>.</v>
      </c>
      <c r="AE389" s="702" t="str">
        <f t="shared" si="280"/>
        <v>.</v>
      </c>
      <c r="AF389" s="702" t="str">
        <f t="shared" si="281"/>
        <v>.</v>
      </c>
      <c r="AG389" s="986" t="str">
        <f t="shared" si="282"/>
        <v>.</v>
      </c>
      <c r="AH389" s="3"/>
      <c r="AI389" s="699" t="str">
        <f>IF(S389=".",".",SUM($S389:S389))</f>
        <v>.</v>
      </c>
      <c r="AJ389" s="700" t="str">
        <f>IF(T389=".",".",SUM($S389:T389))</f>
        <v>.</v>
      </c>
      <c r="AK389" s="700" t="str">
        <f>IF(U389=".",".",SUM($S389:U389))</f>
        <v>.</v>
      </c>
      <c r="AL389" s="700" t="str">
        <f>IF(V389=".",".",SUM($S389:V389))</f>
        <v>.</v>
      </c>
      <c r="AM389" s="700" t="str">
        <f>IF(W389=".",".",SUM($S389:W389))</f>
        <v>.</v>
      </c>
      <c r="AN389" s="700" t="str">
        <f>IF(X389=".",".",SUM($S389:X389))</f>
        <v>.</v>
      </c>
      <c r="AO389" s="701" t="str">
        <f>IF(Y389=".",".",SUM($S389:Y389))</f>
        <v>.</v>
      </c>
      <c r="AP389" s="3"/>
      <c r="AQ389" s="985" t="str">
        <f t="shared" si="283"/>
        <v>.</v>
      </c>
      <c r="AR389" s="702" t="str">
        <f t="shared" si="284"/>
        <v>.</v>
      </c>
      <c r="AS389" s="702" t="str">
        <f t="shared" si="285"/>
        <v>.</v>
      </c>
      <c r="AT389" s="702" t="str">
        <f t="shared" si="286"/>
        <v>.</v>
      </c>
      <c r="AU389" s="702" t="str">
        <f t="shared" si="287"/>
        <v>.</v>
      </c>
      <c r="AV389" s="702" t="str">
        <f t="shared" si="288"/>
        <v>.</v>
      </c>
      <c r="AW389" s="986" t="str">
        <f t="shared" si="289"/>
        <v>.</v>
      </c>
      <c r="AX389" s="214"/>
      <c r="AY389" s="3"/>
      <c r="AZ389" s="3"/>
      <c r="BA389" s="3"/>
      <c r="BB389" s="3"/>
    </row>
    <row r="390" spans="1:54" ht="12" x14ac:dyDescent="0.25">
      <c r="A390" s="3"/>
      <c r="B390" s="212"/>
      <c r="C390" s="718"/>
      <c r="D390" s="715"/>
      <c r="E390" s="579"/>
      <c r="F390" s="579"/>
      <c r="G390" s="578"/>
      <c r="H390" s="578"/>
      <c r="I390" s="578"/>
      <c r="J390" s="578"/>
      <c r="K390" s="578"/>
      <c r="L390" s="578"/>
      <c r="M390" s="220"/>
      <c r="N390" s="3"/>
      <c r="O390" s="3"/>
      <c r="P390" s="3"/>
      <c r="Q390" s="3"/>
      <c r="R390" s="212"/>
      <c r="S390" s="699" t="str">
        <f t="shared" si="269"/>
        <v>.</v>
      </c>
      <c r="T390" s="700" t="str">
        <f t="shared" si="270"/>
        <v>.</v>
      </c>
      <c r="U390" s="700" t="str">
        <f t="shared" si="271"/>
        <v>.</v>
      </c>
      <c r="V390" s="700" t="str">
        <f t="shared" si="272"/>
        <v>.</v>
      </c>
      <c r="W390" s="700" t="str">
        <f t="shared" si="273"/>
        <v>.</v>
      </c>
      <c r="X390" s="700" t="str">
        <f t="shared" si="274"/>
        <v>.</v>
      </c>
      <c r="Y390" s="701" t="str">
        <f t="shared" si="275"/>
        <v>.</v>
      </c>
      <c r="Z390" s="3"/>
      <c r="AA390" s="985" t="str">
        <f t="shared" si="276"/>
        <v>.</v>
      </c>
      <c r="AB390" s="702" t="str">
        <f t="shared" si="277"/>
        <v>.</v>
      </c>
      <c r="AC390" s="702" t="str">
        <f t="shared" si="278"/>
        <v>.</v>
      </c>
      <c r="AD390" s="702" t="str">
        <f t="shared" si="279"/>
        <v>.</v>
      </c>
      <c r="AE390" s="702" t="str">
        <f t="shared" si="280"/>
        <v>.</v>
      </c>
      <c r="AF390" s="702" t="str">
        <f t="shared" si="281"/>
        <v>.</v>
      </c>
      <c r="AG390" s="986" t="str">
        <f t="shared" si="282"/>
        <v>.</v>
      </c>
      <c r="AH390" s="3"/>
      <c r="AI390" s="699" t="str">
        <f>IF(S390=".",".",SUM($S390:S390))</f>
        <v>.</v>
      </c>
      <c r="AJ390" s="700" t="str">
        <f>IF(T390=".",".",SUM($S390:T390))</f>
        <v>.</v>
      </c>
      <c r="AK390" s="700" t="str">
        <f>IF(U390=".",".",SUM($S390:U390))</f>
        <v>.</v>
      </c>
      <c r="AL390" s="700" t="str">
        <f>IF(V390=".",".",SUM($S390:V390))</f>
        <v>.</v>
      </c>
      <c r="AM390" s="700" t="str">
        <f>IF(W390=".",".",SUM($S390:W390))</f>
        <v>.</v>
      </c>
      <c r="AN390" s="700" t="str">
        <f>IF(X390=".",".",SUM($S390:X390))</f>
        <v>.</v>
      </c>
      <c r="AO390" s="701" t="str">
        <f>IF(Y390=".",".",SUM($S390:Y390))</f>
        <v>.</v>
      </c>
      <c r="AP390" s="3"/>
      <c r="AQ390" s="985" t="str">
        <f t="shared" si="283"/>
        <v>.</v>
      </c>
      <c r="AR390" s="702" t="str">
        <f t="shared" si="284"/>
        <v>.</v>
      </c>
      <c r="AS390" s="702" t="str">
        <f t="shared" si="285"/>
        <v>.</v>
      </c>
      <c r="AT390" s="702" t="str">
        <f t="shared" si="286"/>
        <v>.</v>
      </c>
      <c r="AU390" s="702" t="str">
        <f t="shared" si="287"/>
        <v>.</v>
      </c>
      <c r="AV390" s="702" t="str">
        <f t="shared" si="288"/>
        <v>.</v>
      </c>
      <c r="AW390" s="986" t="str">
        <f t="shared" si="289"/>
        <v>.</v>
      </c>
      <c r="AX390" s="214"/>
      <c r="AY390" s="3"/>
      <c r="AZ390" s="3"/>
      <c r="BA390" s="3"/>
      <c r="BB390" s="3"/>
    </row>
    <row r="391" spans="1:54" ht="12" x14ac:dyDescent="0.25">
      <c r="A391" s="3"/>
      <c r="B391" s="212"/>
      <c r="C391" s="718"/>
      <c r="D391" s="715"/>
      <c r="E391" s="579"/>
      <c r="F391" s="579"/>
      <c r="G391" s="578"/>
      <c r="H391" s="578"/>
      <c r="I391" s="578"/>
      <c r="J391" s="578"/>
      <c r="K391" s="578"/>
      <c r="L391" s="578"/>
      <c r="M391" s="220"/>
      <c r="N391" s="3"/>
      <c r="O391" s="3"/>
      <c r="P391" s="3"/>
      <c r="Q391" s="3"/>
      <c r="R391" s="212"/>
      <c r="S391" s="699" t="str">
        <f t="shared" si="269"/>
        <v>.</v>
      </c>
      <c r="T391" s="700" t="str">
        <f t="shared" si="270"/>
        <v>.</v>
      </c>
      <c r="U391" s="700" t="str">
        <f t="shared" si="271"/>
        <v>.</v>
      </c>
      <c r="V391" s="700" t="str">
        <f t="shared" si="272"/>
        <v>.</v>
      </c>
      <c r="W391" s="700" t="str">
        <f t="shared" si="273"/>
        <v>.</v>
      </c>
      <c r="X391" s="700" t="str">
        <f t="shared" si="274"/>
        <v>.</v>
      </c>
      <c r="Y391" s="701" t="str">
        <f t="shared" si="275"/>
        <v>.</v>
      </c>
      <c r="Z391" s="3"/>
      <c r="AA391" s="985" t="str">
        <f t="shared" si="276"/>
        <v>.</v>
      </c>
      <c r="AB391" s="702" t="str">
        <f t="shared" si="277"/>
        <v>.</v>
      </c>
      <c r="AC391" s="702" t="str">
        <f t="shared" si="278"/>
        <v>.</v>
      </c>
      <c r="AD391" s="702" t="str">
        <f t="shared" si="279"/>
        <v>.</v>
      </c>
      <c r="AE391" s="702" t="str">
        <f t="shared" si="280"/>
        <v>.</v>
      </c>
      <c r="AF391" s="702" t="str">
        <f t="shared" si="281"/>
        <v>.</v>
      </c>
      <c r="AG391" s="986" t="str">
        <f t="shared" si="282"/>
        <v>.</v>
      </c>
      <c r="AH391" s="3"/>
      <c r="AI391" s="699" t="str">
        <f>IF(S391=".",".",SUM($S391:S391))</f>
        <v>.</v>
      </c>
      <c r="AJ391" s="700" t="str">
        <f>IF(T391=".",".",SUM($S391:T391))</f>
        <v>.</v>
      </c>
      <c r="AK391" s="700" t="str">
        <f>IF(U391=".",".",SUM($S391:U391))</f>
        <v>.</v>
      </c>
      <c r="AL391" s="700" t="str">
        <f>IF(V391=".",".",SUM($S391:V391))</f>
        <v>.</v>
      </c>
      <c r="AM391" s="700" t="str">
        <f>IF(W391=".",".",SUM($S391:W391))</f>
        <v>.</v>
      </c>
      <c r="AN391" s="700" t="str">
        <f>IF(X391=".",".",SUM($S391:X391))</f>
        <v>.</v>
      </c>
      <c r="AO391" s="701" t="str">
        <f>IF(Y391=".",".",SUM($S391:Y391))</f>
        <v>.</v>
      </c>
      <c r="AP391" s="3"/>
      <c r="AQ391" s="985" t="str">
        <f t="shared" si="283"/>
        <v>.</v>
      </c>
      <c r="AR391" s="702" t="str">
        <f t="shared" si="284"/>
        <v>.</v>
      </c>
      <c r="AS391" s="702" t="str">
        <f t="shared" si="285"/>
        <v>.</v>
      </c>
      <c r="AT391" s="702" t="str">
        <f t="shared" si="286"/>
        <v>.</v>
      </c>
      <c r="AU391" s="702" t="str">
        <f t="shared" si="287"/>
        <v>.</v>
      </c>
      <c r="AV391" s="702" t="str">
        <f t="shared" si="288"/>
        <v>.</v>
      </c>
      <c r="AW391" s="986" t="str">
        <f t="shared" si="289"/>
        <v>.</v>
      </c>
      <c r="AX391" s="214"/>
      <c r="AY391" s="3"/>
      <c r="AZ391" s="3"/>
      <c r="BA391" s="3"/>
      <c r="BB391" s="3"/>
    </row>
    <row r="392" spans="1:54" ht="12" x14ac:dyDescent="0.25">
      <c r="A392" s="3"/>
      <c r="B392" s="212"/>
      <c r="C392" s="718"/>
      <c r="D392" s="715"/>
      <c r="E392" s="579"/>
      <c r="F392" s="579"/>
      <c r="G392" s="578"/>
      <c r="H392" s="578"/>
      <c r="I392" s="578"/>
      <c r="J392" s="578"/>
      <c r="K392" s="578"/>
      <c r="L392" s="578"/>
      <c r="M392" s="220"/>
      <c r="N392" s="3"/>
      <c r="O392" s="3"/>
      <c r="P392" s="3"/>
      <c r="Q392" s="3"/>
      <c r="R392" s="212"/>
      <c r="S392" s="699" t="str">
        <f t="shared" si="269"/>
        <v>.</v>
      </c>
      <c r="T392" s="700" t="str">
        <f t="shared" si="270"/>
        <v>.</v>
      </c>
      <c r="U392" s="700" t="str">
        <f t="shared" si="271"/>
        <v>.</v>
      </c>
      <c r="V392" s="700" t="str">
        <f t="shared" si="272"/>
        <v>.</v>
      </c>
      <c r="W392" s="700" t="str">
        <f t="shared" si="273"/>
        <v>.</v>
      </c>
      <c r="X392" s="700" t="str">
        <f t="shared" si="274"/>
        <v>.</v>
      </c>
      <c r="Y392" s="701" t="str">
        <f t="shared" si="275"/>
        <v>.</v>
      </c>
      <c r="Z392" s="3"/>
      <c r="AA392" s="985" t="str">
        <f t="shared" si="276"/>
        <v>.</v>
      </c>
      <c r="AB392" s="702" t="str">
        <f t="shared" si="277"/>
        <v>.</v>
      </c>
      <c r="AC392" s="702" t="str">
        <f t="shared" si="278"/>
        <v>.</v>
      </c>
      <c r="AD392" s="702" t="str">
        <f t="shared" si="279"/>
        <v>.</v>
      </c>
      <c r="AE392" s="702" t="str">
        <f t="shared" si="280"/>
        <v>.</v>
      </c>
      <c r="AF392" s="702" t="str">
        <f t="shared" si="281"/>
        <v>.</v>
      </c>
      <c r="AG392" s="986" t="str">
        <f t="shared" si="282"/>
        <v>.</v>
      </c>
      <c r="AH392" s="3"/>
      <c r="AI392" s="699" t="str">
        <f>IF(S392=".",".",SUM($S392:S392))</f>
        <v>.</v>
      </c>
      <c r="AJ392" s="700" t="str">
        <f>IF(T392=".",".",SUM($S392:T392))</f>
        <v>.</v>
      </c>
      <c r="AK392" s="700" t="str">
        <f>IF(U392=".",".",SUM($S392:U392))</f>
        <v>.</v>
      </c>
      <c r="AL392" s="700" t="str">
        <f>IF(V392=".",".",SUM($S392:V392))</f>
        <v>.</v>
      </c>
      <c r="AM392" s="700" t="str">
        <f>IF(W392=".",".",SUM($S392:W392))</f>
        <v>.</v>
      </c>
      <c r="AN392" s="700" t="str">
        <f>IF(X392=".",".",SUM($S392:X392))</f>
        <v>.</v>
      </c>
      <c r="AO392" s="701" t="str">
        <f>IF(Y392=".",".",SUM($S392:Y392))</f>
        <v>.</v>
      </c>
      <c r="AP392" s="3"/>
      <c r="AQ392" s="985" t="str">
        <f t="shared" si="283"/>
        <v>.</v>
      </c>
      <c r="AR392" s="702" t="str">
        <f t="shared" si="284"/>
        <v>.</v>
      </c>
      <c r="AS392" s="702" t="str">
        <f t="shared" si="285"/>
        <v>.</v>
      </c>
      <c r="AT392" s="702" t="str">
        <f t="shared" si="286"/>
        <v>.</v>
      </c>
      <c r="AU392" s="702" t="str">
        <f t="shared" si="287"/>
        <v>.</v>
      </c>
      <c r="AV392" s="702" t="str">
        <f t="shared" si="288"/>
        <v>.</v>
      </c>
      <c r="AW392" s="986" t="str">
        <f t="shared" si="289"/>
        <v>.</v>
      </c>
      <c r="AX392" s="214"/>
      <c r="AY392" s="3"/>
      <c r="AZ392" s="3"/>
      <c r="BA392" s="3"/>
      <c r="BB392" s="3"/>
    </row>
    <row r="393" spans="1:54" ht="12" x14ac:dyDescent="0.25">
      <c r="A393" s="3"/>
      <c r="B393" s="212"/>
      <c r="C393" s="718"/>
      <c r="D393" s="715"/>
      <c r="E393" s="579"/>
      <c r="F393" s="579"/>
      <c r="G393" s="578"/>
      <c r="H393" s="578"/>
      <c r="I393" s="578"/>
      <c r="J393" s="578"/>
      <c r="K393" s="578"/>
      <c r="L393" s="578"/>
      <c r="M393" s="220"/>
      <c r="N393" s="3"/>
      <c r="O393" s="3"/>
      <c r="P393" s="3"/>
      <c r="Q393" s="3"/>
      <c r="R393" s="212"/>
      <c r="S393" s="699" t="str">
        <f t="shared" si="269"/>
        <v>.</v>
      </c>
      <c r="T393" s="700" t="str">
        <f t="shared" si="270"/>
        <v>.</v>
      </c>
      <c r="U393" s="700" t="str">
        <f t="shared" si="271"/>
        <v>.</v>
      </c>
      <c r="V393" s="700" t="str">
        <f t="shared" si="272"/>
        <v>.</v>
      </c>
      <c r="W393" s="700" t="str">
        <f t="shared" si="273"/>
        <v>.</v>
      </c>
      <c r="X393" s="700" t="str">
        <f t="shared" si="274"/>
        <v>.</v>
      </c>
      <c r="Y393" s="701" t="str">
        <f t="shared" si="275"/>
        <v>.</v>
      </c>
      <c r="Z393" s="3"/>
      <c r="AA393" s="985" t="str">
        <f t="shared" si="276"/>
        <v>.</v>
      </c>
      <c r="AB393" s="702" t="str">
        <f t="shared" si="277"/>
        <v>.</v>
      </c>
      <c r="AC393" s="702" t="str">
        <f t="shared" si="278"/>
        <v>.</v>
      </c>
      <c r="AD393" s="702" t="str">
        <f t="shared" si="279"/>
        <v>.</v>
      </c>
      <c r="AE393" s="702" t="str">
        <f t="shared" si="280"/>
        <v>.</v>
      </c>
      <c r="AF393" s="702" t="str">
        <f t="shared" si="281"/>
        <v>.</v>
      </c>
      <c r="AG393" s="986" t="str">
        <f t="shared" si="282"/>
        <v>.</v>
      </c>
      <c r="AH393" s="3"/>
      <c r="AI393" s="699" t="str">
        <f>IF(S393=".",".",SUM($S393:S393))</f>
        <v>.</v>
      </c>
      <c r="AJ393" s="700" t="str">
        <f>IF(T393=".",".",SUM($S393:T393))</f>
        <v>.</v>
      </c>
      <c r="AK393" s="700" t="str">
        <f>IF(U393=".",".",SUM($S393:U393))</f>
        <v>.</v>
      </c>
      <c r="AL393" s="700" t="str">
        <f>IF(V393=".",".",SUM($S393:V393))</f>
        <v>.</v>
      </c>
      <c r="AM393" s="700" t="str">
        <f>IF(W393=".",".",SUM($S393:W393))</f>
        <v>.</v>
      </c>
      <c r="AN393" s="700" t="str">
        <f>IF(X393=".",".",SUM($S393:X393))</f>
        <v>.</v>
      </c>
      <c r="AO393" s="701" t="str">
        <f>IF(Y393=".",".",SUM($S393:Y393))</f>
        <v>.</v>
      </c>
      <c r="AP393" s="3"/>
      <c r="AQ393" s="985" t="str">
        <f t="shared" si="283"/>
        <v>.</v>
      </c>
      <c r="AR393" s="702" t="str">
        <f t="shared" si="284"/>
        <v>.</v>
      </c>
      <c r="AS393" s="702" t="str">
        <f t="shared" si="285"/>
        <v>.</v>
      </c>
      <c r="AT393" s="702" t="str">
        <f t="shared" si="286"/>
        <v>.</v>
      </c>
      <c r="AU393" s="702" t="str">
        <f t="shared" si="287"/>
        <v>.</v>
      </c>
      <c r="AV393" s="702" t="str">
        <f t="shared" si="288"/>
        <v>.</v>
      </c>
      <c r="AW393" s="986" t="str">
        <f t="shared" si="289"/>
        <v>.</v>
      </c>
      <c r="AX393" s="214"/>
      <c r="AY393" s="3"/>
      <c r="AZ393" s="3"/>
      <c r="BA393" s="3"/>
      <c r="BB393" s="3"/>
    </row>
    <row r="394" spans="1:54" ht="12" x14ac:dyDescent="0.25">
      <c r="A394" s="3"/>
      <c r="B394" s="212"/>
      <c r="C394" s="718"/>
      <c r="D394" s="715"/>
      <c r="E394" s="579"/>
      <c r="F394" s="579"/>
      <c r="G394" s="578"/>
      <c r="H394" s="578"/>
      <c r="I394" s="578"/>
      <c r="J394" s="578"/>
      <c r="K394" s="578"/>
      <c r="L394" s="578"/>
      <c r="M394" s="220"/>
      <c r="N394" s="3"/>
      <c r="O394" s="3"/>
      <c r="P394" s="3"/>
      <c r="Q394" s="3"/>
      <c r="R394" s="212"/>
      <c r="S394" s="699" t="str">
        <f t="shared" si="269"/>
        <v>.</v>
      </c>
      <c r="T394" s="700" t="str">
        <f t="shared" si="270"/>
        <v>.</v>
      </c>
      <c r="U394" s="700" t="str">
        <f t="shared" si="271"/>
        <v>.</v>
      </c>
      <c r="V394" s="700" t="str">
        <f t="shared" si="272"/>
        <v>.</v>
      </c>
      <c r="W394" s="700" t="str">
        <f t="shared" si="273"/>
        <v>.</v>
      </c>
      <c r="X394" s="700" t="str">
        <f t="shared" si="274"/>
        <v>.</v>
      </c>
      <c r="Y394" s="701" t="str">
        <f t="shared" si="275"/>
        <v>.</v>
      </c>
      <c r="Z394" s="3"/>
      <c r="AA394" s="985" t="str">
        <f t="shared" si="276"/>
        <v>.</v>
      </c>
      <c r="AB394" s="702" t="str">
        <f t="shared" si="277"/>
        <v>.</v>
      </c>
      <c r="AC394" s="702" t="str">
        <f t="shared" si="278"/>
        <v>.</v>
      </c>
      <c r="AD394" s="702" t="str">
        <f t="shared" si="279"/>
        <v>.</v>
      </c>
      <c r="AE394" s="702" t="str">
        <f t="shared" si="280"/>
        <v>.</v>
      </c>
      <c r="AF394" s="702" t="str">
        <f t="shared" si="281"/>
        <v>.</v>
      </c>
      <c r="AG394" s="986" t="str">
        <f t="shared" si="282"/>
        <v>.</v>
      </c>
      <c r="AH394" s="3"/>
      <c r="AI394" s="699" t="str">
        <f>IF(S394=".",".",SUM($S394:S394))</f>
        <v>.</v>
      </c>
      <c r="AJ394" s="700" t="str">
        <f>IF(T394=".",".",SUM($S394:T394))</f>
        <v>.</v>
      </c>
      <c r="AK394" s="700" t="str">
        <f>IF(U394=".",".",SUM($S394:U394))</f>
        <v>.</v>
      </c>
      <c r="AL394" s="700" t="str">
        <f>IF(V394=".",".",SUM($S394:V394))</f>
        <v>.</v>
      </c>
      <c r="AM394" s="700" t="str">
        <f>IF(W394=".",".",SUM($S394:W394))</f>
        <v>.</v>
      </c>
      <c r="AN394" s="700" t="str">
        <f>IF(X394=".",".",SUM($S394:X394))</f>
        <v>.</v>
      </c>
      <c r="AO394" s="701" t="str">
        <f>IF(Y394=".",".",SUM($S394:Y394))</f>
        <v>.</v>
      </c>
      <c r="AP394" s="3"/>
      <c r="AQ394" s="985" t="str">
        <f t="shared" si="283"/>
        <v>.</v>
      </c>
      <c r="AR394" s="702" t="str">
        <f t="shared" si="284"/>
        <v>.</v>
      </c>
      <c r="AS394" s="702" t="str">
        <f t="shared" si="285"/>
        <v>.</v>
      </c>
      <c r="AT394" s="702" t="str">
        <f t="shared" si="286"/>
        <v>.</v>
      </c>
      <c r="AU394" s="702" t="str">
        <f t="shared" si="287"/>
        <v>.</v>
      </c>
      <c r="AV394" s="702" t="str">
        <f t="shared" si="288"/>
        <v>.</v>
      </c>
      <c r="AW394" s="986" t="str">
        <f t="shared" si="289"/>
        <v>.</v>
      </c>
      <c r="AX394" s="214"/>
      <c r="AY394" s="3"/>
      <c r="AZ394" s="3"/>
      <c r="BA394" s="3"/>
      <c r="BB394" s="3"/>
    </row>
    <row r="395" spans="1:54" ht="12" x14ac:dyDescent="0.25">
      <c r="A395" s="3"/>
      <c r="B395" s="212"/>
      <c r="C395" s="718"/>
      <c r="D395" s="715"/>
      <c r="E395" s="579"/>
      <c r="F395" s="579"/>
      <c r="G395" s="578"/>
      <c r="H395" s="578"/>
      <c r="I395" s="578"/>
      <c r="J395" s="578"/>
      <c r="K395" s="578"/>
      <c r="L395" s="578"/>
      <c r="M395" s="220"/>
      <c r="N395" s="3"/>
      <c r="O395" s="3"/>
      <c r="P395" s="3"/>
      <c r="Q395" s="3"/>
      <c r="R395" s="212"/>
      <c r="S395" s="699" t="str">
        <f t="shared" si="269"/>
        <v>.</v>
      </c>
      <c r="T395" s="700" t="str">
        <f t="shared" si="270"/>
        <v>.</v>
      </c>
      <c r="U395" s="700" t="str">
        <f t="shared" si="271"/>
        <v>.</v>
      </c>
      <c r="V395" s="700" t="str">
        <f t="shared" si="272"/>
        <v>.</v>
      </c>
      <c r="W395" s="700" t="str">
        <f t="shared" si="273"/>
        <v>.</v>
      </c>
      <c r="X395" s="700" t="str">
        <f t="shared" si="274"/>
        <v>.</v>
      </c>
      <c r="Y395" s="701" t="str">
        <f t="shared" si="275"/>
        <v>.</v>
      </c>
      <c r="Z395" s="3"/>
      <c r="AA395" s="985" t="str">
        <f t="shared" si="276"/>
        <v>.</v>
      </c>
      <c r="AB395" s="702" t="str">
        <f t="shared" si="277"/>
        <v>.</v>
      </c>
      <c r="AC395" s="702" t="str">
        <f t="shared" si="278"/>
        <v>.</v>
      </c>
      <c r="AD395" s="702" t="str">
        <f t="shared" si="279"/>
        <v>.</v>
      </c>
      <c r="AE395" s="702" t="str">
        <f t="shared" si="280"/>
        <v>.</v>
      </c>
      <c r="AF395" s="702" t="str">
        <f t="shared" si="281"/>
        <v>.</v>
      </c>
      <c r="AG395" s="986" t="str">
        <f t="shared" si="282"/>
        <v>.</v>
      </c>
      <c r="AH395" s="3"/>
      <c r="AI395" s="699" t="str">
        <f>IF(S395=".",".",SUM($S395:S395))</f>
        <v>.</v>
      </c>
      <c r="AJ395" s="700" t="str">
        <f>IF(T395=".",".",SUM($S395:T395))</f>
        <v>.</v>
      </c>
      <c r="AK395" s="700" t="str">
        <f>IF(U395=".",".",SUM($S395:U395))</f>
        <v>.</v>
      </c>
      <c r="AL395" s="700" t="str">
        <f>IF(V395=".",".",SUM($S395:V395))</f>
        <v>.</v>
      </c>
      <c r="AM395" s="700" t="str">
        <f>IF(W395=".",".",SUM($S395:W395))</f>
        <v>.</v>
      </c>
      <c r="AN395" s="700" t="str">
        <f>IF(X395=".",".",SUM($S395:X395))</f>
        <v>.</v>
      </c>
      <c r="AO395" s="701" t="str">
        <f>IF(Y395=".",".",SUM($S395:Y395))</f>
        <v>.</v>
      </c>
      <c r="AP395" s="3"/>
      <c r="AQ395" s="985" t="str">
        <f t="shared" si="283"/>
        <v>.</v>
      </c>
      <c r="AR395" s="702" t="str">
        <f t="shared" si="284"/>
        <v>.</v>
      </c>
      <c r="AS395" s="702" t="str">
        <f t="shared" si="285"/>
        <v>.</v>
      </c>
      <c r="AT395" s="702" t="str">
        <f t="shared" si="286"/>
        <v>.</v>
      </c>
      <c r="AU395" s="702" t="str">
        <f t="shared" si="287"/>
        <v>.</v>
      </c>
      <c r="AV395" s="702" t="str">
        <f t="shared" si="288"/>
        <v>.</v>
      </c>
      <c r="AW395" s="986" t="str">
        <f t="shared" si="289"/>
        <v>.</v>
      </c>
      <c r="AX395" s="214"/>
      <c r="AY395" s="3"/>
      <c r="AZ395" s="3"/>
      <c r="BA395" s="3"/>
      <c r="BB395" s="3"/>
    </row>
    <row r="396" spans="1:54" ht="12" x14ac:dyDescent="0.25">
      <c r="A396" s="3"/>
      <c r="B396" s="212"/>
      <c r="C396" s="718"/>
      <c r="D396" s="715"/>
      <c r="E396" s="579"/>
      <c r="F396" s="579"/>
      <c r="G396" s="578"/>
      <c r="H396" s="578"/>
      <c r="I396" s="578"/>
      <c r="J396" s="578"/>
      <c r="K396" s="578"/>
      <c r="L396" s="578"/>
      <c r="M396" s="220"/>
      <c r="N396" s="3"/>
      <c r="O396" s="3"/>
      <c r="P396" s="3"/>
      <c r="Q396" s="3"/>
      <c r="R396" s="212"/>
      <c r="S396" s="699" t="str">
        <f t="shared" si="269"/>
        <v>.</v>
      </c>
      <c r="T396" s="700" t="str">
        <f t="shared" si="270"/>
        <v>.</v>
      </c>
      <c r="U396" s="700" t="str">
        <f t="shared" si="271"/>
        <v>.</v>
      </c>
      <c r="V396" s="700" t="str">
        <f t="shared" si="272"/>
        <v>.</v>
      </c>
      <c r="W396" s="700" t="str">
        <f t="shared" si="273"/>
        <v>.</v>
      </c>
      <c r="X396" s="700" t="str">
        <f t="shared" si="274"/>
        <v>.</v>
      </c>
      <c r="Y396" s="701" t="str">
        <f t="shared" si="275"/>
        <v>.</v>
      </c>
      <c r="Z396" s="3"/>
      <c r="AA396" s="985" t="str">
        <f t="shared" si="276"/>
        <v>.</v>
      </c>
      <c r="AB396" s="702" t="str">
        <f t="shared" si="277"/>
        <v>.</v>
      </c>
      <c r="AC396" s="702" t="str">
        <f t="shared" si="278"/>
        <v>.</v>
      </c>
      <c r="AD396" s="702" t="str">
        <f t="shared" si="279"/>
        <v>.</v>
      </c>
      <c r="AE396" s="702" t="str">
        <f t="shared" si="280"/>
        <v>.</v>
      </c>
      <c r="AF396" s="702" t="str">
        <f t="shared" si="281"/>
        <v>.</v>
      </c>
      <c r="AG396" s="986" t="str">
        <f t="shared" si="282"/>
        <v>.</v>
      </c>
      <c r="AH396" s="3"/>
      <c r="AI396" s="699" t="str">
        <f>IF(S396=".",".",SUM($S396:S396))</f>
        <v>.</v>
      </c>
      <c r="AJ396" s="700" t="str">
        <f>IF(T396=".",".",SUM($S396:T396))</f>
        <v>.</v>
      </c>
      <c r="AK396" s="700" t="str">
        <f>IF(U396=".",".",SUM($S396:U396))</f>
        <v>.</v>
      </c>
      <c r="AL396" s="700" t="str">
        <f>IF(V396=".",".",SUM($S396:V396))</f>
        <v>.</v>
      </c>
      <c r="AM396" s="700" t="str">
        <f>IF(W396=".",".",SUM($S396:W396))</f>
        <v>.</v>
      </c>
      <c r="AN396" s="700" t="str">
        <f>IF(X396=".",".",SUM($S396:X396))</f>
        <v>.</v>
      </c>
      <c r="AO396" s="701" t="str">
        <f>IF(Y396=".",".",SUM($S396:Y396))</f>
        <v>.</v>
      </c>
      <c r="AP396" s="3"/>
      <c r="AQ396" s="985" t="str">
        <f t="shared" si="283"/>
        <v>.</v>
      </c>
      <c r="AR396" s="702" t="str">
        <f t="shared" si="284"/>
        <v>.</v>
      </c>
      <c r="AS396" s="702" t="str">
        <f t="shared" si="285"/>
        <v>.</v>
      </c>
      <c r="AT396" s="702" t="str">
        <f t="shared" si="286"/>
        <v>.</v>
      </c>
      <c r="AU396" s="702" t="str">
        <f t="shared" si="287"/>
        <v>.</v>
      </c>
      <c r="AV396" s="702" t="str">
        <f t="shared" si="288"/>
        <v>.</v>
      </c>
      <c r="AW396" s="986" t="str">
        <f t="shared" si="289"/>
        <v>.</v>
      </c>
      <c r="AX396" s="214"/>
      <c r="AY396" s="3"/>
      <c r="AZ396" s="3"/>
      <c r="BA396" s="3"/>
      <c r="BB396" s="3"/>
    </row>
    <row r="397" spans="1:54" ht="12" x14ac:dyDescent="0.25">
      <c r="A397" s="3"/>
      <c r="B397" s="212"/>
      <c r="C397" s="718"/>
      <c r="D397" s="715"/>
      <c r="E397" s="579"/>
      <c r="F397" s="579"/>
      <c r="G397" s="578"/>
      <c r="H397" s="578"/>
      <c r="I397" s="578"/>
      <c r="J397" s="578"/>
      <c r="K397" s="578"/>
      <c r="L397" s="578"/>
      <c r="M397" s="220"/>
      <c r="N397" s="3"/>
      <c r="O397" s="3"/>
      <c r="P397" s="3"/>
      <c r="Q397" s="3"/>
      <c r="R397" s="212"/>
      <c r="S397" s="699" t="str">
        <f t="shared" si="269"/>
        <v>.</v>
      </c>
      <c r="T397" s="700" t="str">
        <f t="shared" si="270"/>
        <v>.</v>
      </c>
      <c r="U397" s="700" t="str">
        <f t="shared" si="271"/>
        <v>.</v>
      </c>
      <c r="V397" s="700" t="str">
        <f t="shared" si="272"/>
        <v>.</v>
      </c>
      <c r="W397" s="700" t="str">
        <f t="shared" si="273"/>
        <v>.</v>
      </c>
      <c r="X397" s="700" t="str">
        <f t="shared" si="274"/>
        <v>.</v>
      </c>
      <c r="Y397" s="701" t="str">
        <f t="shared" si="275"/>
        <v>.</v>
      </c>
      <c r="Z397" s="3"/>
      <c r="AA397" s="985" t="str">
        <f t="shared" si="276"/>
        <v>.</v>
      </c>
      <c r="AB397" s="702" t="str">
        <f t="shared" si="277"/>
        <v>.</v>
      </c>
      <c r="AC397" s="702" t="str">
        <f t="shared" si="278"/>
        <v>.</v>
      </c>
      <c r="AD397" s="702" t="str">
        <f t="shared" si="279"/>
        <v>.</v>
      </c>
      <c r="AE397" s="702" t="str">
        <f t="shared" si="280"/>
        <v>.</v>
      </c>
      <c r="AF397" s="702" t="str">
        <f t="shared" si="281"/>
        <v>.</v>
      </c>
      <c r="AG397" s="986" t="str">
        <f t="shared" si="282"/>
        <v>.</v>
      </c>
      <c r="AH397" s="3"/>
      <c r="AI397" s="699" t="str">
        <f>IF(S397=".",".",SUM($S397:S397))</f>
        <v>.</v>
      </c>
      <c r="AJ397" s="700" t="str">
        <f>IF(T397=".",".",SUM($S397:T397))</f>
        <v>.</v>
      </c>
      <c r="AK397" s="700" t="str">
        <f>IF(U397=".",".",SUM($S397:U397))</f>
        <v>.</v>
      </c>
      <c r="AL397" s="700" t="str">
        <f>IF(V397=".",".",SUM($S397:V397))</f>
        <v>.</v>
      </c>
      <c r="AM397" s="700" t="str">
        <f>IF(W397=".",".",SUM($S397:W397))</f>
        <v>.</v>
      </c>
      <c r="AN397" s="700" t="str">
        <f>IF(X397=".",".",SUM($S397:X397))</f>
        <v>.</v>
      </c>
      <c r="AO397" s="701" t="str">
        <f>IF(Y397=".",".",SUM($S397:Y397))</f>
        <v>.</v>
      </c>
      <c r="AP397" s="3"/>
      <c r="AQ397" s="985" t="str">
        <f t="shared" si="283"/>
        <v>.</v>
      </c>
      <c r="AR397" s="702" t="str">
        <f t="shared" si="284"/>
        <v>.</v>
      </c>
      <c r="AS397" s="702" t="str">
        <f t="shared" si="285"/>
        <v>.</v>
      </c>
      <c r="AT397" s="702" t="str">
        <f t="shared" si="286"/>
        <v>.</v>
      </c>
      <c r="AU397" s="702" t="str">
        <f t="shared" si="287"/>
        <v>.</v>
      </c>
      <c r="AV397" s="702" t="str">
        <f t="shared" si="288"/>
        <v>.</v>
      </c>
      <c r="AW397" s="986" t="str">
        <f t="shared" si="289"/>
        <v>.</v>
      </c>
      <c r="AX397" s="214"/>
      <c r="AY397" s="3"/>
      <c r="AZ397" s="3"/>
      <c r="BA397" s="3"/>
      <c r="BB397" s="3"/>
    </row>
    <row r="398" spans="1:54" ht="12" x14ac:dyDescent="0.25">
      <c r="A398" s="3"/>
      <c r="B398" s="212"/>
      <c r="C398" s="718"/>
      <c r="D398" s="715"/>
      <c r="E398" s="579"/>
      <c r="F398" s="579"/>
      <c r="G398" s="578"/>
      <c r="H398" s="578"/>
      <c r="I398" s="578"/>
      <c r="J398" s="578"/>
      <c r="K398" s="578"/>
      <c r="L398" s="578"/>
      <c r="M398" s="220"/>
      <c r="N398" s="3"/>
      <c r="O398" s="3"/>
      <c r="P398" s="3"/>
      <c r="Q398" s="3"/>
      <c r="R398" s="212"/>
      <c r="S398" s="699" t="str">
        <f t="shared" si="269"/>
        <v>.</v>
      </c>
      <c r="T398" s="700" t="str">
        <f t="shared" si="270"/>
        <v>.</v>
      </c>
      <c r="U398" s="700" t="str">
        <f t="shared" si="271"/>
        <v>.</v>
      </c>
      <c r="V398" s="700" t="str">
        <f t="shared" si="272"/>
        <v>.</v>
      </c>
      <c r="W398" s="700" t="str">
        <f t="shared" si="273"/>
        <v>.</v>
      </c>
      <c r="X398" s="700" t="str">
        <f t="shared" si="274"/>
        <v>.</v>
      </c>
      <c r="Y398" s="701" t="str">
        <f t="shared" si="275"/>
        <v>.</v>
      </c>
      <c r="Z398" s="3"/>
      <c r="AA398" s="985" t="str">
        <f t="shared" si="276"/>
        <v>.</v>
      </c>
      <c r="AB398" s="702" t="str">
        <f t="shared" si="277"/>
        <v>.</v>
      </c>
      <c r="AC398" s="702" t="str">
        <f t="shared" si="278"/>
        <v>.</v>
      </c>
      <c r="AD398" s="702" t="str">
        <f t="shared" si="279"/>
        <v>.</v>
      </c>
      <c r="AE398" s="702" t="str">
        <f t="shared" si="280"/>
        <v>.</v>
      </c>
      <c r="AF398" s="702" t="str">
        <f t="shared" si="281"/>
        <v>.</v>
      </c>
      <c r="AG398" s="986" t="str">
        <f t="shared" si="282"/>
        <v>.</v>
      </c>
      <c r="AH398" s="3"/>
      <c r="AI398" s="699" t="str">
        <f>IF(S398=".",".",SUM($S398:S398))</f>
        <v>.</v>
      </c>
      <c r="AJ398" s="700" t="str">
        <f>IF(T398=".",".",SUM($S398:T398))</f>
        <v>.</v>
      </c>
      <c r="AK398" s="700" t="str">
        <f>IF(U398=".",".",SUM($S398:U398))</f>
        <v>.</v>
      </c>
      <c r="AL398" s="700" t="str">
        <f>IF(V398=".",".",SUM($S398:V398))</f>
        <v>.</v>
      </c>
      <c r="AM398" s="700" t="str">
        <f>IF(W398=".",".",SUM($S398:W398))</f>
        <v>.</v>
      </c>
      <c r="AN398" s="700" t="str">
        <f>IF(X398=".",".",SUM($S398:X398))</f>
        <v>.</v>
      </c>
      <c r="AO398" s="701" t="str">
        <f>IF(Y398=".",".",SUM($S398:Y398))</f>
        <v>.</v>
      </c>
      <c r="AP398" s="3"/>
      <c r="AQ398" s="985" t="str">
        <f t="shared" si="283"/>
        <v>.</v>
      </c>
      <c r="AR398" s="702" t="str">
        <f t="shared" si="284"/>
        <v>.</v>
      </c>
      <c r="AS398" s="702" t="str">
        <f t="shared" si="285"/>
        <v>.</v>
      </c>
      <c r="AT398" s="702" t="str">
        <f t="shared" si="286"/>
        <v>.</v>
      </c>
      <c r="AU398" s="702" t="str">
        <f t="shared" si="287"/>
        <v>.</v>
      </c>
      <c r="AV398" s="702" t="str">
        <f t="shared" si="288"/>
        <v>.</v>
      </c>
      <c r="AW398" s="986" t="str">
        <f t="shared" si="289"/>
        <v>.</v>
      </c>
      <c r="AX398" s="214"/>
      <c r="AY398" s="3"/>
      <c r="AZ398" s="3"/>
      <c r="BA398" s="3"/>
      <c r="BB398" s="3"/>
    </row>
    <row r="399" spans="1:54" ht="12" x14ac:dyDescent="0.25">
      <c r="A399" s="3"/>
      <c r="B399" s="212"/>
      <c r="C399" s="718"/>
      <c r="D399" s="715"/>
      <c r="E399" s="579"/>
      <c r="F399" s="579"/>
      <c r="G399" s="578"/>
      <c r="H399" s="578"/>
      <c r="I399" s="578"/>
      <c r="J399" s="578"/>
      <c r="K399" s="578"/>
      <c r="L399" s="578"/>
      <c r="M399" s="220"/>
      <c r="N399" s="3"/>
      <c r="O399" s="3"/>
      <c r="P399" s="3"/>
      <c r="Q399" s="3"/>
      <c r="R399" s="212"/>
      <c r="S399" s="699" t="str">
        <f t="shared" si="269"/>
        <v>.</v>
      </c>
      <c r="T399" s="700" t="str">
        <f t="shared" si="270"/>
        <v>.</v>
      </c>
      <c r="U399" s="700" t="str">
        <f t="shared" si="271"/>
        <v>.</v>
      </c>
      <c r="V399" s="700" t="str">
        <f t="shared" si="272"/>
        <v>.</v>
      </c>
      <c r="W399" s="700" t="str">
        <f t="shared" si="273"/>
        <v>.</v>
      </c>
      <c r="X399" s="700" t="str">
        <f t="shared" si="274"/>
        <v>.</v>
      </c>
      <c r="Y399" s="701" t="str">
        <f t="shared" si="275"/>
        <v>.</v>
      </c>
      <c r="Z399" s="3"/>
      <c r="AA399" s="985" t="str">
        <f t="shared" si="276"/>
        <v>.</v>
      </c>
      <c r="AB399" s="702" t="str">
        <f t="shared" si="277"/>
        <v>.</v>
      </c>
      <c r="AC399" s="702" t="str">
        <f t="shared" si="278"/>
        <v>.</v>
      </c>
      <c r="AD399" s="702" t="str">
        <f t="shared" si="279"/>
        <v>.</v>
      </c>
      <c r="AE399" s="702" t="str">
        <f t="shared" si="280"/>
        <v>.</v>
      </c>
      <c r="AF399" s="702" t="str">
        <f t="shared" si="281"/>
        <v>.</v>
      </c>
      <c r="AG399" s="986" t="str">
        <f t="shared" si="282"/>
        <v>.</v>
      </c>
      <c r="AH399" s="3"/>
      <c r="AI399" s="699" t="str">
        <f>IF(S399=".",".",SUM($S399:S399))</f>
        <v>.</v>
      </c>
      <c r="AJ399" s="700" t="str">
        <f>IF(T399=".",".",SUM($S399:T399))</f>
        <v>.</v>
      </c>
      <c r="AK399" s="700" t="str">
        <f>IF(U399=".",".",SUM($S399:U399))</f>
        <v>.</v>
      </c>
      <c r="AL399" s="700" t="str">
        <f>IF(V399=".",".",SUM($S399:V399))</f>
        <v>.</v>
      </c>
      <c r="AM399" s="700" t="str">
        <f>IF(W399=".",".",SUM($S399:W399))</f>
        <v>.</v>
      </c>
      <c r="AN399" s="700" t="str">
        <f>IF(X399=".",".",SUM($S399:X399))</f>
        <v>.</v>
      </c>
      <c r="AO399" s="701" t="str">
        <f>IF(Y399=".",".",SUM($S399:Y399))</f>
        <v>.</v>
      </c>
      <c r="AP399" s="3"/>
      <c r="AQ399" s="985" t="str">
        <f t="shared" si="283"/>
        <v>.</v>
      </c>
      <c r="AR399" s="702" t="str">
        <f t="shared" si="284"/>
        <v>.</v>
      </c>
      <c r="AS399" s="702" t="str">
        <f t="shared" si="285"/>
        <v>.</v>
      </c>
      <c r="AT399" s="702" t="str">
        <f t="shared" si="286"/>
        <v>.</v>
      </c>
      <c r="AU399" s="702" t="str">
        <f t="shared" si="287"/>
        <v>.</v>
      </c>
      <c r="AV399" s="702" t="str">
        <f t="shared" si="288"/>
        <v>.</v>
      </c>
      <c r="AW399" s="986" t="str">
        <f t="shared" si="289"/>
        <v>.</v>
      </c>
      <c r="AX399" s="214"/>
      <c r="AY399" s="3"/>
      <c r="AZ399" s="3"/>
      <c r="BA399" s="3"/>
      <c r="BB399" s="3"/>
    </row>
    <row r="400" spans="1:54" ht="12" x14ac:dyDescent="0.25">
      <c r="A400" s="3"/>
      <c r="B400" s="212"/>
      <c r="C400" s="718"/>
      <c r="D400" s="715"/>
      <c r="E400" s="579"/>
      <c r="F400" s="579"/>
      <c r="G400" s="578"/>
      <c r="H400" s="578"/>
      <c r="I400" s="578"/>
      <c r="J400" s="578"/>
      <c r="K400" s="578"/>
      <c r="L400" s="578"/>
      <c r="M400" s="220"/>
      <c r="N400" s="3"/>
      <c r="O400" s="3"/>
      <c r="P400" s="3"/>
      <c r="Q400" s="3"/>
      <c r="R400" s="212"/>
      <c r="S400" s="699" t="str">
        <f t="shared" si="269"/>
        <v>.</v>
      </c>
      <c r="T400" s="700" t="str">
        <f t="shared" si="270"/>
        <v>.</v>
      </c>
      <c r="U400" s="700" t="str">
        <f t="shared" si="271"/>
        <v>.</v>
      </c>
      <c r="V400" s="700" t="str">
        <f t="shared" si="272"/>
        <v>.</v>
      </c>
      <c r="W400" s="700" t="str">
        <f t="shared" si="273"/>
        <v>.</v>
      </c>
      <c r="X400" s="700" t="str">
        <f t="shared" si="274"/>
        <v>.</v>
      </c>
      <c r="Y400" s="701" t="str">
        <f t="shared" si="275"/>
        <v>.</v>
      </c>
      <c r="Z400" s="3"/>
      <c r="AA400" s="985" t="str">
        <f t="shared" si="276"/>
        <v>.</v>
      </c>
      <c r="AB400" s="702" t="str">
        <f t="shared" si="277"/>
        <v>.</v>
      </c>
      <c r="AC400" s="702" t="str">
        <f t="shared" si="278"/>
        <v>.</v>
      </c>
      <c r="AD400" s="702" t="str">
        <f t="shared" si="279"/>
        <v>.</v>
      </c>
      <c r="AE400" s="702" t="str">
        <f t="shared" si="280"/>
        <v>.</v>
      </c>
      <c r="AF400" s="702" t="str">
        <f t="shared" si="281"/>
        <v>.</v>
      </c>
      <c r="AG400" s="986" t="str">
        <f t="shared" si="282"/>
        <v>.</v>
      </c>
      <c r="AH400" s="3"/>
      <c r="AI400" s="699" t="str">
        <f>IF(S400=".",".",SUM($S400:S400))</f>
        <v>.</v>
      </c>
      <c r="AJ400" s="700" t="str">
        <f>IF(T400=".",".",SUM($S400:T400))</f>
        <v>.</v>
      </c>
      <c r="AK400" s="700" t="str">
        <f>IF(U400=".",".",SUM($S400:U400))</f>
        <v>.</v>
      </c>
      <c r="AL400" s="700" t="str">
        <f>IF(V400=".",".",SUM($S400:V400))</f>
        <v>.</v>
      </c>
      <c r="AM400" s="700" t="str">
        <f>IF(W400=".",".",SUM($S400:W400))</f>
        <v>.</v>
      </c>
      <c r="AN400" s="700" t="str">
        <f>IF(X400=".",".",SUM($S400:X400))</f>
        <v>.</v>
      </c>
      <c r="AO400" s="701" t="str">
        <f>IF(Y400=".",".",SUM($S400:Y400))</f>
        <v>.</v>
      </c>
      <c r="AP400" s="3"/>
      <c r="AQ400" s="985" t="str">
        <f t="shared" si="283"/>
        <v>.</v>
      </c>
      <c r="AR400" s="702" t="str">
        <f t="shared" si="284"/>
        <v>.</v>
      </c>
      <c r="AS400" s="702" t="str">
        <f t="shared" si="285"/>
        <v>.</v>
      </c>
      <c r="AT400" s="702" t="str">
        <f t="shared" si="286"/>
        <v>.</v>
      </c>
      <c r="AU400" s="702" t="str">
        <f t="shared" si="287"/>
        <v>.</v>
      </c>
      <c r="AV400" s="702" t="str">
        <f t="shared" si="288"/>
        <v>.</v>
      </c>
      <c r="AW400" s="986" t="str">
        <f t="shared" si="289"/>
        <v>.</v>
      </c>
      <c r="AX400" s="214"/>
      <c r="AY400" s="3"/>
      <c r="AZ400" s="3"/>
      <c r="BA400" s="3"/>
      <c r="BB400" s="3"/>
    </row>
    <row r="401" spans="1:54" ht="12" x14ac:dyDescent="0.25">
      <c r="A401" s="3"/>
      <c r="B401" s="212"/>
      <c r="C401" s="718"/>
      <c r="D401" s="715"/>
      <c r="E401" s="579"/>
      <c r="F401" s="579"/>
      <c r="G401" s="578"/>
      <c r="H401" s="578"/>
      <c r="I401" s="578"/>
      <c r="J401" s="578"/>
      <c r="K401" s="578"/>
      <c r="L401" s="578"/>
      <c r="M401" s="220"/>
      <c r="N401" s="3"/>
      <c r="O401" s="3"/>
      <c r="P401" s="3"/>
      <c r="Q401" s="3"/>
      <c r="R401" s="212"/>
      <c r="S401" s="699" t="str">
        <f t="shared" si="269"/>
        <v>.</v>
      </c>
      <c r="T401" s="700" t="str">
        <f t="shared" si="270"/>
        <v>.</v>
      </c>
      <c r="U401" s="700" t="str">
        <f t="shared" si="271"/>
        <v>.</v>
      </c>
      <c r="V401" s="700" t="str">
        <f t="shared" si="272"/>
        <v>.</v>
      </c>
      <c r="W401" s="700" t="str">
        <f t="shared" si="273"/>
        <v>.</v>
      </c>
      <c r="X401" s="700" t="str">
        <f t="shared" si="274"/>
        <v>.</v>
      </c>
      <c r="Y401" s="701" t="str">
        <f t="shared" si="275"/>
        <v>.</v>
      </c>
      <c r="Z401" s="3"/>
      <c r="AA401" s="985" t="str">
        <f t="shared" si="276"/>
        <v>.</v>
      </c>
      <c r="AB401" s="702" t="str">
        <f t="shared" si="277"/>
        <v>.</v>
      </c>
      <c r="AC401" s="702" t="str">
        <f t="shared" si="278"/>
        <v>.</v>
      </c>
      <c r="AD401" s="702" t="str">
        <f t="shared" si="279"/>
        <v>.</v>
      </c>
      <c r="AE401" s="702" t="str">
        <f t="shared" si="280"/>
        <v>.</v>
      </c>
      <c r="AF401" s="702" t="str">
        <f t="shared" si="281"/>
        <v>.</v>
      </c>
      <c r="AG401" s="986" t="str">
        <f t="shared" si="282"/>
        <v>.</v>
      </c>
      <c r="AH401" s="3"/>
      <c r="AI401" s="699" t="str">
        <f>IF(S401=".",".",SUM($S401:S401))</f>
        <v>.</v>
      </c>
      <c r="AJ401" s="700" t="str">
        <f>IF(T401=".",".",SUM($S401:T401))</f>
        <v>.</v>
      </c>
      <c r="AK401" s="700" t="str">
        <f>IF(U401=".",".",SUM($S401:U401))</f>
        <v>.</v>
      </c>
      <c r="AL401" s="700" t="str">
        <f>IF(V401=".",".",SUM($S401:V401))</f>
        <v>.</v>
      </c>
      <c r="AM401" s="700" t="str">
        <f>IF(W401=".",".",SUM($S401:W401))</f>
        <v>.</v>
      </c>
      <c r="AN401" s="700" t="str">
        <f>IF(X401=".",".",SUM($S401:X401))</f>
        <v>.</v>
      </c>
      <c r="AO401" s="701" t="str">
        <f>IF(Y401=".",".",SUM($S401:Y401))</f>
        <v>.</v>
      </c>
      <c r="AP401" s="3"/>
      <c r="AQ401" s="985" t="str">
        <f t="shared" si="283"/>
        <v>.</v>
      </c>
      <c r="AR401" s="702" t="str">
        <f t="shared" si="284"/>
        <v>.</v>
      </c>
      <c r="AS401" s="702" t="str">
        <f t="shared" si="285"/>
        <v>.</v>
      </c>
      <c r="AT401" s="702" t="str">
        <f t="shared" si="286"/>
        <v>.</v>
      </c>
      <c r="AU401" s="702" t="str">
        <f t="shared" si="287"/>
        <v>.</v>
      </c>
      <c r="AV401" s="702" t="str">
        <f t="shared" si="288"/>
        <v>.</v>
      </c>
      <c r="AW401" s="986" t="str">
        <f t="shared" si="289"/>
        <v>.</v>
      </c>
      <c r="AX401" s="214"/>
      <c r="AY401" s="3"/>
      <c r="AZ401" s="3"/>
      <c r="BA401" s="3"/>
      <c r="BB401" s="3"/>
    </row>
    <row r="402" spans="1:54" ht="12" x14ac:dyDescent="0.25">
      <c r="A402" s="3"/>
      <c r="B402" s="212"/>
      <c r="C402" s="718"/>
      <c r="D402" s="715"/>
      <c r="E402" s="579"/>
      <c r="F402" s="579"/>
      <c r="G402" s="578"/>
      <c r="H402" s="578"/>
      <c r="I402" s="578"/>
      <c r="J402" s="578"/>
      <c r="K402" s="578"/>
      <c r="L402" s="578"/>
      <c r="M402" s="220"/>
      <c r="N402" s="3"/>
      <c r="O402" s="3"/>
      <c r="P402" s="3"/>
      <c r="Q402" s="3"/>
      <c r="R402" s="212"/>
      <c r="S402" s="699" t="str">
        <f t="shared" si="269"/>
        <v>.</v>
      </c>
      <c r="T402" s="700" t="str">
        <f t="shared" si="270"/>
        <v>.</v>
      </c>
      <c r="U402" s="700" t="str">
        <f t="shared" si="271"/>
        <v>.</v>
      </c>
      <c r="V402" s="700" t="str">
        <f t="shared" si="272"/>
        <v>.</v>
      </c>
      <c r="W402" s="700" t="str">
        <f t="shared" si="273"/>
        <v>.</v>
      </c>
      <c r="X402" s="700" t="str">
        <f t="shared" si="274"/>
        <v>.</v>
      </c>
      <c r="Y402" s="701" t="str">
        <f t="shared" si="275"/>
        <v>.</v>
      </c>
      <c r="Z402" s="3"/>
      <c r="AA402" s="985" t="str">
        <f t="shared" si="276"/>
        <v>.</v>
      </c>
      <c r="AB402" s="702" t="str">
        <f t="shared" si="277"/>
        <v>.</v>
      </c>
      <c r="AC402" s="702" t="str">
        <f t="shared" si="278"/>
        <v>.</v>
      </c>
      <c r="AD402" s="702" t="str">
        <f t="shared" si="279"/>
        <v>.</v>
      </c>
      <c r="AE402" s="702" t="str">
        <f t="shared" si="280"/>
        <v>.</v>
      </c>
      <c r="AF402" s="702" t="str">
        <f t="shared" si="281"/>
        <v>.</v>
      </c>
      <c r="AG402" s="986" t="str">
        <f t="shared" si="282"/>
        <v>.</v>
      </c>
      <c r="AH402" s="3"/>
      <c r="AI402" s="699" t="str">
        <f>IF(S402=".",".",SUM($S402:S402))</f>
        <v>.</v>
      </c>
      <c r="AJ402" s="700" t="str">
        <f>IF(T402=".",".",SUM($S402:T402))</f>
        <v>.</v>
      </c>
      <c r="AK402" s="700" t="str">
        <f>IF(U402=".",".",SUM($S402:U402))</f>
        <v>.</v>
      </c>
      <c r="AL402" s="700" t="str">
        <f>IF(V402=".",".",SUM($S402:V402))</f>
        <v>.</v>
      </c>
      <c r="AM402" s="700" t="str">
        <f>IF(W402=".",".",SUM($S402:W402))</f>
        <v>.</v>
      </c>
      <c r="AN402" s="700" t="str">
        <f>IF(X402=".",".",SUM($S402:X402))</f>
        <v>.</v>
      </c>
      <c r="AO402" s="701" t="str">
        <f>IF(Y402=".",".",SUM($S402:Y402))</f>
        <v>.</v>
      </c>
      <c r="AP402" s="3"/>
      <c r="AQ402" s="985" t="str">
        <f t="shared" si="283"/>
        <v>.</v>
      </c>
      <c r="AR402" s="702" t="str">
        <f t="shared" si="284"/>
        <v>.</v>
      </c>
      <c r="AS402" s="702" t="str">
        <f t="shared" si="285"/>
        <v>.</v>
      </c>
      <c r="AT402" s="702" t="str">
        <f t="shared" si="286"/>
        <v>.</v>
      </c>
      <c r="AU402" s="702" t="str">
        <f t="shared" si="287"/>
        <v>.</v>
      </c>
      <c r="AV402" s="702" t="str">
        <f t="shared" si="288"/>
        <v>.</v>
      </c>
      <c r="AW402" s="986" t="str">
        <f t="shared" si="289"/>
        <v>.</v>
      </c>
      <c r="AX402" s="214"/>
      <c r="AY402" s="3"/>
      <c r="AZ402" s="3"/>
      <c r="BA402" s="3"/>
      <c r="BB402" s="3"/>
    </row>
    <row r="403" spans="1:54" ht="12" x14ac:dyDescent="0.25">
      <c r="A403" s="3"/>
      <c r="B403" s="212"/>
      <c r="C403" s="718"/>
      <c r="D403" s="715"/>
      <c r="E403" s="579"/>
      <c r="F403" s="579"/>
      <c r="G403" s="578"/>
      <c r="H403" s="578"/>
      <c r="I403" s="578"/>
      <c r="J403" s="578"/>
      <c r="K403" s="578"/>
      <c r="L403" s="578"/>
      <c r="M403" s="220"/>
      <c r="N403" s="3"/>
      <c r="O403" s="3"/>
      <c r="P403" s="3"/>
      <c r="Q403" s="3"/>
      <c r="R403" s="212"/>
      <c r="S403" s="699" t="str">
        <f t="shared" si="269"/>
        <v>.</v>
      </c>
      <c r="T403" s="700" t="str">
        <f t="shared" si="270"/>
        <v>.</v>
      </c>
      <c r="U403" s="700" t="str">
        <f t="shared" si="271"/>
        <v>.</v>
      </c>
      <c r="V403" s="700" t="str">
        <f t="shared" si="272"/>
        <v>.</v>
      </c>
      <c r="W403" s="700" t="str">
        <f t="shared" si="273"/>
        <v>.</v>
      </c>
      <c r="X403" s="700" t="str">
        <f t="shared" si="274"/>
        <v>.</v>
      </c>
      <c r="Y403" s="701" t="str">
        <f t="shared" si="275"/>
        <v>.</v>
      </c>
      <c r="Z403" s="3"/>
      <c r="AA403" s="985" t="str">
        <f t="shared" si="276"/>
        <v>.</v>
      </c>
      <c r="AB403" s="702" t="str">
        <f t="shared" si="277"/>
        <v>.</v>
      </c>
      <c r="AC403" s="702" t="str">
        <f t="shared" si="278"/>
        <v>.</v>
      </c>
      <c r="AD403" s="702" t="str">
        <f t="shared" si="279"/>
        <v>.</v>
      </c>
      <c r="AE403" s="702" t="str">
        <f t="shared" si="280"/>
        <v>.</v>
      </c>
      <c r="AF403" s="702" t="str">
        <f t="shared" si="281"/>
        <v>.</v>
      </c>
      <c r="AG403" s="986" t="str">
        <f t="shared" si="282"/>
        <v>.</v>
      </c>
      <c r="AH403" s="3"/>
      <c r="AI403" s="699" t="str">
        <f>IF(S403=".",".",SUM($S403:S403))</f>
        <v>.</v>
      </c>
      <c r="AJ403" s="700" t="str">
        <f>IF(T403=".",".",SUM($S403:T403))</f>
        <v>.</v>
      </c>
      <c r="AK403" s="700" t="str">
        <f>IF(U403=".",".",SUM($S403:U403))</f>
        <v>.</v>
      </c>
      <c r="AL403" s="700" t="str">
        <f>IF(V403=".",".",SUM($S403:V403))</f>
        <v>.</v>
      </c>
      <c r="AM403" s="700" t="str">
        <f>IF(W403=".",".",SUM($S403:W403))</f>
        <v>.</v>
      </c>
      <c r="AN403" s="700" t="str">
        <f>IF(X403=".",".",SUM($S403:X403))</f>
        <v>.</v>
      </c>
      <c r="AO403" s="701" t="str">
        <f>IF(Y403=".",".",SUM($S403:Y403))</f>
        <v>.</v>
      </c>
      <c r="AP403" s="3"/>
      <c r="AQ403" s="985" t="str">
        <f t="shared" si="283"/>
        <v>.</v>
      </c>
      <c r="AR403" s="702" t="str">
        <f t="shared" si="284"/>
        <v>.</v>
      </c>
      <c r="AS403" s="702" t="str">
        <f t="shared" si="285"/>
        <v>.</v>
      </c>
      <c r="AT403" s="702" t="str">
        <f t="shared" si="286"/>
        <v>.</v>
      </c>
      <c r="AU403" s="702" t="str">
        <f t="shared" si="287"/>
        <v>.</v>
      </c>
      <c r="AV403" s="702" t="str">
        <f t="shared" si="288"/>
        <v>.</v>
      </c>
      <c r="AW403" s="986" t="str">
        <f t="shared" si="289"/>
        <v>.</v>
      </c>
      <c r="AX403" s="214"/>
      <c r="AY403" s="3"/>
      <c r="AZ403" s="3"/>
      <c r="BA403" s="3"/>
      <c r="BB403" s="3"/>
    </row>
    <row r="404" spans="1:54" ht="12" x14ac:dyDescent="0.25">
      <c r="A404" s="3"/>
      <c r="B404" s="212"/>
      <c r="C404" s="720"/>
      <c r="D404" s="717"/>
      <c r="E404" s="581"/>
      <c r="F404" s="581"/>
      <c r="G404" s="163"/>
      <c r="H404" s="163"/>
      <c r="I404" s="163"/>
      <c r="J404" s="163"/>
      <c r="K404" s="163"/>
      <c r="L404" s="163"/>
      <c r="M404" s="220"/>
      <c r="N404" s="3"/>
      <c r="O404" s="3"/>
      <c r="P404" s="3"/>
      <c r="Q404" s="3"/>
      <c r="R404" s="212"/>
      <c r="S404" s="703" t="str">
        <f t="shared" si="269"/>
        <v>.</v>
      </c>
      <c r="T404" s="704" t="str">
        <f t="shared" si="270"/>
        <v>.</v>
      </c>
      <c r="U404" s="704" t="str">
        <f t="shared" si="271"/>
        <v>.</v>
      </c>
      <c r="V404" s="704" t="str">
        <f t="shared" si="272"/>
        <v>.</v>
      </c>
      <c r="W404" s="704" t="str">
        <f t="shared" si="273"/>
        <v>.</v>
      </c>
      <c r="X404" s="704" t="str">
        <f t="shared" si="274"/>
        <v>.</v>
      </c>
      <c r="Y404" s="705" t="str">
        <f t="shared" si="275"/>
        <v>.</v>
      </c>
      <c r="Z404" s="3"/>
      <c r="AA404" s="987" t="str">
        <f t="shared" si="276"/>
        <v>.</v>
      </c>
      <c r="AB404" s="988" t="str">
        <f t="shared" si="277"/>
        <v>.</v>
      </c>
      <c r="AC404" s="988" t="str">
        <f t="shared" si="278"/>
        <v>.</v>
      </c>
      <c r="AD404" s="988" t="str">
        <f t="shared" si="279"/>
        <v>.</v>
      </c>
      <c r="AE404" s="988" t="str">
        <f t="shared" si="280"/>
        <v>.</v>
      </c>
      <c r="AF404" s="988" t="str">
        <f t="shared" si="281"/>
        <v>.</v>
      </c>
      <c r="AG404" s="989" t="str">
        <f t="shared" si="282"/>
        <v>.</v>
      </c>
      <c r="AH404" s="3"/>
      <c r="AI404" s="703" t="str">
        <f>IF(S404=".",".",SUM($S404:S404))</f>
        <v>.</v>
      </c>
      <c r="AJ404" s="704" t="str">
        <f>IF(T404=".",".",SUM($S404:T404))</f>
        <v>.</v>
      </c>
      <c r="AK404" s="704" t="str">
        <f>IF(U404=".",".",SUM($S404:U404))</f>
        <v>.</v>
      </c>
      <c r="AL404" s="704" t="str">
        <f>IF(V404=".",".",SUM($S404:V404))</f>
        <v>.</v>
      </c>
      <c r="AM404" s="704" t="str">
        <f>IF(W404=".",".",SUM($S404:W404))</f>
        <v>.</v>
      </c>
      <c r="AN404" s="704" t="str">
        <f>IF(X404=".",".",SUM($S404:X404))</f>
        <v>.</v>
      </c>
      <c r="AO404" s="705" t="str">
        <f>IF(Y404=".",".",SUM($S404:Y404))</f>
        <v>.</v>
      </c>
      <c r="AP404" s="3"/>
      <c r="AQ404" s="987" t="str">
        <f t="shared" si="283"/>
        <v>.</v>
      </c>
      <c r="AR404" s="988" t="str">
        <f t="shared" si="284"/>
        <v>.</v>
      </c>
      <c r="AS404" s="988" t="str">
        <f t="shared" si="285"/>
        <v>.</v>
      </c>
      <c r="AT404" s="988" t="str">
        <f t="shared" si="286"/>
        <v>.</v>
      </c>
      <c r="AU404" s="988" t="str">
        <f t="shared" si="287"/>
        <v>.</v>
      </c>
      <c r="AV404" s="988" t="str">
        <f t="shared" si="288"/>
        <v>.</v>
      </c>
      <c r="AW404" s="989" t="str">
        <f t="shared" si="289"/>
        <v>.</v>
      </c>
      <c r="AX404" s="214"/>
      <c r="AY404" s="3"/>
      <c r="AZ404" s="3"/>
      <c r="BA404" s="3"/>
      <c r="BB404" s="3"/>
    </row>
    <row r="405" spans="1:54" ht="12" x14ac:dyDescent="0.25">
      <c r="A405" s="3"/>
      <c r="B405" s="212"/>
      <c r="C405" s="3"/>
      <c r="D405" s="3"/>
      <c r="E405" s="77"/>
      <c r="F405" s="77"/>
      <c r="G405" s="3"/>
      <c r="H405" s="3"/>
      <c r="I405" s="3"/>
      <c r="J405" s="3"/>
      <c r="K405" s="3"/>
      <c r="L405" s="3"/>
      <c r="M405" s="220"/>
      <c r="N405" s="3"/>
      <c r="O405" s="3"/>
      <c r="P405" s="3"/>
      <c r="Q405" s="3"/>
      <c r="R405" s="212"/>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214"/>
      <c r="AY405" s="3"/>
      <c r="AZ405" s="3"/>
      <c r="BA405" s="3"/>
      <c r="BB405" s="3"/>
    </row>
    <row r="406" spans="1:54" ht="12" x14ac:dyDescent="0.25">
      <c r="A406" s="3"/>
      <c r="B406" s="212"/>
      <c r="C406" s="3"/>
      <c r="D406" s="3"/>
      <c r="E406" s="77"/>
      <c r="F406" s="77"/>
      <c r="G406" s="3"/>
      <c r="H406" s="3"/>
      <c r="I406" s="3"/>
      <c r="J406" s="3"/>
      <c r="K406" s="3"/>
      <c r="L406" s="3"/>
      <c r="M406" s="220"/>
      <c r="N406" s="3"/>
      <c r="O406" s="3"/>
      <c r="P406" s="3"/>
      <c r="Q406" s="3"/>
      <c r="R406" s="212"/>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214"/>
      <c r="AY406" s="3"/>
      <c r="AZ406" s="3"/>
      <c r="BA406" s="3"/>
      <c r="BB406" s="3"/>
    </row>
    <row r="407" spans="1:54" ht="12" x14ac:dyDescent="0.25">
      <c r="A407" s="3"/>
      <c r="B407" s="212"/>
      <c r="C407" s="2"/>
      <c r="D407" s="3"/>
      <c r="E407" s="77"/>
      <c r="F407" s="77"/>
      <c r="G407" s="3"/>
      <c r="H407" s="3"/>
      <c r="I407" s="3"/>
      <c r="J407" s="3"/>
      <c r="K407" s="3"/>
      <c r="L407" s="3"/>
      <c r="M407" s="220"/>
      <c r="N407" s="3"/>
      <c r="O407" s="3"/>
      <c r="P407" s="3"/>
      <c r="Q407" s="3"/>
      <c r="R407" s="212"/>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214"/>
      <c r="AY407" s="3"/>
      <c r="AZ407" s="3"/>
      <c r="BA407" s="3"/>
      <c r="BB407" s="3"/>
    </row>
    <row r="408" spans="1:54" ht="12" x14ac:dyDescent="0.25">
      <c r="A408" s="3"/>
      <c r="B408" s="212"/>
      <c r="C408" s="3"/>
      <c r="D408" s="3"/>
      <c r="E408" s="77"/>
      <c r="F408" s="77"/>
      <c r="G408" s="3"/>
      <c r="H408" s="3"/>
      <c r="I408" s="3"/>
      <c r="J408" s="3"/>
      <c r="K408" s="3"/>
      <c r="L408" s="3"/>
      <c r="M408" s="220"/>
      <c r="N408" s="3"/>
      <c r="O408" s="3"/>
      <c r="P408" s="3"/>
      <c r="Q408" s="3"/>
      <c r="R408" s="212"/>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214"/>
      <c r="AY408" s="3"/>
      <c r="AZ408" s="3"/>
      <c r="BA408" s="3"/>
      <c r="BB408" s="3"/>
    </row>
    <row r="409" spans="1:54" ht="13.8" x14ac:dyDescent="0.25">
      <c r="A409" s="3"/>
      <c r="B409" s="212"/>
      <c r="C409" s="1246" t="s">
        <v>836</v>
      </c>
      <c r="D409" s="1064"/>
      <c r="E409" s="1177"/>
      <c r="F409" s="1183" t="str">
        <f>$H$21</f>
        <v>$ nominal per year</v>
      </c>
      <c r="G409" s="1179"/>
      <c r="H409" s="1179"/>
      <c r="I409" s="1179"/>
      <c r="J409" s="1179"/>
      <c r="K409" s="1179"/>
      <c r="L409" s="1180"/>
      <c r="M409" s="220"/>
      <c r="N409" s="3"/>
      <c r="O409" s="3"/>
      <c r="P409" s="3"/>
      <c r="Q409" s="3"/>
      <c r="R409" s="212"/>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214"/>
      <c r="AY409" s="3"/>
      <c r="AZ409" s="3"/>
      <c r="BA409" s="3"/>
      <c r="BB409" s="3"/>
    </row>
    <row r="410" spans="1:54" ht="12" x14ac:dyDescent="0.25">
      <c r="A410" s="3"/>
      <c r="B410" s="212"/>
      <c r="C410" s="183" t="s">
        <v>824</v>
      </c>
      <c r="D410" s="184"/>
      <c r="E410" s="560"/>
      <c r="F410" s="561"/>
      <c r="G410" s="185"/>
      <c r="H410" s="185"/>
      <c r="I410" s="185"/>
      <c r="J410" s="185"/>
      <c r="K410" s="185"/>
      <c r="L410" s="186"/>
      <c r="M410" s="220"/>
      <c r="N410" s="3"/>
      <c r="O410" s="3"/>
      <c r="P410" s="3"/>
      <c r="Q410" s="3"/>
      <c r="R410" s="212"/>
      <c r="S410" s="620" t="str">
        <f>S$21</f>
        <v>Annual increases (nominal $ per year)</v>
      </c>
      <c r="T410" s="3"/>
      <c r="U410" s="3"/>
      <c r="V410" s="3"/>
      <c r="W410" s="3"/>
      <c r="X410" s="3"/>
      <c r="Y410" s="3"/>
      <c r="Z410" s="3"/>
      <c r="AA410" s="620" t="str">
        <f>AA$21</f>
        <v>Annual increases (%)</v>
      </c>
      <c r="AB410" s="3"/>
      <c r="AC410" s="3"/>
      <c r="AD410" s="3"/>
      <c r="AE410" s="3"/>
      <c r="AF410" s="3"/>
      <c r="AG410" s="3"/>
      <c r="AH410" s="3"/>
      <c r="AI410" s="620" t="str">
        <f>AI$21</f>
        <v>Cumulative increases (nominal $ per year)</v>
      </c>
      <c r="AJ410" s="3"/>
      <c r="AK410" s="3"/>
      <c r="AL410" s="3"/>
      <c r="AM410" s="3"/>
      <c r="AN410" s="3"/>
      <c r="AO410" s="3"/>
      <c r="AP410" s="3"/>
      <c r="AQ410" s="620" t="str">
        <f>AQ$21</f>
        <v>Cumulative increases (%)</v>
      </c>
      <c r="AR410" s="3"/>
      <c r="AS410" s="3"/>
      <c r="AT410" s="3"/>
      <c r="AU410" s="3"/>
      <c r="AV410" s="3"/>
      <c r="AW410" s="3"/>
      <c r="AX410" s="214"/>
      <c r="AY410" s="3"/>
      <c r="AZ410" s="3"/>
      <c r="BA410" s="3"/>
      <c r="BB410" s="3"/>
    </row>
    <row r="411" spans="1:54" ht="39" customHeight="1" x14ac:dyDescent="0.25">
      <c r="A411" s="3"/>
      <c r="B411" s="212"/>
      <c r="C411" s="1205" t="s">
        <v>825</v>
      </c>
      <c r="D411" s="1181"/>
      <c r="E411" s="178" t="s">
        <v>826</v>
      </c>
      <c r="F411" s="178" t="s">
        <v>827</v>
      </c>
      <c r="G411" s="178" t="s">
        <v>828</v>
      </c>
      <c r="H411" s="178" t="s">
        <v>829</v>
      </c>
      <c r="I411" s="178" t="s">
        <v>830</v>
      </c>
      <c r="J411" s="178" t="s">
        <v>831</v>
      </c>
      <c r="K411" s="178" t="s">
        <v>832</v>
      </c>
      <c r="L411" s="178" t="s">
        <v>833</v>
      </c>
      <c r="M411" s="220"/>
      <c r="N411" s="3"/>
      <c r="O411" s="3"/>
      <c r="P411" s="3"/>
      <c r="Q411" s="3"/>
      <c r="R411" s="212"/>
      <c r="S411" s="1234" t="str">
        <f>C409</f>
        <v>Sewerage Services - Annual Charge</v>
      </c>
      <c r="T411" s="928"/>
      <c r="U411" s="928"/>
      <c r="V411" s="928"/>
      <c r="W411" s="928"/>
      <c r="X411" s="928"/>
      <c r="Y411" s="929"/>
      <c r="Z411" s="3"/>
      <c r="AA411" s="1234" t="str">
        <f>$S411</f>
        <v>Sewerage Services - Annual Charge</v>
      </c>
      <c r="AB411" s="928"/>
      <c r="AC411" s="928"/>
      <c r="AD411" s="928"/>
      <c r="AE411" s="928"/>
      <c r="AF411" s="928"/>
      <c r="AG411" s="929"/>
      <c r="AH411" s="3"/>
      <c r="AI411" s="1234" t="str">
        <f>$S411</f>
        <v>Sewerage Services - Annual Charge</v>
      </c>
      <c r="AJ411" s="928"/>
      <c r="AK411" s="928"/>
      <c r="AL411" s="928"/>
      <c r="AM411" s="928"/>
      <c r="AN411" s="928"/>
      <c r="AO411" s="929"/>
      <c r="AP411" s="3"/>
      <c r="AQ411" s="1234" t="str">
        <f>$S411</f>
        <v>Sewerage Services - Annual Charge</v>
      </c>
      <c r="AR411" s="928"/>
      <c r="AS411" s="928"/>
      <c r="AT411" s="928"/>
      <c r="AU411" s="928"/>
      <c r="AV411" s="928"/>
      <c r="AW411" s="929"/>
      <c r="AX411" s="214"/>
      <c r="AY411" s="3"/>
      <c r="AZ411" s="3"/>
      <c r="BA411" s="3"/>
      <c r="BB411" s="3"/>
    </row>
    <row r="412" spans="1:54" ht="12" x14ac:dyDescent="0.25">
      <c r="A412" s="3"/>
      <c r="B412" s="212"/>
      <c r="C412" s="97"/>
      <c r="D412" s="98"/>
      <c r="E412" s="146" t="str">
        <f>E384</f>
        <v>2022-23</v>
      </c>
      <c r="F412" s="146" t="str">
        <f t="shared" ref="F412:L412" si="290">F384</f>
        <v>2023-24</v>
      </c>
      <c r="G412" s="146" t="str">
        <f t="shared" si="290"/>
        <v>2024-25</v>
      </c>
      <c r="H412" s="146" t="str">
        <f t="shared" si="290"/>
        <v>2025-26</v>
      </c>
      <c r="I412" s="146" t="str">
        <f t="shared" si="290"/>
        <v>2026-27</v>
      </c>
      <c r="J412" s="146" t="str">
        <f t="shared" si="290"/>
        <v>2027-28</v>
      </c>
      <c r="K412" s="146" t="str">
        <f t="shared" si="290"/>
        <v>2028-29</v>
      </c>
      <c r="L412" s="146" t="str">
        <f t="shared" si="290"/>
        <v>2029-30</v>
      </c>
      <c r="M412" s="220"/>
      <c r="N412" s="3"/>
      <c r="O412" s="3"/>
      <c r="P412" s="3"/>
      <c r="Q412" s="3"/>
      <c r="R412" s="212"/>
      <c r="S412" s="696" t="str">
        <f>S$23</f>
        <v>Year 1</v>
      </c>
      <c r="T412" s="697" t="str">
        <f t="shared" ref="T412:Y412" si="291">T$23</f>
        <v>Year 2</v>
      </c>
      <c r="U412" s="697" t="str">
        <f t="shared" si="291"/>
        <v>Year 3</v>
      </c>
      <c r="V412" s="697" t="str">
        <f t="shared" si="291"/>
        <v>Year 4</v>
      </c>
      <c r="W412" s="697" t="str">
        <f t="shared" si="291"/>
        <v>Year 5</v>
      </c>
      <c r="X412" s="697" t="str">
        <f t="shared" si="291"/>
        <v>Year 6</v>
      </c>
      <c r="Y412" s="698" t="str">
        <f t="shared" si="291"/>
        <v>Year 7</v>
      </c>
      <c r="Z412" s="80"/>
      <c r="AA412" s="696" t="str">
        <f t="shared" ref="AA412:AG412" si="292">AA$23</f>
        <v>Year 1</v>
      </c>
      <c r="AB412" s="697" t="str">
        <f t="shared" si="292"/>
        <v>Year 2</v>
      </c>
      <c r="AC412" s="697" t="str">
        <f t="shared" si="292"/>
        <v>Year 3</v>
      </c>
      <c r="AD412" s="697" t="str">
        <f t="shared" si="292"/>
        <v>Year 4</v>
      </c>
      <c r="AE412" s="697" t="str">
        <f t="shared" si="292"/>
        <v>Year 5</v>
      </c>
      <c r="AF412" s="697" t="str">
        <f t="shared" si="292"/>
        <v>Year 6</v>
      </c>
      <c r="AG412" s="698" t="str">
        <f t="shared" si="292"/>
        <v>Year 7</v>
      </c>
      <c r="AH412" s="80"/>
      <c r="AI412" s="696" t="str">
        <f>AI$23</f>
        <v>Year 1</v>
      </c>
      <c r="AJ412" s="697" t="str">
        <f t="shared" ref="AJ412:AO412" si="293">AJ$23</f>
        <v>Year 2</v>
      </c>
      <c r="AK412" s="697" t="str">
        <f t="shared" si="293"/>
        <v>Year 3</v>
      </c>
      <c r="AL412" s="697" t="str">
        <f t="shared" si="293"/>
        <v>Year 4</v>
      </c>
      <c r="AM412" s="697" t="str">
        <f t="shared" si="293"/>
        <v>Year 5</v>
      </c>
      <c r="AN412" s="697" t="str">
        <f t="shared" si="293"/>
        <v>Year 6</v>
      </c>
      <c r="AO412" s="698" t="str">
        <f t="shared" si="293"/>
        <v>Year 7</v>
      </c>
      <c r="AP412" s="80"/>
      <c r="AQ412" s="696" t="str">
        <f>AQ$23</f>
        <v>Year 1</v>
      </c>
      <c r="AR412" s="697" t="str">
        <f t="shared" ref="AR412:AW412" si="294">AR$23</f>
        <v>Year 2</v>
      </c>
      <c r="AS412" s="697" t="str">
        <f t="shared" si="294"/>
        <v>Year 3</v>
      </c>
      <c r="AT412" s="697" t="str">
        <f t="shared" si="294"/>
        <v>Year 4</v>
      </c>
      <c r="AU412" s="697" t="str">
        <f t="shared" si="294"/>
        <v>Year 5</v>
      </c>
      <c r="AV412" s="697" t="str">
        <f t="shared" si="294"/>
        <v>Year 6</v>
      </c>
      <c r="AW412" s="698" t="str">
        <f t="shared" si="294"/>
        <v>Year 7</v>
      </c>
      <c r="AX412" s="214"/>
      <c r="AY412" s="3"/>
      <c r="AZ412" s="3"/>
      <c r="BA412" s="3"/>
      <c r="BB412" s="3"/>
    </row>
    <row r="413" spans="1:54" ht="12" x14ac:dyDescent="0.25">
      <c r="A413" s="3"/>
      <c r="B413" s="212"/>
      <c r="C413" s="1247"/>
      <c r="D413" s="1182"/>
      <c r="E413" s="1237"/>
      <c r="F413" s="1237"/>
      <c r="G413" s="1214"/>
      <c r="H413" s="1214"/>
      <c r="I413" s="1214"/>
      <c r="J413" s="1214"/>
      <c r="K413" s="1214"/>
      <c r="L413" s="1214"/>
      <c r="M413" s="220"/>
      <c r="N413" s="3"/>
      <c r="O413" s="3"/>
      <c r="P413" s="3"/>
      <c r="Q413" s="3"/>
      <c r="R413" s="212"/>
      <c r="S413" s="699" t="str">
        <f t="shared" ref="S413:S432" si="295">IF(F413="",".",F413-E413)</f>
        <v>.</v>
      </c>
      <c r="T413" s="700" t="str">
        <f t="shared" ref="T413:T432" si="296">IF(G413="",".",G413-F413)</f>
        <v>.</v>
      </c>
      <c r="U413" s="700" t="str">
        <f t="shared" ref="U413:U432" si="297">IF(H413="",".",H413-G413)</f>
        <v>.</v>
      </c>
      <c r="V413" s="700" t="str">
        <f t="shared" ref="V413:V432" si="298">IF(I413="",".",I413-H413)</f>
        <v>.</v>
      </c>
      <c r="W413" s="700" t="str">
        <f t="shared" ref="W413:W432" si="299">IF(J413="",".",J413-I413)</f>
        <v>.</v>
      </c>
      <c r="X413" s="700" t="str">
        <f t="shared" ref="X413:X432" si="300">IF(K413="",".",K413-J413)</f>
        <v>.</v>
      </c>
      <c r="Y413" s="701" t="str">
        <f t="shared" ref="Y413:Y432" si="301">IF(L413="",".",L413-K413)</f>
        <v>.</v>
      </c>
      <c r="Z413" s="3"/>
      <c r="AA413" s="985" t="str">
        <f t="shared" ref="AA413:AA432" si="302">IFERROR(F413/E413-1,".")</f>
        <v>.</v>
      </c>
      <c r="AB413" s="702" t="str">
        <f t="shared" ref="AB413:AB432" si="303">IFERROR(G413/F413-1,".")</f>
        <v>.</v>
      </c>
      <c r="AC413" s="702" t="str">
        <f t="shared" ref="AC413:AC432" si="304">IFERROR(H413/G413-1,".")</f>
        <v>.</v>
      </c>
      <c r="AD413" s="702" t="str">
        <f t="shared" ref="AD413:AD432" si="305">IFERROR(I413/H413-1,".")</f>
        <v>.</v>
      </c>
      <c r="AE413" s="702" t="str">
        <f t="shared" ref="AE413:AE432" si="306">IFERROR(J413/I413-1,".")</f>
        <v>.</v>
      </c>
      <c r="AF413" s="702" t="str">
        <f t="shared" ref="AF413:AF432" si="307">IFERROR(K413/J413-1,".")</f>
        <v>.</v>
      </c>
      <c r="AG413" s="986" t="str">
        <f t="shared" ref="AG413:AG432" si="308">IFERROR(L413/K413-1,".")</f>
        <v>.</v>
      </c>
      <c r="AH413" s="3"/>
      <c r="AI413" s="699" t="str">
        <f>IF(S413=".",".",SUM($S413:S413))</f>
        <v>.</v>
      </c>
      <c r="AJ413" s="700" t="str">
        <f>IF(T413=".",".",SUM($S413:T413))</f>
        <v>.</v>
      </c>
      <c r="AK413" s="700" t="str">
        <f>IF(U413=".",".",SUM($S413:U413))</f>
        <v>.</v>
      </c>
      <c r="AL413" s="700" t="str">
        <f>IF(V413=".",".",SUM($S413:V413))</f>
        <v>.</v>
      </c>
      <c r="AM413" s="700" t="str">
        <f>IF(W413=".",".",SUM($S413:W413))</f>
        <v>.</v>
      </c>
      <c r="AN413" s="700" t="str">
        <f>IF(X413=".",".",SUM($S413:X413))</f>
        <v>.</v>
      </c>
      <c r="AO413" s="701" t="str">
        <f>IF(Y413=".",".",SUM($S413:Y413))</f>
        <v>.</v>
      </c>
      <c r="AP413" s="3"/>
      <c r="AQ413" s="985" t="str">
        <f t="shared" ref="AQ413:AQ432" si="309">IFERROR(F413/$E413-1,".")</f>
        <v>.</v>
      </c>
      <c r="AR413" s="702" t="str">
        <f t="shared" ref="AR413:AR432" si="310">IFERROR(G413/$E413-1,".")</f>
        <v>.</v>
      </c>
      <c r="AS413" s="702" t="str">
        <f t="shared" ref="AS413:AS432" si="311">IFERROR(H413/$E413-1,".")</f>
        <v>.</v>
      </c>
      <c r="AT413" s="702" t="str">
        <f t="shared" ref="AT413:AT432" si="312">IFERROR(I413/$E413-1,".")</f>
        <v>.</v>
      </c>
      <c r="AU413" s="702" t="str">
        <f t="shared" ref="AU413:AU432" si="313">IFERROR(J413/$E413-1,".")</f>
        <v>.</v>
      </c>
      <c r="AV413" s="702" t="str">
        <f t="shared" ref="AV413:AV432" si="314">IFERROR(K413/$E413-1,".")</f>
        <v>.</v>
      </c>
      <c r="AW413" s="986" t="str">
        <f t="shared" ref="AW413:AW432" si="315">IFERROR(L413/$E413-1,".")</f>
        <v>.</v>
      </c>
      <c r="AX413" s="214"/>
      <c r="AY413" s="3"/>
      <c r="AZ413" s="3"/>
      <c r="BA413" s="3"/>
      <c r="BB413" s="3"/>
    </row>
    <row r="414" spans="1:54" ht="12" x14ac:dyDescent="0.25">
      <c r="A414" s="3"/>
      <c r="B414" s="212"/>
      <c r="C414" s="718"/>
      <c r="D414" s="715"/>
      <c r="E414" s="579"/>
      <c r="F414" s="579"/>
      <c r="G414" s="578"/>
      <c r="H414" s="578"/>
      <c r="I414" s="578"/>
      <c r="J414" s="578"/>
      <c r="K414" s="578"/>
      <c r="L414" s="578"/>
      <c r="M414" s="220"/>
      <c r="N414" s="3"/>
      <c r="O414" s="3"/>
      <c r="P414" s="3"/>
      <c r="Q414" s="3"/>
      <c r="R414" s="212"/>
      <c r="S414" s="699" t="str">
        <f t="shared" si="295"/>
        <v>.</v>
      </c>
      <c r="T414" s="700" t="str">
        <f t="shared" si="296"/>
        <v>.</v>
      </c>
      <c r="U414" s="700" t="str">
        <f t="shared" si="297"/>
        <v>.</v>
      </c>
      <c r="V414" s="700" t="str">
        <f t="shared" si="298"/>
        <v>.</v>
      </c>
      <c r="W414" s="700" t="str">
        <f t="shared" si="299"/>
        <v>.</v>
      </c>
      <c r="X414" s="700" t="str">
        <f t="shared" si="300"/>
        <v>.</v>
      </c>
      <c r="Y414" s="701" t="str">
        <f t="shared" si="301"/>
        <v>.</v>
      </c>
      <c r="Z414" s="3"/>
      <c r="AA414" s="985" t="str">
        <f t="shared" si="302"/>
        <v>.</v>
      </c>
      <c r="AB414" s="702" t="str">
        <f t="shared" si="303"/>
        <v>.</v>
      </c>
      <c r="AC414" s="702" t="str">
        <f t="shared" si="304"/>
        <v>.</v>
      </c>
      <c r="AD414" s="702" t="str">
        <f t="shared" si="305"/>
        <v>.</v>
      </c>
      <c r="AE414" s="702" t="str">
        <f t="shared" si="306"/>
        <v>.</v>
      </c>
      <c r="AF414" s="702" t="str">
        <f t="shared" si="307"/>
        <v>.</v>
      </c>
      <c r="AG414" s="986" t="str">
        <f t="shared" si="308"/>
        <v>.</v>
      </c>
      <c r="AH414" s="3"/>
      <c r="AI414" s="699" t="str">
        <f>IF(S414=".",".",SUM($S414:S414))</f>
        <v>.</v>
      </c>
      <c r="AJ414" s="700" t="str">
        <f>IF(T414=".",".",SUM($S414:T414))</f>
        <v>.</v>
      </c>
      <c r="AK414" s="700" t="str">
        <f>IF(U414=".",".",SUM($S414:U414))</f>
        <v>.</v>
      </c>
      <c r="AL414" s="700" t="str">
        <f>IF(V414=".",".",SUM($S414:V414))</f>
        <v>.</v>
      </c>
      <c r="AM414" s="700" t="str">
        <f>IF(W414=".",".",SUM($S414:W414))</f>
        <v>.</v>
      </c>
      <c r="AN414" s="700" t="str">
        <f>IF(X414=".",".",SUM($S414:X414))</f>
        <v>.</v>
      </c>
      <c r="AO414" s="701" t="str">
        <f>IF(Y414=".",".",SUM($S414:Y414))</f>
        <v>.</v>
      </c>
      <c r="AP414" s="3"/>
      <c r="AQ414" s="985" t="str">
        <f t="shared" si="309"/>
        <v>.</v>
      </c>
      <c r="AR414" s="702" t="str">
        <f t="shared" si="310"/>
        <v>.</v>
      </c>
      <c r="AS414" s="702" t="str">
        <f t="shared" si="311"/>
        <v>.</v>
      </c>
      <c r="AT414" s="702" t="str">
        <f t="shared" si="312"/>
        <v>.</v>
      </c>
      <c r="AU414" s="702" t="str">
        <f t="shared" si="313"/>
        <v>.</v>
      </c>
      <c r="AV414" s="702" t="str">
        <f t="shared" si="314"/>
        <v>.</v>
      </c>
      <c r="AW414" s="986" t="str">
        <f t="shared" si="315"/>
        <v>.</v>
      </c>
      <c r="AX414" s="214"/>
      <c r="AY414" s="3"/>
      <c r="AZ414" s="3"/>
      <c r="BA414" s="3"/>
      <c r="BB414" s="3"/>
    </row>
    <row r="415" spans="1:54" ht="12" x14ac:dyDescent="0.25">
      <c r="A415" s="3"/>
      <c r="B415" s="212"/>
      <c r="C415" s="718"/>
      <c r="D415" s="715"/>
      <c r="E415" s="579"/>
      <c r="F415" s="579"/>
      <c r="G415" s="578"/>
      <c r="H415" s="578"/>
      <c r="I415" s="578"/>
      <c r="J415" s="578"/>
      <c r="K415" s="578"/>
      <c r="L415" s="578"/>
      <c r="M415" s="220"/>
      <c r="N415" s="3"/>
      <c r="O415" s="3"/>
      <c r="P415" s="3"/>
      <c r="Q415" s="3"/>
      <c r="R415" s="212"/>
      <c r="S415" s="699" t="str">
        <f t="shared" si="295"/>
        <v>.</v>
      </c>
      <c r="T415" s="700" t="str">
        <f t="shared" si="296"/>
        <v>.</v>
      </c>
      <c r="U415" s="700" t="str">
        <f t="shared" si="297"/>
        <v>.</v>
      </c>
      <c r="V415" s="700" t="str">
        <f t="shared" si="298"/>
        <v>.</v>
      </c>
      <c r="W415" s="700" t="str">
        <f t="shared" si="299"/>
        <v>.</v>
      </c>
      <c r="X415" s="700" t="str">
        <f t="shared" si="300"/>
        <v>.</v>
      </c>
      <c r="Y415" s="701" t="str">
        <f t="shared" si="301"/>
        <v>.</v>
      </c>
      <c r="Z415" s="3"/>
      <c r="AA415" s="985" t="str">
        <f t="shared" si="302"/>
        <v>.</v>
      </c>
      <c r="AB415" s="702" t="str">
        <f t="shared" si="303"/>
        <v>.</v>
      </c>
      <c r="AC415" s="702" t="str">
        <f t="shared" si="304"/>
        <v>.</v>
      </c>
      <c r="AD415" s="702" t="str">
        <f t="shared" si="305"/>
        <v>.</v>
      </c>
      <c r="AE415" s="702" t="str">
        <f t="shared" si="306"/>
        <v>.</v>
      </c>
      <c r="AF415" s="702" t="str">
        <f t="shared" si="307"/>
        <v>.</v>
      </c>
      <c r="AG415" s="986" t="str">
        <f t="shared" si="308"/>
        <v>.</v>
      </c>
      <c r="AH415" s="3"/>
      <c r="AI415" s="699" t="str">
        <f>IF(S415=".",".",SUM($S415:S415))</f>
        <v>.</v>
      </c>
      <c r="AJ415" s="700" t="str">
        <f>IF(T415=".",".",SUM($S415:T415))</f>
        <v>.</v>
      </c>
      <c r="AK415" s="700" t="str">
        <f>IF(U415=".",".",SUM($S415:U415))</f>
        <v>.</v>
      </c>
      <c r="AL415" s="700" t="str">
        <f>IF(V415=".",".",SUM($S415:V415))</f>
        <v>.</v>
      </c>
      <c r="AM415" s="700" t="str">
        <f>IF(W415=".",".",SUM($S415:W415))</f>
        <v>.</v>
      </c>
      <c r="AN415" s="700" t="str">
        <f>IF(X415=".",".",SUM($S415:X415))</f>
        <v>.</v>
      </c>
      <c r="AO415" s="701" t="str">
        <f>IF(Y415=".",".",SUM($S415:Y415))</f>
        <v>.</v>
      </c>
      <c r="AP415" s="3"/>
      <c r="AQ415" s="985" t="str">
        <f t="shared" si="309"/>
        <v>.</v>
      </c>
      <c r="AR415" s="702" t="str">
        <f t="shared" si="310"/>
        <v>.</v>
      </c>
      <c r="AS415" s="702" t="str">
        <f t="shared" si="311"/>
        <v>.</v>
      </c>
      <c r="AT415" s="702" t="str">
        <f t="shared" si="312"/>
        <v>.</v>
      </c>
      <c r="AU415" s="702" t="str">
        <f t="shared" si="313"/>
        <v>.</v>
      </c>
      <c r="AV415" s="702" t="str">
        <f t="shared" si="314"/>
        <v>.</v>
      </c>
      <c r="AW415" s="986" t="str">
        <f t="shared" si="315"/>
        <v>.</v>
      </c>
      <c r="AX415" s="214"/>
      <c r="AY415" s="3"/>
      <c r="AZ415" s="3"/>
      <c r="BA415" s="3"/>
      <c r="BB415" s="3"/>
    </row>
    <row r="416" spans="1:54" ht="12" x14ac:dyDescent="0.25">
      <c r="A416" s="3"/>
      <c r="B416" s="212"/>
      <c r="C416" s="718"/>
      <c r="D416" s="715"/>
      <c r="E416" s="579"/>
      <c r="F416" s="579"/>
      <c r="G416" s="578"/>
      <c r="H416" s="578"/>
      <c r="I416" s="578"/>
      <c r="J416" s="578"/>
      <c r="K416" s="578"/>
      <c r="L416" s="578"/>
      <c r="M416" s="220"/>
      <c r="N416" s="3"/>
      <c r="O416" s="3"/>
      <c r="P416" s="3"/>
      <c r="Q416" s="3"/>
      <c r="R416" s="212"/>
      <c r="S416" s="699" t="str">
        <f t="shared" si="295"/>
        <v>.</v>
      </c>
      <c r="T416" s="700" t="str">
        <f t="shared" si="296"/>
        <v>.</v>
      </c>
      <c r="U416" s="700" t="str">
        <f t="shared" si="297"/>
        <v>.</v>
      </c>
      <c r="V416" s="700" t="str">
        <f t="shared" si="298"/>
        <v>.</v>
      </c>
      <c r="W416" s="700" t="str">
        <f t="shared" si="299"/>
        <v>.</v>
      </c>
      <c r="X416" s="700" t="str">
        <f t="shared" si="300"/>
        <v>.</v>
      </c>
      <c r="Y416" s="701" t="str">
        <f t="shared" si="301"/>
        <v>.</v>
      </c>
      <c r="Z416" s="3"/>
      <c r="AA416" s="985" t="str">
        <f t="shared" si="302"/>
        <v>.</v>
      </c>
      <c r="AB416" s="702" t="str">
        <f t="shared" si="303"/>
        <v>.</v>
      </c>
      <c r="AC416" s="702" t="str">
        <f t="shared" si="304"/>
        <v>.</v>
      </c>
      <c r="AD416" s="702" t="str">
        <f t="shared" si="305"/>
        <v>.</v>
      </c>
      <c r="AE416" s="702" t="str">
        <f t="shared" si="306"/>
        <v>.</v>
      </c>
      <c r="AF416" s="702" t="str">
        <f t="shared" si="307"/>
        <v>.</v>
      </c>
      <c r="AG416" s="986" t="str">
        <f t="shared" si="308"/>
        <v>.</v>
      </c>
      <c r="AH416" s="3"/>
      <c r="AI416" s="699" t="str">
        <f>IF(S416=".",".",SUM($S416:S416))</f>
        <v>.</v>
      </c>
      <c r="AJ416" s="700" t="str">
        <f>IF(T416=".",".",SUM($S416:T416))</f>
        <v>.</v>
      </c>
      <c r="AK416" s="700" t="str">
        <f>IF(U416=".",".",SUM($S416:U416))</f>
        <v>.</v>
      </c>
      <c r="AL416" s="700" t="str">
        <f>IF(V416=".",".",SUM($S416:V416))</f>
        <v>.</v>
      </c>
      <c r="AM416" s="700" t="str">
        <f>IF(W416=".",".",SUM($S416:W416))</f>
        <v>.</v>
      </c>
      <c r="AN416" s="700" t="str">
        <f>IF(X416=".",".",SUM($S416:X416))</f>
        <v>.</v>
      </c>
      <c r="AO416" s="701" t="str">
        <f>IF(Y416=".",".",SUM($S416:Y416))</f>
        <v>.</v>
      </c>
      <c r="AP416" s="3"/>
      <c r="AQ416" s="985" t="str">
        <f t="shared" si="309"/>
        <v>.</v>
      </c>
      <c r="AR416" s="702" t="str">
        <f t="shared" si="310"/>
        <v>.</v>
      </c>
      <c r="AS416" s="702" t="str">
        <f t="shared" si="311"/>
        <v>.</v>
      </c>
      <c r="AT416" s="702" t="str">
        <f t="shared" si="312"/>
        <v>.</v>
      </c>
      <c r="AU416" s="702" t="str">
        <f t="shared" si="313"/>
        <v>.</v>
      </c>
      <c r="AV416" s="702" t="str">
        <f t="shared" si="314"/>
        <v>.</v>
      </c>
      <c r="AW416" s="986" t="str">
        <f t="shared" si="315"/>
        <v>.</v>
      </c>
      <c r="AX416" s="214"/>
      <c r="AY416" s="3"/>
      <c r="AZ416" s="3"/>
      <c r="BA416" s="3"/>
      <c r="BB416" s="3"/>
    </row>
    <row r="417" spans="1:54" ht="12" x14ac:dyDescent="0.25">
      <c r="A417" s="3"/>
      <c r="B417" s="212"/>
      <c r="C417" s="718"/>
      <c r="D417" s="715"/>
      <c r="E417" s="579"/>
      <c r="F417" s="579"/>
      <c r="G417" s="578"/>
      <c r="H417" s="578"/>
      <c r="I417" s="578"/>
      <c r="J417" s="578"/>
      <c r="K417" s="578"/>
      <c r="L417" s="578"/>
      <c r="M417" s="220"/>
      <c r="N417" s="3"/>
      <c r="O417" s="3"/>
      <c r="P417" s="3"/>
      <c r="Q417" s="3"/>
      <c r="R417" s="212"/>
      <c r="S417" s="699" t="str">
        <f t="shared" si="295"/>
        <v>.</v>
      </c>
      <c r="T417" s="700" t="str">
        <f t="shared" si="296"/>
        <v>.</v>
      </c>
      <c r="U417" s="700" t="str">
        <f t="shared" si="297"/>
        <v>.</v>
      </c>
      <c r="V417" s="700" t="str">
        <f t="shared" si="298"/>
        <v>.</v>
      </c>
      <c r="W417" s="700" t="str">
        <f t="shared" si="299"/>
        <v>.</v>
      </c>
      <c r="X417" s="700" t="str">
        <f t="shared" si="300"/>
        <v>.</v>
      </c>
      <c r="Y417" s="701" t="str">
        <f t="shared" si="301"/>
        <v>.</v>
      </c>
      <c r="Z417" s="3"/>
      <c r="AA417" s="985" t="str">
        <f t="shared" si="302"/>
        <v>.</v>
      </c>
      <c r="AB417" s="702" t="str">
        <f t="shared" si="303"/>
        <v>.</v>
      </c>
      <c r="AC417" s="702" t="str">
        <f t="shared" si="304"/>
        <v>.</v>
      </c>
      <c r="AD417" s="702" t="str">
        <f t="shared" si="305"/>
        <v>.</v>
      </c>
      <c r="AE417" s="702" t="str">
        <f t="shared" si="306"/>
        <v>.</v>
      </c>
      <c r="AF417" s="702" t="str">
        <f t="shared" si="307"/>
        <v>.</v>
      </c>
      <c r="AG417" s="986" t="str">
        <f t="shared" si="308"/>
        <v>.</v>
      </c>
      <c r="AH417" s="3"/>
      <c r="AI417" s="699" t="str">
        <f>IF(S417=".",".",SUM($S417:S417))</f>
        <v>.</v>
      </c>
      <c r="AJ417" s="700" t="str">
        <f>IF(T417=".",".",SUM($S417:T417))</f>
        <v>.</v>
      </c>
      <c r="AK417" s="700" t="str">
        <f>IF(U417=".",".",SUM($S417:U417))</f>
        <v>.</v>
      </c>
      <c r="AL417" s="700" t="str">
        <f>IF(V417=".",".",SUM($S417:V417))</f>
        <v>.</v>
      </c>
      <c r="AM417" s="700" t="str">
        <f>IF(W417=".",".",SUM($S417:W417))</f>
        <v>.</v>
      </c>
      <c r="AN417" s="700" t="str">
        <f>IF(X417=".",".",SUM($S417:X417))</f>
        <v>.</v>
      </c>
      <c r="AO417" s="701" t="str">
        <f>IF(Y417=".",".",SUM($S417:Y417))</f>
        <v>.</v>
      </c>
      <c r="AP417" s="3"/>
      <c r="AQ417" s="985" t="str">
        <f t="shared" si="309"/>
        <v>.</v>
      </c>
      <c r="AR417" s="702" t="str">
        <f t="shared" si="310"/>
        <v>.</v>
      </c>
      <c r="AS417" s="702" t="str">
        <f t="shared" si="311"/>
        <v>.</v>
      </c>
      <c r="AT417" s="702" t="str">
        <f t="shared" si="312"/>
        <v>.</v>
      </c>
      <c r="AU417" s="702" t="str">
        <f t="shared" si="313"/>
        <v>.</v>
      </c>
      <c r="AV417" s="702" t="str">
        <f t="shared" si="314"/>
        <v>.</v>
      </c>
      <c r="AW417" s="986" t="str">
        <f t="shared" si="315"/>
        <v>.</v>
      </c>
      <c r="AX417" s="214"/>
      <c r="AY417" s="3"/>
      <c r="AZ417" s="3"/>
      <c r="BA417" s="3"/>
      <c r="BB417" s="3"/>
    </row>
    <row r="418" spans="1:54" ht="12" x14ac:dyDescent="0.25">
      <c r="A418" s="3"/>
      <c r="B418" s="212"/>
      <c r="C418" s="718"/>
      <c r="D418" s="715"/>
      <c r="E418" s="579"/>
      <c r="F418" s="579"/>
      <c r="G418" s="578"/>
      <c r="H418" s="578"/>
      <c r="I418" s="578"/>
      <c r="J418" s="578"/>
      <c r="K418" s="578"/>
      <c r="L418" s="578"/>
      <c r="M418" s="220"/>
      <c r="N418" s="3"/>
      <c r="O418" s="3"/>
      <c r="P418" s="3"/>
      <c r="Q418" s="3"/>
      <c r="R418" s="212"/>
      <c r="S418" s="699" t="str">
        <f t="shared" si="295"/>
        <v>.</v>
      </c>
      <c r="T418" s="700" t="str">
        <f t="shared" si="296"/>
        <v>.</v>
      </c>
      <c r="U418" s="700" t="str">
        <f t="shared" si="297"/>
        <v>.</v>
      </c>
      <c r="V418" s="700" t="str">
        <f t="shared" si="298"/>
        <v>.</v>
      </c>
      <c r="W418" s="700" t="str">
        <f t="shared" si="299"/>
        <v>.</v>
      </c>
      <c r="X418" s="700" t="str">
        <f t="shared" si="300"/>
        <v>.</v>
      </c>
      <c r="Y418" s="701" t="str">
        <f t="shared" si="301"/>
        <v>.</v>
      </c>
      <c r="Z418" s="3"/>
      <c r="AA418" s="985" t="str">
        <f t="shared" si="302"/>
        <v>.</v>
      </c>
      <c r="AB418" s="702" t="str">
        <f t="shared" si="303"/>
        <v>.</v>
      </c>
      <c r="AC418" s="702" t="str">
        <f t="shared" si="304"/>
        <v>.</v>
      </c>
      <c r="AD418" s="702" t="str">
        <f t="shared" si="305"/>
        <v>.</v>
      </c>
      <c r="AE418" s="702" t="str">
        <f t="shared" si="306"/>
        <v>.</v>
      </c>
      <c r="AF418" s="702" t="str">
        <f t="shared" si="307"/>
        <v>.</v>
      </c>
      <c r="AG418" s="986" t="str">
        <f t="shared" si="308"/>
        <v>.</v>
      </c>
      <c r="AH418" s="3"/>
      <c r="AI418" s="699" t="str">
        <f>IF(S418=".",".",SUM($S418:S418))</f>
        <v>.</v>
      </c>
      <c r="AJ418" s="700" t="str">
        <f>IF(T418=".",".",SUM($S418:T418))</f>
        <v>.</v>
      </c>
      <c r="AK418" s="700" t="str">
        <f>IF(U418=".",".",SUM($S418:U418))</f>
        <v>.</v>
      </c>
      <c r="AL418" s="700" t="str">
        <f>IF(V418=".",".",SUM($S418:V418))</f>
        <v>.</v>
      </c>
      <c r="AM418" s="700" t="str">
        <f>IF(W418=".",".",SUM($S418:W418))</f>
        <v>.</v>
      </c>
      <c r="AN418" s="700" t="str">
        <f>IF(X418=".",".",SUM($S418:X418))</f>
        <v>.</v>
      </c>
      <c r="AO418" s="701" t="str">
        <f>IF(Y418=".",".",SUM($S418:Y418))</f>
        <v>.</v>
      </c>
      <c r="AP418" s="3"/>
      <c r="AQ418" s="985" t="str">
        <f t="shared" si="309"/>
        <v>.</v>
      </c>
      <c r="AR418" s="702" t="str">
        <f t="shared" si="310"/>
        <v>.</v>
      </c>
      <c r="AS418" s="702" t="str">
        <f t="shared" si="311"/>
        <v>.</v>
      </c>
      <c r="AT418" s="702" t="str">
        <f t="shared" si="312"/>
        <v>.</v>
      </c>
      <c r="AU418" s="702" t="str">
        <f t="shared" si="313"/>
        <v>.</v>
      </c>
      <c r="AV418" s="702" t="str">
        <f t="shared" si="314"/>
        <v>.</v>
      </c>
      <c r="AW418" s="986" t="str">
        <f t="shared" si="315"/>
        <v>.</v>
      </c>
      <c r="AX418" s="214"/>
      <c r="AY418" s="3"/>
      <c r="AZ418" s="3"/>
      <c r="BA418" s="3"/>
      <c r="BB418" s="3"/>
    </row>
    <row r="419" spans="1:54" ht="12" x14ac:dyDescent="0.25">
      <c r="A419" s="3"/>
      <c r="B419" s="212"/>
      <c r="C419" s="718"/>
      <c r="D419" s="715"/>
      <c r="E419" s="579"/>
      <c r="F419" s="579"/>
      <c r="G419" s="578"/>
      <c r="H419" s="578"/>
      <c r="I419" s="578"/>
      <c r="J419" s="578"/>
      <c r="K419" s="578"/>
      <c r="L419" s="578"/>
      <c r="M419" s="220"/>
      <c r="N419" s="3"/>
      <c r="O419" s="3"/>
      <c r="P419" s="3"/>
      <c r="Q419" s="3"/>
      <c r="R419" s="212"/>
      <c r="S419" s="699" t="str">
        <f t="shared" si="295"/>
        <v>.</v>
      </c>
      <c r="T419" s="700" t="str">
        <f t="shared" si="296"/>
        <v>.</v>
      </c>
      <c r="U419" s="700" t="str">
        <f t="shared" si="297"/>
        <v>.</v>
      </c>
      <c r="V419" s="700" t="str">
        <f t="shared" si="298"/>
        <v>.</v>
      </c>
      <c r="W419" s="700" t="str">
        <f t="shared" si="299"/>
        <v>.</v>
      </c>
      <c r="X419" s="700" t="str">
        <f t="shared" si="300"/>
        <v>.</v>
      </c>
      <c r="Y419" s="701" t="str">
        <f t="shared" si="301"/>
        <v>.</v>
      </c>
      <c r="Z419" s="3"/>
      <c r="AA419" s="985" t="str">
        <f t="shared" si="302"/>
        <v>.</v>
      </c>
      <c r="AB419" s="702" t="str">
        <f t="shared" si="303"/>
        <v>.</v>
      </c>
      <c r="AC419" s="702" t="str">
        <f t="shared" si="304"/>
        <v>.</v>
      </c>
      <c r="AD419" s="702" t="str">
        <f t="shared" si="305"/>
        <v>.</v>
      </c>
      <c r="AE419" s="702" t="str">
        <f t="shared" si="306"/>
        <v>.</v>
      </c>
      <c r="AF419" s="702" t="str">
        <f t="shared" si="307"/>
        <v>.</v>
      </c>
      <c r="AG419" s="986" t="str">
        <f t="shared" si="308"/>
        <v>.</v>
      </c>
      <c r="AH419" s="3"/>
      <c r="AI419" s="699" t="str">
        <f>IF(S419=".",".",SUM($S419:S419))</f>
        <v>.</v>
      </c>
      <c r="AJ419" s="700" t="str">
        <f>IF(T419=".",".",SUM($S419:T419))</f>
        <v>.</v>
      </c>
      <c r="AK419" s="700" t="str">
        <f>IF(U419=".",".",SUM($S419:U419))</f>
        <v>.</v>
      </c>
      <c r="AL419" s="700" t="str">
        <f>IF(V419=".",".",SUM($S419:V419))</f>
        <v>.</v>
      </c>
      <c r="AM419" s="700" t="str">
        <f>IF(W419=".",".",SUM($S419:W419))</f>
        <v>.</v>
      </c>
      <c r="AN419" s="700" t="str">
        <f>IF(X419=".",".",SUM($S419:X419))</f>
        <v>.</v>
      </c>
      <c r="AO419" s="701" t="str">
        <f>IF(Y419=".",".",SUM($S419:Y419))</f>
        <v>.</v>
      </c>
      <c r="AP419" s="3"/>
      <c r="AQ419" s="985" t="str">
        <f t="shared" si="309"/>
        <v>.</v>
      </c>
      <c r="AR419" s="702" t="str">
        <f t="shared" si="310"/>
        <v>.</v>
      </c>
      <c r="AS419" s="702" t="str">
        <f t="shared" si="311"/>
        <v>.</v>
      </c>
      <c r="AT419" s="702" t="str">
        <f t="shared" si="312"/>
        <v>.</v>
      </c>
      <c r="AU419" s="702" t="str">
        <f t="shared" si="313"/>
        <v>.</v>
      </c>
      <c r="AV419" s="702" t="str">
        <f t="shared" si="314"/>
        <v>.</v>
      </c>
      <c r="AW419" s="986" t="str">
        <f t="shared" si="315"/>
        <v>.</v>
      </c>
      <c r="AX419" s="214"/>
      <c r="AY419" s="3"/>
      <c r="AZ419" s="3"/>
      <c r="BA419" s="3"/>
      <c r="BB419" s="3"/>
    </row>
    <row r="420" spans="1:54" ht="12" x14ac:dyDescent="0.25">
      <c r="A420" s="3"/>
      <c r="B420" s="212"/>
      <c r="C420" s="718"/>
      <c r="D420" s="715"/>
      <c r="E420" s="579"/>
      <c r="F420" s="579"/>
      <c r="G420" s="578"/>
      <c r="H420" s="578"/>
      <c r="I420" s="578"/>
      <c r="J420" s="578"/>
      <c r="K420" s="578"/>
      <c r="L420" s="578"/>
      <c r="M420" s="220"/>
      <c r="N420" s="3"/>
      <c r="O420" s="3"/>
      <c r="P420" s="3"/>
      <c r="Q420" s="3"/>
      <c r="R420" s="212"/>
      <c r="S420" s="699" t="str">
        <f t="shared" si="295"/>
        <v>.</v>
      </c>
      <c r="T420" s="700" t="str">
        <f t="shared" si="296"/>
        <v>.</v>
      </c>
      <c r="U420" s="700" t="str">
        <f t="shared" si="297"/>
        <v>.</v>
      </c>
      <c r="V420" s="700" t="str">
        <f t="shared" si="298"/>
        <v>.</v>
      </c>
      <c r="W420" s="700" t="str">
        <f t="shared" si="299"/>
        <v>.</v>
      </c>
      <c r="X420" s="700" t="str">
        <f t="shared" si="300"/>
        <v>.</v>
      </c>
      <c r="Y420" s="701" t="str">
        <f t="shared" si="301"/>
        <v>.</v>
      </c>
      <c r="Z420" s="3"/>
      <c r="AA420" s="985" t="str">
        <f t="shared" si="302"/>
        <v>.</v>
      </c>
      <c r="AB420" s="702" t="str">
        <f t="shared" si="303"/>
        <v>.</v>
      </c>
      <c r="AC420" s="702" t="str">
        <f t="shared" si="304"/>
        <v>.</v>
      </c>
      <c r="AD420" s="702" t="str">
        <f t="shared" si="305"/>
        <v>.</v>
      </c>
      <c r="AE420" s="702" t="str">
        <f t="shared" si="306"/>
        <v>.</v>
      </c>
      <c r="AF420" s="702" t="str">
        <f t="shared" si="307"/>
        <v>.</v>
      </c>
      <c r="AG420" s="986" t="str">
        <f t="shared" si="308"/>
        <v>.</v>
      </c>
      <c r="AH420" s="3"/>
      <c r="AI420" s="699" t="str">
        <f>IF(S420=".",".",SUM($S420:S420))</f>
        <v>.</v>
      </c>
      <c r="AJ420" s="700" t="str">
        <f>IF(T420=".",".",SUM($S420:T420))</f>
        <v>.</v>
      </c>
      <c r="AK420" s="700" t="str">
        <f>IF(U420=".",".",SUM($S420:U420))</f>
        <v>.</v>
      </c>
      <c r="AL420" s="700" t="str">
        <f>IF(V420=".",".",SUM($S420:V420))</f>
        <v>.</v>
      </c>
      <c r="AM420" s="700" t="str">
        <f>IF(W420=".",".",SUM($S420:W420))</f>
        <v>.</v>
      </c>
      <c r="AN420" s="700" t="str">
        <f>IF(X420=".",".",SUM($S420:X420))</f>
        <v>.</v>
      </c>
      <c r="AO420" s="701" t="str">
        <f>IF(Y420=".",".",SUM($S420:Y420))</f>
        <v>.</v>
      </c>
      <c r="AP420" s="3"/>
      <c r="AQ420" s="985" t="str">
        <f t="shared" si="309"/>
        <v>.</v>
      </c>
      <c r="AR420" s="702" t="str">
        <f t="shared" si="310"/>
        <v>.</v>
      </c>
      <c r="AS420" s="702" t="str">
        <f t="shared" si="311"/>
        <v>.</v>
      </c>
      <c r="AT420" s="702" t="str">
        <f t="shared" si="312"/>
        <v>.</v>
      </c>
      <c r="AU420" s="702" t="str">
        <f t="shared" si="313"/>
        <v>.</v>
      </c>
      <c r="AV420" s="702" t="str">
        <f t="shared" si="314"/>
        <v>.</v>
      </c>
      <c r="AW420" s="986" t="str">
        <f t="shared" si="315"/>
        <v>.</v>
      </c>
      <c r="AX420" s="214"/>
      <c r="AY420" s="3"/>
      <c r="AZ420" s="3"/>
      <c r="BA420" s="3"/>
      <c r="BB420" s="3"/>
    </row>
    <row r="421" spans="1:54" ht="12" x14ac:dyDescent="0.25">
      <c r="A421" s="3"/>
      <c r="B421" s="212"/>
      <c r="C421" s="718"/>
      <c r="D421" s="715"/>
      <c r="E421" s="579"/>
      <c r="F421" s="579"/>
      <c r="G421" s="578"/>
      <c r="H421" s="578"/>
      <c r="I421" s="578"/>
      <c r="J421" s="578"/>
      <c r="K421" s="578"/>
      <c r="L421" s="578"/>
      <c r="M421" s="220"/>
      <c r="N421" s="3"/>
      <c r="O421" s="3"/>
      <c r="P421" s="3"/>
      <c r="Q421" s="3"/>
      <c r="R421" s="212"/>
      <c r="S421" s="699" t="str">
        <f t="shared" si="295"/>
        <v>.</v>
      </c>
      <c r="T421" s="700" t="str">
        <f t="shared" si="296"/>
        <v>.</v>
      </c>
      <c r="U421" s="700" t="str">
        <f t="shared" si="297"/>
        <v>.</v>
      </c>
      <c r="V421" s="700" t="str">
        <f t="shared" si="298"/>
        <v>.</v>
      </c>
      <c r="W421" s="700" t="str">
        <f t="shared" si="299"/>
        <v>.</v>
      </c>
      <c r="X421" s="700" t="str">
        <f t="shared" si="300"/>
        <v>.</v>
      </c>
      <c r="Y421" s="701" t="str">
        <f t="shared" si="301"/>
        <v>.</v>
      </c>
      <c r="Z421" s="3"/>
      <c r="AA421" s="985" t="str">
        <f t="shared" si="302"/>
        <v>.</v>
      </c>
      <c r="AB421" s="702" t="str">
        <f t="shared" si="303"/>
        <v>.</v>
      </c>
      <c r="AC421" s="702" t="str">
        <f t="shared" si="304"/>
        <v>.</v>
      </c>
      <c r="AD421" s="702" t="str">
        <f t="shared" si="305"/>
        <v>.</v>
      </c>
      <c r="AE421" s="702" t="str">
        <f t="shared" si="306"/>
        <v>.</v>
      </c>
      <c r="AF421" s="702" t="str">
        <f t="shared" si="307"/>
        <v>.</v>
      </c>
      <c r="AG421" s="986" t="str">
        <f t="shared" si="308"/>
        <v>.</v>
      </c>
      <c r="AH421" s="3"/>
      <c r="AI421" s="699" t="str">
        <f>IF(S421=".",".",SUM($S421:S421))</f>
        <v>.</v>
      </c>
      <c r="AJ421" s="700" t="str">
        <f>IF(T421=".",".",SUM($S421:T421))</f>
        <v>.</v>
      </c>
      <c r="AK421" s="700" t="str">
        <f>IF(U421=".",".",SUM($S421:U421))</f>
        <v>.</v>
      </c>
      <c r="AL421" s="700" t="str">
        <f>IF(V421=".",".",SUM($S421:V421))</f>
        <v>.</v>
      </c>
      <c r="AM421" s="700" t="str">
        <f>IF(W421=".",".",SUM($S421:W421))</f>
        <v>.</v>
      </c>
      <c r="AN421" s="700" t="str">
        <f>IF(X421=".",".",SUM($S421:X421))</f>
        <v>.</v>
      </c>
      <c r="AO421" s="701" t="str">
        <f>IF(Y421=".",".",SUM($S421:Y421))</f>
        <v>.</v>
      </c>
      <c r="AP421" s="3"/>
      <c r="AQ421" s="985" t="str">
        <f t="shared" si="309"/>
        <v>.</v>
      </c>
      <c r="AR421" s="702" t="str">
        <f t="shared" si="310"/>
        <v>.</v>
      </c>
      <c r="AS421" s="702" t="str">
        <f t="shared" si="311"/>
        <v>.</v>
      </c>
      <c r="AT421" s="702" t="str">
        <f t="shared" si="312"/>
        <v>.</v>
      </c>
      <c r="AU421" s="702" t="str">
        <f t="shared" si="313"/>
        <v>.</v>
      </c>
      <c r="AV421" s="702" t="str">
        <f t="shared" si="314"/>
        <v>.</v>
      </c>
      <c r="AW421" s="986" t="str">
        <f t="shared" si="315"/>
        <v>.</v>
      </c>
      <c r="AX421" s="214"/>
      <c r="AY421" s="3"/>
      <c r="AZ421" s="3"/>
      <c r="BA421" s="3"/>
      <c r="BB421" s="3"/>
    </row>
    <row r="422" spans="1:54" ht="12" x14ac:dyDescent="0.25">
      <c r="A422" s="3"/>
      <c r="B422" s="212"/>
      <c r="C422" s="718"/>
      <c r="D422" s="715"/>
      <c r="E422" s="579"/>
      <c r="F422" s="579"/>
      <c r="G422" s="578"/>
      <c r="H422" s="578"/>
      <c r="I422" s="578"/>
      <c r="J422" s="578"/>
      <c r="K422" s="578"/>
      <c r="L422" s="578"/>
      <c r="M422" s="220"/>
      <c r="N422" s="3"/>
      <c r="O422" s="3"/>
      <c r="P422" s="3"/>
      <c r="Q422" s="3"/>
      <c r="R422" s="212"/>
      <c r="S422" s="699" t="str">
        <f t="shared" si="295"/>
        <v>.</v>
      </c>
      <c r="T422" s="700" t="str">
        <f t="shared" si="296"/>
        <v>.</v>
      </c>
      <c r="U422" s="700" t="str">
        <f t="shared" si="297"/>
        <v>.</v>
      </c>
      <c r="V422" s="700" t="str">
        <f t="shared" si="298"/>
        <v>.</v>
      </c>
      <c r="W422" s="700" t="str">
        <f t="shared" si="299"/>
        <v>.</v>
      </c>
      <c r="X422" s="700" t="str">
        <f t="shared" si="300"/>
        <v>.</v>
      </c>
      <c r="Y422" s="701" t="str">
        <f t="shared" si="301"/>
        <v>.</v>
      </c>
      <c r="Z422" s="3"/>
      <c r="AA422" s="985" t="str">
        <f t="shared" si="302"/>
        <v>.</v>
      </c>
      <c r="AB422" s="702" t="str">
        <f t="shared" si="303"/>
        <v>.</v>
      </c>
      <c r="AC422" s="702" t="str">
        <f t="shared" si="304"/>
        <v>.</v>
      </c>
      <c r="AD422" s="702" t="str">
        <f t="shared" si="305"/>
        <v>.</v>
      </c>
      <c r="AE422" s="702" t="str">
        <f t="shared" si="306"/>
        <v>.</v>
      </c>
      <c r="AF422" s="702" t="str">
        <f t="shared" si="307"/>
        <v>.</v>
      </c>
      <c r="AG422" s="986" t="str">
        <f t="shared" si="308"/>
        <v>.</v>
      </c>
      <c r="AH422" s="3"/>
      <c r="AI422" s="699" t="str">
        <f>IF(S422=".",".",SUM($S422:S422))</f>
        <v>.</v>
      </c>
      <c r="AJ422" s="700" t="str">
        <f>IF(T422=".",".",SUM($S422:T422))</f>
        <v>.</v>
      </c>
      <c r="AK422" s="700" t="str">
        <f>IF(U422=".",".",SUM($S422:U422))</f>
        <v>.</v>
      </c>
      <c r="AL422" s="700" t="str">
        <f>IF(V422=".",".",SUM($S422:V422))</f>
        <v>.</v>
      </c>
      <c r="AM422" s="700" t="str">
        <f>IF(W422=".",".",SUM($S422:W422))</f>
        <v>.</v>
      </c>
      <c r="AN422" s="700" t="str">
        <f>IF(X422=".",".",SUM($S422:X422))</f>
        <v>.</v>
      </c>
      <c r="AO422" s="701" t="str">
        <f>IF(Y422=".",".",SUM($S422:Y422))</f>
        <v>.</v>
      </c>
      <c r="AP422" s="3"/>
      <c r="AQ422" s="985" t="str">
        <f t="shared" si="309"/>
        <v>.</v>
      </c>
      <c r="AR422" s="702" t="str">
        <f t="shared" si="310"/>
        <v>.</v>
      </c>
      <c r="AS422" s="702" t="str">
        <f t="shared" si="311"/>
        <v>.</v>
      </c>
      <c r="AT422" s="702" t="str">
        <f t="shared" si="312"/>
        <v>.</v>
      </c>
      <c r="AU422" s="702" t="str">
        <f t="shared" si="313"/>
        <v>.</v>
      </c>
      <c r="AV422" s="702" t="str">
        <f t="shared" si="314"/>
        <v>.</v>
      </c>
      <c r="AW422" s="986" t="str">
        <f t="shared" si="315"/>
        <v>.</v>
      </c>
      <c r="AX422" s="214"/>
      <c r="AY422" s="3"/>
      <c r="AZ422" s="3"/>
      <c r="BA422" s="3"/>
      <c r="BB422" s="3"/>
    </row>
    <row r="423" spans="1:54" ht="12" x14ac:dyDescent="0.25">
      <c r="A423" s="3"/>
      <c r="B423" s="212"/>
      <c r="C423" s="718"/>
      <c r="D423" s="715"/>
      <c r="E423" s="579"/>
      <c r="F423" s="579"/>
      <c r="G423" s="578"/>
      <c r="H423" s="578"/>
      <c r="I423" s="578"/>
      <c r="J423" s="578"/>
      <c r="K423" s="578"/>
      <c r="L423" s="578"/>
      <c r="M423" s="220"/>
      <c r="N423" s="3"/>
      <c r="O423" s="3"/>
      <c r="P423" s="3"/>
      <c r="Q423" s="3"/>
      <c r="R423" s="212"/>
      <c r="S423" s="699" t="str">
        <f t="shared" si="295"/>
        <v>.</v>
      </c>
      <c r="T423" s="700" t="str">
        <f t="shared" si="296"/>
        <v>.</v>
      </c>
      <c r="U423" s="700" t="str">
        <f t="shared" si="297"/>
        <v>.</v>
      </c>
      <c r="V423" s="700" t="str">
        <f t="shared" si="298"/>
        <v>.</v>
      </c>
      <c r="W423" s="700" t="str">
        <f t="shared" si="299"/>
        <v>.</v>
      </c>
      <c r="X423" s="700" t="str">
        <f t="shared" si="300"/>
        <v>.</v>
      </c>
      <c r="Y423" s="701" t="str">
        <f t="shared" si="301"/>
        <v>.</v>
      </c>
      <c r="Z423" s="3"/>
      <c r="AA423" s="985" t="str">
        <f t="shared" si="302"/>
        <v>.</v>
      </c>
      <c r="AB423" s="702" t="str">
        <f t="shared" si="303"/>
        <v>.</v>
      </c>
      <c r="AC423" s="702" t="str">
        <f t="shared" si="304"/>
        <v>.</v>
      </c>
      <c r="AD423" s="702" t="str">
        <f t="shared" si="305"/>
        <v>.</v>
      </c>
      <c r="AE423" s="702" t="str">
        <f t="shared" si="306"/>
        <v>.</v>
      </c>
      <c r="AF423" s="702" t="str">
        <f t="shared" si="307"/>
        <v>.</v>
      </c>
      <c r="AG423" s="986" t="str">
        <f t="shared" si="308"/>
        <v>.</v>
      </c>
      <c r="AH423" s="3"/>
      <c r="AI423" s="699" t="str">
        <f>IF(S423=".",".",SUM($S423:S423))</f>
        <v>.</v>
      </c>
      <c r="AJ423" s="700" t="str">
        <f>IF(T423=".",".",SUM($S423:T423))</f>
        <v>.</v>
      </c>
      <c r="AK423" s="700" t="str">
        <f>IF(U423=".",".",SUM($S423:U423))</f>
        <v>.</v>
      </c>
      <c r="AL423" s="700" t="str">
        <f>IF(V423=".",".",SUM($S423:V423))</f>
        <v>.</v>
      </c>
      <c r="AM423" s="700" t="str">
        <f>IF(W423=".",".",SUM($S423:W423))</f>
        <v>.</v>
      </c>
      <c r="AN423" s="700" t="str">
        <f>IF(X423=".",".",SUM($S423:X423))</f>
        <v>.</v>
      </c>
      <c r="AO423" s="701" t="str">
        <f>IF(Y423=".",".",SUM($S423:Y423))</f>
        <v>.</v>
      </c>
      <c r="AP423" s="3"/>
      <c r="AQ423" s="985" t="str">
        <f t="shared" si="309"/>
        <v>.</v>
      </c>
      <c r="AR423" s="702" t="str">
        <f t="shared" si="310"/>
        <v>.</v>
      </c>
      <c r="AS423" s="702" t="str">
        <f t="shared" si="311"/>
        <v>.</v>
      </c>
      <c r="AT423" s="702" t="str">
        <f t="shared" si="312"/>
        <v>.</v>
      </c>
      <c r="AU423" s="702" t="str">
        <f t="shared" si="313"/>
        <v>.</v>
      </c>
      <c r="AV423" s="702" t="str">
        <f t="shared" si="314"/>
        <v>.</v>
      </c>
      <c r="AW423" s="986" t="str">
        <f t="shared" si="315"/>
        <v>.</v>
      </c>
      <c r="AX423" s="214"/>
      <c r="AY423" s="3"/>
      <c r="AZ423" s="3"/>
      <c r="BA423" s="3"/>
      <c r="BB423" s="3"/>
    </row>
    <row r="424" spans="1:54" ht="12" x14ac:dyDescent="0.25">
      <c r="A424" s="3"/>
      <c r="B424" s="212"/>
      <c r="C424" s="718"/>
      <c r="D424" s="715"/>
      <c r="E424" s="579"/>
      <c r="F424" s="579"/>
      <c r="G424" s="578"/>
      <c r="H424" s="578"/>
      <c r="I424" s="578"/>
      <c r="J424" s="578"/>
      <c r="K424" s="578"/>
      <c r="L424" s="578"/>
      <c r="M424" s="220"/>
      <c r="N424" s="3"/>
      <c r="O424" s="3"/>
      <c r="P424" s="3"/>
      <c r="Q424" s="3"/>
      <c r="R424" s="212"/>
      <c r="S424" s="699" t="str">
        <f t="shared" si="295"/>
        <v>.</v>
      </c>
      <c r="T424" s="700" t="str">
        <f t="shared" si="296"/>
        <v>.</v>
      </c>
      <c r="U424" s="700" t="str">
        <f t="shared" si="297"/>
        <v>.</v>
      </c>
      <c r="V424" s="700" t="str">
        <f t="shared" si="298"/>
        <v>.</v>
      </c>
      <c r="W424" s="700" t="str">
        <f t="shared" si="299"/>
        <v>.</v>
      </c>
      <c r="X424" s="700" t="str">
        <f t="shared" si="300"/>
        <v>.</v>
      </c>
      <c r="Y424" s="701" t="str">
        <f t="shared" si="301"/>
        <v>.</v>
      </c>
      <c r="Z424" s="3"/>
      <c r="AA424" s="985" t="str">
        <f t="shared" si="302"/>
        <v>.</v>
      </c>
      <c r="AB424" s="702" t="str">
        <f t="shared" si="303"/>
        <v>.</v>
      </c>
      <c r="AC424" s="702" t="str">
        <f t="shared" si="304"/>
        <v>.</v>
      </c>
      <c r="AD424" s="702" t="str">
        <f t="shared" si="305"/>
        <v>.</v>
      </c>
      <c r="AE424" s="702" t="str">
        <f t="shared" si="306"/>
        <v>.</v>
      </c>
      <c r="AF424" s="702" t="str">
        <f t="shared" si="307"/>
        <v>.</v>
      </c>
      <c r="AG424" s="986" t="str">
        <f t="shared" si="308"/>
        <v>.</v>
      </c>
      <c r="AH424" s="3"/>
      <c r="AI424" s="699" t="str">
        <f>IF(S424=".",".",SUM($S424:S424))</f>
        <v>.</v>
      </c>
      <c r="AJ424" s="700" t="str">
        <f>IF(T424=".",".",SUM($S424:T424))</f>
        <v>.</v>
      </c>
      <c r="AK424" s="700" t="str">
        <f>IF(U424=".",".",SUM($S424:U424))</f>
        <v>.</v>
      </c>
      <c r="AL424" s="700" t="str">
        <f>IF(V424=".",".",SUM($S424:V424))</f>
        <v>.</v>
      </c>
      <c r="AM424" s="700" t="str">
        <f>IF(W424=".",".",SUM($S424:W424))</f>
        <v>.</v>
      </c>
      <c r="AN424" s="700" t="str">
        <f>IF(X424=".",".",SUM($S424:X424))</f>
        <v>.</v>
      </c>
      <c r="AO424" s="701" t="str">
        <f>IF(Y424=".",".",SUM($S424:Y424))</f>
        <v>.</v>
      </c>
      <c r="AP424" s="3"/>
      <c r="AQ424" s="985" t="str">
        <f t="shared" si="309"/>
        <v>.</v>
      </c>
      <c r="AR424" s="702" t="str">
        <f t="shared" si="310"/>
        <v>.</v>
      </c>
      <c r="AS424" s="702" t="str">
        <f t="shared" si="311"/>
        <v>.</v>
      </c>
      <c r="AT424" s="702" t="str">
        <f t="shared" si="312"/>
        <v>.</v>
      </c>
      <c r="AU424" s="702" t="str">
        <f t="shared" si="313"/>
        <v>.</v>
      </c>
      <c r="AV424" s="702" t="str">
        <f t="shared" si="314"/>
        <v>.</v>
      </c>
      <c r="AW424" s="986" t="str">
        <f t="shared" si="315"/>
        <v>.</v>
      </c>
      <c r="AX424" s="214"/>
      <c r="AY424" s="3"/>
      <c r="AZ424" s="3"/>
      <c r="BA424" s="3"/>
      <c r="BB424" s="3"/>
    </row>
    <row r="425" spans="1:54" ht="12" x14ac:dyDescent="0.25">
      <c r="A425" s="3"/>
      <c r="B425" s="212"/>
      <c r="C425" s="718"/>
      <c r="D425" s="715"/>
      <c r="E425" s="579"/>
      <c r="F425" s="579"/>
      <c r="G425" s="578"/>
      <c r="H425" s="578"/>
      <c r="I425" s="578"/>
      <c r="J425" s="578"/>
      <c r="K425" s="578"/>
      <c r="L425" s="578"/>
      <c r="M425" s="220"/>
      <c r="N425" s="3"/>
      <c r="O425" s="3"/>
      <c r="P425" s="3"/>
      <c r="Q425" s="3"/>
      <c r="R425" s="212"/>
      <c r="S425" s="699" t="str">
        <f t="shared" si="295"/>
        <v>.</v>
      </c>
      <c r="T425" s="700" t="str">
        <f t="shared" si="296"/>
        <v>.</v>
      </c>
      <c r="U425" s="700" t="str">
        <f t="shared" si="297"/>
        <v>.</v>
      </c>
      <c r="V425" s="700" t="str">
        <f t="shared" si="298"/>
        <v>.</v>
      </c>
      <c r="W425" s="700" t="str">
        <f t="shared" si="299"/>
        <v>.</v>
      </c>
      <c r="X425" s="700" t="str">
        <f t="shared" si="300"/>
        <v>.</v>
      </c>
      <c r="Y425" s="701" t="str">
        <f t="shared" si="301"/>
        <v>.</v>
      </c>
      <c r="Z425" s="3"/>
      <c r="AA425" s="985" t="str">
        <f t="shared" si="302"/>
        <v>.</v>
      </c>
      <c r="AB425" s="702" t="str">
        <f t="shared" si="303"/>
        <v>.</v>
      </c>
      <c r="AC425" s="702" t="str">
        <f t="shared" si="304"/>
        <v>.</v>
      </c>
      <c r="AD425" s="702" t="str">
        <f t="shared" si="305"/>
        <v>.</v>
      </c>
      <c r="AE425" s="702" t="str">
        <f t="shared" si="306"/>
        <v>.</v>
      </c>
      <c r="AF425" s="702" t="str">
        <f t="shared" si="307"/>
        <v>.</v>
      </c>
      <c r="AG425" s="986" t="str">
        <f t="shared" si="308"/>
        <v>.</v>
      </c>
      <c r="AH425" s="3"/>
      <c r="AI425" s="699" t="str">
        <f>IF(S425=".",".",SUM($S425:S425))</f>
        <v>.</v>
      </c>
      <c r="AJ425" s="700" t="str">
        <f>IF(T425=".",".",SUM($S425:T425))</f>
        <v>.</v>
      </c>
      <c r="AK425" s="700" t="str">
        <f>IF(U425=".",".",SUM($S425:U425))</f>
        <v>.</v>
      </c>
      <c r="AL425" s="700" t="str">
        <f>IF(V425=".",".",SUM($S425:V425))</f>
        <v>.</v>
      </c>
      <c r="AM425" s="700" t="str">
        <f>IF(W425=".",".",SUM($S425:W425))</f>
        <v>.</v>
      </c>
      <c r="AN425" s="700" t="str">
        <f>IF(X425=".",".",SUM($S425:X425))</f>
        <v>.</v>
      </c>
      <c r="AO425" s="701" t="str">
        <f>IF(Y425=".",".",SUM($S425:Y425))</f>
        <v>.</v>
      </c>
      <c r="AP425" s="3"/>
      <c r="AQ425" s="985" t="str">
        <f t="shared" si="309"/>
        <v>.</v>
      </c>
      <c r="AR425" s="702" t="str">
        <f t="shared" si="310"/>
        <v>.</v>
      </c>
      <c r="AS425" s="702" t="str">
        <f t="shared" si="311"/>
        <v>.</v>
      </c>
      <c r="AT425" s="702" t="str">
        <f t="shared" si="312"/>
        <v>.</v>
      </c>
      <c r="AU425" s="702" t="str">
        <f t="shared" si="313"/>
        <v>.</v>
      </c>
      <c r="AV425" s="702" t="str">
        <f t="shared" si="314"/>
        <v>.</v>
      </c>
      <c r="AW425" s="986" t="str">
        <f t="shared" si="315"/>
        <v>.</v>
      </c>
      <c r="AX425" s="214"/>
      <c r="AY425" s="3"/>
      <c r="AZ425" s="3"/>
      <c r="BA425" s="3"/>
      <c r="BB425" s="3"/>
    </row>
    <row r="426" spans="1:54" ht="12" x14ac:dyDescent="0.25">
      <c r="A426" s="3"/>
      <c r="B426" s="212"/>
      <c r="C426" s="718"/>
      <c r="D426" s="715"/>
      <c r="E426" s="579"/>
      <c r="F426" s="579"/>
      <c r="G426" s="578"/>
      <c r="H426" s="578"/>
      <c r="I426" s="578"/>
      <c r="J426" s="578"/>
      <c r="K426" s="578"/>
      <c r="L426" s="578"/>
      <c r="M426" s="220"/>
      <c r="N426" s="3"/>
      <c r="O426" s="3"/>
      <c r="P426" s="3"/>
      <c r="Q426" s="3"/>
      <c r="R426" s="212"/>
      <c r="S426" s="699" t="str">
        <f t="shared" si="295"/>
        <v>.</v>
      </c>
      <c r="T426" s="700" t="str">
        <f t="shared" si="296"/>
        <v>.</v>
      </c>
      <c r="U426" s="700" t="str">
        <f t="shared" si="297"/>
        <v>.</v>
      </c>
      <c r="V426" s="700" t="str">
        <f t="shared" si="298"/>
        <v>.</v>
      </c>
      <c r="W426" s="700" t="str">
        <f t="shared" si="299"/>
        <v>.</v>
      </c>
      <c r="X426" s="700" t="str">
        <f t="shared" si="300"/>
        <v>.</v>
      </c>
      <c r="Y426" s="701" t="str">
        <f t="shared" si="301"/>
        <v>.</v>
      </c>
      <c r="Z426" s="3"/>
      <c r="AA426" s="985" t="str">
        <f t="shared" si="302"/>
        <v>.</v>
      </c>
      <c r="AB426" s="702" t="str">
        <f t="shared" si="303"/>
        <v>.</v>
      </c>
      <c r="AC426" s="702" t="str">
        <f t="shared" si="304"/>
        <v>.</v>
      </c>
      <c r="AD426" s="702" t="str">
        <f t="shared" si="305"/>
        <v>.</v>
      </c>
      <c r="AE426" s="702" t="str">
        <f t="shared" si="306"/>
        <v>.</v>
      </c>
      <c r="AF426" s="702" t="str">
        <f t="shared" si="307"/>
        <v>.</v>
      </c>
      <c r="AG426" s="986" t="str">
        <f t="shared" si="308"/>
        <v>.</v>
      </c>
      <c r="AH426" s="3"/>
      <c r="AI426" s="699" t="str">
        <f>IF(S426=".",".",SUM($S426:S426))</f>
        <v>.</v>
      </c>
      <c r="AJ426" s="700" t="str">
        <f>IF(T426=".",".",SUM($S426:T426))</f>
        <v>.</v>
      </c>
      <c r="AK426" s="700" t="str">
        <f>IF(U426=".",".",SUM($S426:U426))</f>
        <v>.</v>
      </c>
      <c r="AL426" s="700" t="str">
        <f>IF(V426=".",".",SUM($S426:V426))</f>
        <v>.</v>
      </c>
      <c r="AM426" s="700" t="str">
        <f>IF(W426=".",".",SUM($S426:W426))</f>
        <v>.</v>
      </c>
      <c r="AN426" s="700" t="str">
        <f>IF(X426=".",".",SUM($S426:X426))</f>
        <v>.</v>
      </c>
      <c r="AO426" s="701" t="str">
        <f>IF(Y426=".",".",SUM($S426:Y426))</f>
        <v>.</v>
      </c>
      <c r="AP426" s="3"/>
      <c r="AQ426" s="985" t="str">
        <f t="shared" si="309"/>
        <v>.</v>
      </c>
      <c r="AR426" s="702" t="str">
        <f t="shared" si="310"/>
        <v>.</v>
      </c>
      <c r="AS426" s="702" t="str">
        <f t="shared" si="311"/>
        <v>.</v>
      </c>
      <c r="AT426" s="702" t="str">
        <f t="shared" si="312"/>
        <v>.</v>
      </c>
      <c r="AU426" s="702" t="str">
        <f t="shared" si="313"/>
        <v>.</v>
      </c>
      <c r="AV426" s="702" t="str">
        <f t="shared" si="314"/>
        <v>.</v>
      </c>
      <c r="AW426" s="986" t="str">
        <f t="shared" si="315"/>
        <v>.</v>
      </c>
      <c r="AX426" s="214"/>
      <c r="AY426" s="3"/>
      <c r="AZ426" s="3"/>
      <c r="BA426" s="3"/>
      <c r="BB426" s="3"/>
    </row>
    <row r="427" spans="1:54" ht="12" x14ac:dyDescent="0.25">
      <c r="A427" s="3"/>
      <c r="B427" s="212"/>
      <c r="C427" s="718"/>
      <c r="D427" s="715"/>
      <c r="E427" s="579"/>
      <c r="F427" s="579"/>
      <c r="G427" s="578"/>
      <c r="H427" s="578"/>
      <c r="I427" s="578"/>
      <c r="J427" s="578"/>
      <c r="K427" s="578"/>
      <c r="L427" s="578"/>
      <c r="M427" s="220"/>
      <c r="N427" s="3"/>
      <c r="O427" s="3"/>
      <c r="P427" s="3"/>
      <c r="Q427" s="3"/>
      <c r="R427" s="212"/>
      <c r="S427" s="699" t="str">
        <f t="shared" si="295"/>
        <v>.</v>
      </c>
      <c r="T427" s="700" t="str">
        <f t="shared" si="296"/>
        <v>.</v>
      </c>
      <c r="U427" s="700" t="str">
        <f t="shared" si="297"/>
        <v>.</v>
      </c>
      <c r="V427" s="700" t="str">
        <f t="shared" si="298"/>
        <v>.</v>
      </c>
      <c r="W427" s="700" t="str">
        <f t="shared" si="299"/>
        <v>.</v>
      </c>
      <c r="X427" s="700" t="str">
        <f t="shared" si="300"/>
        <v>.</v>
      </c>
      <c r="Y427" s="701" t="str">
        <f t="shared" si="301"/>
        <v>.</v>
      </c>
      <c r="Z427" s="3"/>
      <c r="AA427" s="985" t="str">
        <f t="shared" si="302"/>
        <v>.</v>
      </c>
      <c r="AB427" s="702" t="str">
        <f t="shared" si="303"/>
        <v>.</v>
      </c>
      <c r="AC427" s="702" t="str">
        <f t="shared" si="304"/>
        <v>.</v>
      </c>
      <c r="AD427" s="702" t="str">
        <f t="shared" si="305"/>
        <v>.</v>
      </c>
      <c r="AE427" s="702" t="str">
        <f t="shared" si="306"/>
        <v>.</v>
      </c>
      <c r="AF427" s="702" t="str">
        <f t="shared" si="307"/>
        <v>.</v>
      </c>
      <c r="AG427" s="986" t="str">
        <f t="shared" si="308"/>
        <v>.</v>
      </c>
      <c r="AH427" s="3"/>
      <c r="AI427" s="699" t="str">
        <f>IF(S427=".",".",SUM($S427:S427))</f>
        <v>.</v>
      </c>
      <c r="AJ427" s="700" t="str">
        <f>IF(T427=".",".",SUM($S427:T427))</f>
        <v>.</v>
      </c>
      <c r="AK427" s="700" t="str">
        <f>IF(U427=".",".",SUM($S427:U427))</f>
        <v>.</v>
      </c>
      <c r="AL427" s="700" t="str">
        <f>IF(V427=".",".",SUM($S427:V427))</f>
        <v>.</v>
      </c>
      <c r="AM427" s="700" t="str">
        <f>IF(W427=".",".",SUM($S427:W427))</f>
        <v>.</v>
      </c>
      <c r="AN427" s="700" t="str">
        <f>IF(X427=".",".",SUM($S427:X427))</f>
        <v>.</v>
      </c>
      <c r="AO427" s="701" t="str">
        <f>IF(Y427=".",".",SUM($S427:Y427))</f>
        <v>.</v>
      </c>
      <c r="AP427" s="3"/>
      <c r="AQ427" s="985" t="str">
        <f t="shared" si="309"/>
        <v>.</v>
      </c>
      <c r="AR427" s="702" t="str">
        <f t="shared" si="310"/>
        <v>.</v>
      </c>
      <c r="AS427" s="702" t="str">
        <f t="shared" si="311"/>
        <v>.</v>
      </c>
      <c r="AT427" s="702" t="str">
        <f t="shared" si="312"/>
        <v>.</v>
      </c>
      <c r="AU427" s="702" t="str">
        <f t="shared" si="313"/>
        <v>.</v>
      </c>
      <c r="AV427" s="702" t="str">
        <f t="shared" si="314"/>
        <v>.</v>
      </c>
      <c r="AW427" s="986" t="str">
        <f t="shared" si="315"/>
        <v>.</v>
      </c>
      <c r="AX427" s="214"/>
      <c r="AY427" s="3"/>
      <c r="AZ427" s="3"/>
      <c r="BA427" s="3"/>
      <c r="BB427" s="3"/>
    </row>
    <row r="428" spans="1:54" ht="12" x14ac:dyDescent="0.25">
      <c r="A428" s="3"/>
      <c r="B428" s="212"/>
      <c r="C428" s="718"/>
      <c r="D428" s="715"/>
      <c r="E428" s="579"/>
      <c r="F428" s="579"/>
      <c r="G428" s="578"/>
      <c r="H428" s="578"/>
      <c r="I428" s="578"/>
      <c r="J428" s="578"/>
      <c r="K428" s="578"/>
      <c r="L428" s="578"/>
      <c r="M428" s="220"/>
      <c r="N428" s="3"/>
      <c r="O428" s="3"/>
      <c r="P428" s="3"/>
      <c r="Q428" s="3"/>
      <c r="R428" s="212"/>
      <c r="S428" s="699" t="str">
        <f t="shared" si="295"/>
        <v>.</v>
      </c>
      <c r="T428" s="700" t="str">
        <f t="shared" si="296"/>
        <v>.</v>
      </c>
      <c r="U428" s="700" t="str">
        <f t="shared" si="297"/>
        <v>.</v>
      </c>
      <c r="V428" s="700" t="str">
        <f t="shared" si="298"/>
        <v>.</v>
      </c>
      <c r="W428" s="700" t="str">
        <f t="shared" si="299"/>
        <v>.</v>
      </c>
      <c r="X428" s="700" t="str">
        <f t="shared" si="300"/>
        <v>.</v>
      </c>
      <c r="Y428" s="701" t="str">
        <f t="shared" si="301"/>
        <v>.</v>
      </c>
      <c r="Z428" s="3"/>
      <c r="AA428" s="985" t="str">
        <f t="shared" si="302"/>
        <v>.</v>
      </c>
      <c r="AB428" s="702" t="str">
        <f t="shared" si="303"/>
        <v>.</v>
      </c>
      <c r="AC428" s="702" t="str">
        <f t="shared" si="304"/>
        <v>.</v>
      </c>
      <c r="AD428" s="702" t="str">
        <f t="shared" si="305"/>
        <v>.</v>
      </c>
      <c r="AE428" s="702" t="str">
        <f t="shared" si="306"/>
        <v>.</v>
      </c>
      <c r="AF428" s="702" t="str">
        <f t="shared" si="307"/>
        <v>.</v>
      </c>
      <c r="AG428" s="986" t="str">
        <f t="shared" si="308"/>
        <v>.</v>
      </c>
      <c r="AH428" s="3"/>
      <c r="AI428" s="699" t="str">
        <f>IF(S428=".",".",SUM($S428:S428))</f>
        <v>.</v>
      </c>
      <c r="AJ428" s="700" t="str">
        <f>IF(T428=".",".",SUM($S428:T428))</f>
        <v>.</v>
      </c>
      <c r="AK428" s="700" t="str">
        <f>IF(U428=".",".",SUM($S428:U428))</f>
        <v>.</v>
      </c>
      <c r="AL428" s="700" t="str">
        <f>IF(V428=".",".",SUM($S428:V428))</f>
        <v>.</v>
      </c>
      <c r="AM428" s="700" t="str">
        <f>IF(W428=".",".",SUM($S428:W428))</f>
        <v>.</v>
      </c>
      <c r="AN428" s="700" t="str">
        <f>IF(X428=".",".",SUM($S428:X428))</f>
        <v>.</v>
      </c>
      <c r="AO428" s="701" t="str">
        <f>IF(Y428=".",".",SUM($S428:Y428))</f>
        <v>.</v>
      </c>
      <c r="AP428" s="3"/>
      <c r="AQ428" s="985" t="str">
        <f t="shared" si="309"/>
        <v>.</v>
      </c>
      <c r="AR428" s="702" t="str">
        <f t="shared" si="310"/>
        <v>.</v>
      </c>
      <c r="AS428" s="702" t="str">
        <f t="shared" si="311"/>
        <v>.</v>
      </c>
      <c r="AT428" s="702" t="str">
        <f t="shared" si="312"/>
        <v>.</v>
      </c>
      <c r="AU428" s="702" t="str">
        <f t="shared" si="313"/>
        <v>.</v>
      </c>
      <c r="AV428" s="702" t="str">
        <f t="shared" si="314"/>
        <v>.</v>
      </c>
      <c r="AW428" s="986" t="str">
        <f t="shared" si="315"/>
        <v>.</v>
      </c>
      <c r="AX428" s="214"/>
      <c r="AY428" s="3"/>
      <c r="AZ428" s="3"/>
      <c r="BA428" s="3"/>
      <c r="BB428" s="3"/>
    </row>
    <row r="429" spans="1:54" ht="12" x14ac:dyDescent="0.25">
      <c r="A429" s="3"/>
      <c r="B429" s="212"/>
      <c r="C429" s="718"/>
      <c r="D429" s="715"/>
      <c r="E429" s="579"/>
      <c r="F429" s="579"/>
      <c r="G429" s="578"/>
      <c r="H429" s="578"/>
      <c r="I429" s="578"/>
      <c r="J429" s="578"/>
      <c r="K429" s="578"/>
      <c r="L429" s="578"/>
      <c r="M429" s="220"/>
      <c r="N429" s="3"/>
      <c r="O429" s="3"/>
      <c r="P429" s="3"/>
      <c r="Q429" s="3"/>
      <c r="R429" s="212"/>
      <c r="S429" s="699" t="str">
        <f t="shared" si="295"/>
        <v>.</v>
      </c>
      <c r="T429" s="700" t="str">
        <f t="shared" si="296"/>
        <v>.</v>
      </c>
      <c r="U429" s="700" t="str">
        <f t="shared" si="297"/>
        <v>.</v>
      </c>
      <c r="V429" s="700" t="str">
        <f t="shared" si="298"/>
        <v>.</v>
      </c>
      <c r="W429" s="700" t="str">
        <f t="shared" si="299"/>
        <v>.</v>
      </c>
      <c r="X429" s="700" t="str">
        <f t="shared" si="300"/>
        <v>.</v>
      </c>
      <c r="Y429" s="701" t="str">
        <f t="shared" si="301"/>
        <v>.</v>
      </c>
      <c r="Z429" s="3"/>
      <c r="AA429" s="985" t="str">
        <f t="shared" si="302"/>
        <v>.</v>
      </c>
      <c r="AB429" s="702" t="str">
        <f t="shared" si="303"/>
        <v>.</v>
      </c>
      <c r="AC429" s="702" t="str">
        <f t="shared" si="304"/>
        <v>.</v>
      </c>
      <c r="AD429" s="702" t="str">
        <f t="shared" si="305"/>
        <v>.</v>
      </c>
      <c r="AE429" s="702" t="str">
        <f t="shared" si="306"/>
        <v>.</v>
      </c>
      <c r="AF429" s="702" t="str">
        <f t="shared" si="307"/>
        <v>.</v>
      </c>
      <c r="AG429" s="986" t="str">
        <f t="shared" si="308"/>
        <v>.</v>
      </c>
      <c r="AH429" s="3"/>
      <c r="AI429" s="699" t="str">
        <f>IF(S429=".",".",SUM($S429:S429))</f>
        <v>.</v>
      </c>
      <c r="AJ429" s="700" t="str">
        <f>IF(T429=".",".",SUM($S429:T429))</f>
        <v>.</v>
      </c>
      <c r="AK429" s="700" t="str">
        <f>IF(U429=".",".",SUM($S429:U429))</f>
        <v>.</v>
      </c>
      <c r="AL429" s="700" t="str">
        <f>IF(V429=".",".",SUM($S429:V429))</f>
        <v>.</v>
      </c>
      <c r="AM429" s="700" t="str">
        <f>IF(W429=".",".",SUM($S429:W429))</f>
        <v>.</v>
      </c>
      <c r="AN429" s="700" t="str">
        <f>IF(X429=".",".",SUM($S429:X429))</f>
        <v>.</v>
      </c>
      <c r="AO429" s="701" t="str">
        <f>IF(Y429=".",".",SUM($S429:Y429))</f>
        <v>.</v>
      </c>
      <c r="AP429" s="3"/>
      <c r="AQ429" s="985" t="str">
        <f t="shared" si="309"/>
        <v>.</v>
      </c>
      <c r="AR429" s="702" t="str">
        <f t="shared" si="310"/>
        <v>.</v>
      </c>
      <c r="AS429" s="702" t="str">
        <f t="shared" si="311"/>
        <v>.</v>
      </c>
      <c r="AT429" s="702" t="str">
        <f t="shared" si="312"/>
        <v>.</v>
      </c>
      <c r="AU429" s="702" t="str">
        <f t="shared" si="313"/>
        <v>.</v>
      </c>
      <c r="AV429" s="702" t="str">
        <f t="shared" si="314"/>
        <v>.</v>
      </c>
      <c r="AW429" s="986" t="str">
        <f t="shared" si="315"/>
        <v>.</v>
      </c>
      <c r="AX429" s="214"/>
      <c r="AY429" s="3"/>
      <c r="AZ429" s="3"/>
      <c r="BA429" s="3"/>
      <c r="BB429" s="3"/>
    </row>
    <row r="430" spans="1:54" ht="12" x14ac:dyDescent="0.25">
      <c r="A430" s="3"/>
      <c r="B430" s="212"/>
      <c r="C430" s="718"/>
      <c r="D430" s="715"/>
      <c r="E430" s="579"/>
      <c r="F430" s="579"/>
      <c r="G430" s="578"/>
      <c r="H430" s="578"/>
      <c r="I430" s="578"/>
      <c r="J430" s="578"/>
      <c r="K430" s="578"/>
      <c r="L430" s="578"/>
      <c r="M430" s="220"/>
      <c r="N430" s="3"/>
      <c r="O430" s="3"/>
      <c r="P430" s="3"/>
      <c r="Q430" s="3"/>
      <c r="R430" s="212"/>
      <c r="S430" s="699" t="str">
        <f t="shared" si="295"/>
        <v>.</v>
      </c>
      <c r="T430" s="700" t="str">
        <f t="shared" si="296"/>
        <v>.</v>
      </c>
      <c r="U430" s="700" t="str">
        <f t="shared" si="297"/>
        <v>.</v>
      </c>
      <c r="V430" s="700" t="str">
        <f t="shared" si="298"/>
        <v>.</v>
      </c>
      <c r="W430" s="700" t="str">
        <f t="shared" si="299"/>
        <v>.</v>
      </c>
      <c r="X430" s="700" t="str">
        <f t="shared" si="300"/>
        <v>.</v>
      </c>
      <c r="Y430" s="701" t="str">
        <f t="shared" si="301"/>
        <v>.</v>
      </c>
      <c r="Z430" s="3"/>
      <c r="AA430" s="985" t="str">
        <f t="shared" si="302"/>
        <v>.</v>
      </c>
      <c r="AB430" s="702" t="str">
        <f t="shared" si="303"/>
        <v>.</v>
      </c>
      <c r="AC430" s="702" t="str">
        <f t="shared" si="304"/>
        <v>.</v>
      </c>
      <c r="AD430" s="702" t="str">
        <f t="shared" si="305"/>
        <v>.</v>
      </c>
      <c r="AE430" s="702" t="str">
        <f t="shared" si="306"/>
        <v>.</v>
      </c>
      <c r="AF430" s="702" t="str">
        <f t="shared" si="307"/>
        <v>.</v>
      </c>
      <c r="AG430" s="986" t="str">
        <f t="shared" si="308"/>
        <v>.</v>
      </c>
      <c r="AH430" s="3"/>
      <c r="AI430" s="699" t="str">
        <f>IF(S430=".",".",SUM($S430:S430))</f>
        <v>.</v>
      </c>
      <c r="AJ430" s="700" t="str">
        <f>IF(T430=".",".",SUM($S430:T430))</f>
        <v>.</v>
      </c>
      <c r="AK430" s="700" t="str">
        <f>IF(U430=".",".",SUM($S430:U430))</f>
        <v>.</v>
      </c>
      <c r="AL430" s="700" t="str">
        <f>IF(V430=".",".",SUM($S430:V430))</f>
        <v>.</v>
      </c>
      <c r="AM430" s="700" t="str">
        <f>IF(W430=".",".",SUM($S430:W430))</f>
        <v>.</v>
      </c>
      <c r="AN430" s="700" t="str">
        <f>IF(X430=".",".",SUM($S430:X430))</f>
        <v>.</v>
      </c>
      <c r="AO430" s="701" t="str">
        <f>IF(Y430=".",".",SUM($S430:Y430))</f>
        <v>.</v>
      </c>
      <c r="AP430" s="3"/>
      <c r="AQ430" s="985" t="str">
        <f t="shared" si="309"/>
        <v>.</v>
      </c>
      <c r="AR430" s="702" t="str">
        <f t="shared" si="310"/>
        <v>.</v>
      </c>
      <c r="AS430" s="702" t="str">
        <f t="shared" si="311"/>
        <v>.</v>
      </c>
      <c r="AT430" s="702" t="str">
        <f t="shared" si="312"/>
        <v>.</v>
      </c>
      <c r="AU430" s="702" t="str">
        <f t="shared" si="313"/>
        <v>.</v>
      </c>
      <c r="AV430" s="702" t="str">
        <f t="shared" si="314"/>
        <v>.</v>
      </c>
      <c r="AW430" s="986" t="str">
        <f t="shared" si="315"/>
        <v>.</v>
      </c>
      <c r="AX430" s="214"/>
      <c r="AY430" s="3"/>
      <c r="AZ430" s="3"/>
      <c r="BA430" s="3"/>
      <c r="BB430" s="3"/>
    </row>
    <row r="431" spans="1:54" ht="12" x14ac:dyDescent="0.25">
      <c r="A431" s="3"/>
      <c r="B431" s="212"/>
      <c r="C431" s="718"/>
      <c r="D431" s="715"/>
      <c r="E431" s="579"/>
      <c r="F431" s="579"/>
      <c r="G431" s="578"/>
      <c r="H431" s="578"/>
      <c r="I431" s="578"/>
      <c r="J431" s="578"/>
      <c r="K431" s="578"/>
      <c r="L431" s="578"/>
      <c r="M431" s="220"/>
      <c r="N431" s="3"/>
      <c r="O431" s="3"/>
      <c r="P431" s="3"/>
      <c r="Q431" s="3"/>
      <c r="R431" s="212"/>
      <c r="S431" s="699" t="str">
        <f t="shared" si="295"/>
        <v>.</v>
      </c>
      <c r="T431" s="700" t="str">
        <f t="shared" si="296"/>
        <v>.</v>
      </c>
      <c r="U431" s="700" t="str">
        <f t="shared" si="297"/>
        <v>.</v>
      </c>
      <c r="V431" s="700" t="str">
        <f t="shared" si="298"/>
        <v>.</v>
      </c>
      <c r="W431" s="700" t="str">
        <f t="shared" si="299"/>
        <v>.</v>
      </c>
      <c r="X431" s="700" t="str">
        <f t="shared" si="300"/>
        <v>.</v>
      </c>
      <c r="Y431" s="701" t="str">
        <f t="shared" si="301"/>
        <v>.</v>
      </c>
      <c r="Z431" s="3"/>
      <c r="AA431" s="985" t="str">
        <f t="shared" si="302"/>
        <v>.</v>
      </c>
      <c r="AB431" s="702" t="str">
        <f t="shared" si="303"/>
        <v>.</v>
      </c>
      <c r="AC431" s="702" t="str">
        <f t="shared" si="304"/>
        <v>.</v>
      </c>
      <c r="AD431" s="702" t="str">
        <f t="shared" si="305"/>
        <v>.</v>
      </c>
      <c r="AE431" s="702" t="str">
        <f t="shared" si="306"/>
        <v>.</v>
      </c>
      <c r="AF431" s="702" t="str">
        <f t="shared" si="307"/>
        <v>.</v>
      </c>
      <c r="AG431" s="986" t="str">
        <f t="shared" si="308"/>
        <v>.</v>
      </c>
      <c r="AH431" s="3"/>
      <c r="AI431" s="699" t="str">
        <f>IF(S431=".",".",SUM($S431:S431))</f>
        <v>.</v>
      </c>
      <c r="AJ431" s="700" t="str">
        <f>IF(T431=".",".",SUM($S431:T431))</f>
        <v>.</v>
      </c>
      <c r="AK431" s="700" t="str">
        <f>IF(U431=".",".",SUM($S431:U431))</f>
        <v>.</v>
      </c>
      <c r="AL431" s="700" t="str">
        <f>IF(V431=".",".",SUM($S431:V431))</f>
        <v>.</v>
      </c>
      <c r="AM431" s="700" t="str">
        <f>IF(W431=".",".",SUM($S431:W431))</f>
        <v>.</v>
      </c>
      <c r="AN431" s="700" t="str">
        <f>IF(X431=".",".",SUM($S431:X431))</f>
        <v>.</v>
      </c>
      <c r="AO431" s="701" t="str">
        <f>IF(Y431=".",".",SUM($S431:Y431))</f>
        <v>.</v>
      </c>
      <c r="AP431" s="3"/>
      <c r="AQ431" s="985" t="str">
        <f t="shared" si="309"/>
        <v>.</v>
      </c>
      <c r="AR431" s="702" t="str">
        <f t="shared" si="310"/>
        <v>.</v>
      </c>
      <c r="AS431" s="702" t="str">
        <f t="shared" si="311"/>
        <v>.</v>
      </c>
      <c r="AT431" s="702" t="str">
        <f t="shared" si="312"/>
        <v>.</v>
      </c>
      <c r="AU431" s="702" t="str">
        <f t="shared" si="313"/>
        <v>.</v>
      </c>
      <c r="AV431" s="702" t="str">
        <f t="shared" si="314"/>
        <v>.</v>
      </c>
      <c r="AW431" s="986" t="str">
        <f t="shared" si="315"/>
        <v>.</v>
      </c>
      <c r="AX431" s="214"/>
      <c r="AY431" s="3"/>
      <c r="AZ431" s="3"/>
      <c r="BA431" s="3"/>
      <c r="BB431" s="3"/>
    </row>
    <row r="432" spans="1:54" ht="12" x14ac:dyDescent="0.25">
      <c r="A432" s="3"/>
      <c r="B432" s="212"/>
      <c r="C432" s="719"/>
      <c r="D432" s="716"/>
      <c r="E432" s="581"/>
      <c r="F432" s="581"/>
      <c r="G432" s="163"/>
      <c r="H432" s="163"/>
      <c r="I432" s="163"/>
      <c r="J432" s="163"/>
      <c r="K432" s="163"/>
      <c r="L432" s="163"/>
      <c r="M432" s="220"/>
      <c r="N432" s="3"/>
      <c r="O432" s="3"/>
      <c r="P432" s="3"/>
      <c r="Q432" s="3"/>
      <c r="R432" s="212"/>
      <c r="S432" s="703" t="str">
        <f t="shared" si="295"/>
        <v>.</v>
      </c>
      <c r="T432" s="704" t="str">
        <f t="shared" si="296"/>
        <v>.</v>
      </c>
      <c r="U432" s="704" t="str">
        <f t="shared" si="297"/>
        <v>.</v>
      </c>
      <c r="V432" s="704" t="str">
        <f t="shared" si="298"/>
        <v>.</v>
      </c>
      <c r="W432" s="704" t="str">
        <f t="shared" si="299"/>
        <v>.</v>
      </c>
      <c r="X432" s="704" t="str">
        <f t="shared" si="300"/>
        <v>.</v>
      </c>
      <c r="Y432" s="705" t="str">
        <f t="shared" si="301"/>
        <v>.</v>
      </c>
      <c r="Z432" s="3"/>
      <c r="AA432" s="987" t="str">
        <f t="shared" si="302"/>
        <v>.</v>
      </c>
      <c r="AB432" s="988" t="str">
        <f t="shared" si="303"/>
        <v>.</v>
      </c>
      <c r="AC432" s="988" t="str">
        <f t="shared" si="304"/>
        <v>.</v>
      </c>
      <c r="AD432" s="988" t="str">
        <f t="shared" si="305"/>
        <v>.</v>
      </c>
      <c r="AE432" s="988" t="str">
        <f t="shared" si="306"/>
        <v>.</v>
      </c>
      <c r="AF432" s="988" t="str">
        <f t="shared" si="307"/>
        <v>.</v>
      </c>
      <c r="AG432" s="989" t="str">
        <f t="shared" si="308"/>
        <v>.</v>
      </c>
      <c r="AH432" s="3"/>
      <c r="AI432" s="703" t="str">
        <f>IF(S432=".",".",SUM($S432:S432))</f>
        <v>.</v>
      </c>
      <c r="AJ432" s="704" t="str">
        <f>IF(T432=".",".",SUM($S432:T432))</f>
        <v>.</v>
      </c>
      <c r="AK432" s="704" t="str">
        <f>IF(U432=".",".",SUM($S432:U432))</f>
        <v>.</v>
      </c>
      <c r="AL432" s="704" t="str">
        <f>IF(V432=".",".",SUM($S432:V432))</f>
        <v>.</v>
      </c>
      <c r="AM432" s="704" t="str">
        <f>IF(W432=".",".",SUM($S432:W432))</f>
        <v>.</v>
      </c>
      <c r="AN432" s="704" t="str">
        <f>IF(X432=".",".",SUM($S432:X432))</f>
        <v>.</v>
      </c>
      <c r="AO432" s="705" t="str">
        <f>IF(Y432=".",".",SUM($S432:Y432))</f>
        <v>.</v>
      </c>
      <c r="AP432" s="3"/>
      <c r="AQ432" s="987" t="str">
        <f t="shared" si="309"/>
        <v>.</v>
      </c>
      <c r="AR432" s="988" t="str">
        <f t="shared" si="310"/>
        <v>.</v>
      </c>
      <c r="AS432" s="988" t="str">
        <f t="shared" si="311"/>
        <v>.</v>
      </c>
      <c r="AT432" s="988" t="str">
        <f t="shared" si="312"/>
        <v>.</v>
      </c>
      <c r="AU432" s="988" t="str">
        <f t="shared" si="313"/>
        <v>.</v>
      </c>
      <c r="AV432" s="988" t="str">
        <f t="shared" si="314"/>
        <v>.</v>
      </c>
      <c r="AW432" s="989" t="str">
        <f t="shared" si="315"/>
        <v>.</v>
      </c>
      <c r="AX432" s="214"/>
      <c r="AY432" s="3"/>
      <c r="AZ432" s="3"/>
      <c r="BA432" s="3"/>
      <c r="BB432" s="3"/>
    </row>
    <row r="433" spans="1:54" ht="12" x14ac:dyDescent="0.25">
      <c r="A433" s="3"/>
      <c r="B433" s="212"/>
      <c r="C433" s="3"/>
      <c r="D433" s="3"/>
      <c r="E433" s="77"/>
      <c r="F433" s="77"/>
      <c r="G433" s="3"/>
      <c r="H433" s="3"/>
      <c r="I433" s="3"/>
      <c r="J433" s="3"/>
      <c r="K433" s="3"/>
      <c r="L433" s="3"/>
      <c r="M433" s="220"/>
      <c r="N433" s="3"/>
      <c r="O433" s="3"/>
      <c r="P433" s="3"/>
      <c r="Q433" s="3"/>
      <c r="R433" s="212"/>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214"/>
      <c r="AY433" s="3"/>
      <c r="AZ433" s="3"/>
      <c r="BA433" s="3"/>
      <c r="BB433" s="3"/>
    </row>
    <row r="434" spans="1:54" ht="12" x14ac:dyDescent="0.25">
      <c r="A434" s="3"/>
      <c r="B434" s="212"/>
      <c r="C434" s="3"/>
      <c r="D434" s="3"/>
      <c r="E434" s="77"/>
      <c r="F434" s="77"/>
      <c r="G434" s="3"/>
      <c r="H434" s="3"/>
      <c r="I434" s="3"/>
      <c r="J434" s="3"/>
      <c r="K434" s="3"/>
      <c r="L434" s="3"/>
      <c r="M434" s="220"/>
      <c r="N434" s="3"/>
      <c r="O434" s="3"/>
      <c r="P434" s="3"/>
      <c r="Q434" s="3"/>
      <c r="R434" s="212"/>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214"/>
      <c r="AY434" s="3"/>
      <c r="AZ434" s="3"/>
      <c r="BA434" s="3"/>
      <c r="BB434" s="3"/>
    </row>
    <row r="435" spans="1:54" ht="12" x14ac:dyDescent="0.25">
      <c r="A435" s="3"/>
      <c r="B435" s="212"/>
      <c r="C435" s="2"/>
      <c r="D435" s="3"/>
      <c r="E435" s="77"/>
      <c r="F435" s="77"/>
      <c r="G435" s="3"/>
      <c r="H435" s="3"/>
      <c r="I435" s="3"/>
      <c r="J435" s="3"/>
      <c r="K435" s="3"/>
      <c r="L435" s="3"/>
      <c r="M435" s="220"/>
      <c r="N435" s="3"/>
      <c r="O435" s="3"/>
      <c r="P435" s="3"/>
      <c r="Q435" s="3"/>
      <c r="R435" s="212"/>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214"/>
      <c r="AY435" s="3"/>
      <c r="AZ435" s="3"/>
      <c r="BA435" s="3"/>
      <c r="BB435" s="3"/>
    </row>
    <row r="436" spans="1:54" ht="12" x14ac:dyDescent="0.25">
      <c r="A436" s="3"/>
      <c r="B436" s="212"/>
      <c r="C436" s="3"/>
      <c r="D436" s="3"/>
      <c r="E436" s="77"/>
      <c r="F436" s="77"/>
      <c r="G436" s="3"/>
      <c r="H436" s="3"/>
      <c r="I436" s="3"/>
      <c r="J436" s="3"/>
      <c r="K436" s="3"/>
      <c r="L436" s="3"/>
      <c r="M436" s="220"/>
      <c r="N436" s="3"/>
      <c r="O436" s="3"/>
      <c r="P436" s="3"/>
      <c r="Q436" s="3"/>
      <c r="R436" s="212"/>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214"/>
      <c r="AY436" s="3"/>
      <c r="AZ436" s="3"/>
      <c r="BA436" s="3"/>
      <c r="BB436" s="3"/>
    </row>
    <row r="437" spans="1:54" ht="13.8" x14ac:dyDescent="0.25">
      <c r="A437" s="3"/>
      <c r="B437" s="212"/>
      <c r="C437" s="1246" t="s">
        <v>837</v>
      </c>
      <c r="D437" s="1064"/>
      <c r="E437" s="1183" t="str">
        <f>$H$21</f>
        <v>$ nominal per year</v>
      </c>
      <c r="F437" s="1177"/>
      <c r="G437" s="1179"/>
      <c r="H437" s="1179"/>
      <c r="I437" s="1179"/>
      <c r="J437" s="1179"/>
      <c r="K437" s="1179"/>
      <c r="L437" s="1180"/>
      <c r="M437" s="220"/>
      <c r="N437" s="3"/>
      <c r="O437" s="3"/>
      <c r="P437" s="3"/>
      <c r="Q437" s="3"/>
      <c r="R437" s="212"/>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214"/>
      <c r="AY437" s="3"/>
      <c r="AZ437" s="3"/>
      <c r="BA437" s="3"/>
      <c r="BB437" s="3"/>
    </row>
    <row r="438" spans="1:54" ht="12" x14ac:dyDescent="0.25">
      <c r="A438" s="3"/>
      <c r="B438" s="212"/>
      <c r="C438" s="183" t="s">
        <v>824</v>
      </c>
      <c r="D438" s="184"/>
      <c r="E438" s="560"/>
      <c r="F438" s="560"/>
      <c r="G438" s="185"/>
      <c r="H438" s="185"/>
      <c r="I438" s="185"/>
      <c r="J438" s="185"/>
      <c r="K438" s="185"/>
      <c r="L438" s="186"/>
      <c r="M438" s="220"/>
      <c r="N438" s="3"/>
      <c r="O438" s="3"/>
      <c r="P438" s="3"/>
      <c r="Q438" s="3"/>
      <c r="R438" s="212"/>
      <c r="S438" s="620" t="str">
        <f>S$21</f>
        <v>Annual increases (nominal $ per year)</v>
      </c>
      <c r="T438" s="3"/>
      <c r="U438" s="3"/>
      <c r="V438" s="3"/>
      <c r="W438" s="3"/>
      <c r="X438" s="3"/>
      <c r="Y438" s="3"/>
      <c r="Z438" s="3"/>
      <c r="AA438" s="620" t="str">
        <f>AA$21</f>
        <v>Annual increases (%)</v>
      </c>
      <c r="AB438" s="3"/>
      <c r="AC438" s="3"/>
      <c r="AD438" s="3"/>
      <c r="AE438" s="3"/>
      <c r="AF438" s="3"/>
      <c r="AG438" s="3"/>
      <c r="AH438" s="3"/>
      <c r="AI438" s="620" t="str">
        <f>AI$21</f>
        <v>Cumulative increases (nominal $ per year)</v>
      </c>
      <c r="AJ438" s="3"/>
      <c r="AK438" s="3"/>
      <c r="AL438" s="3"/>
      <c r="AM438" s="3"/>
      <c r="AN438" s="3"/>
      <c r="AO438" s="3"/>
      <c r="AP438" s="3"/>
      <c r="AQ438" s="620" t="str">
        <f>AQ$21</f>
        <v>Cumulative increases (%)</v>
      </c>
      <c r="AR438" s="3"/>
      <c r="AS438" s="3"/>
      <c r="AT438" s="3"/>
      <c r="AU438" s="3"/>
      <c r="AV438" s="3"/>
      <c r="AW438" s="3"/>
      <c r="AX438" s="214"/>
      <c r="AY438" s="3"/>
      <c r="AZ438" s="3"/>
      <c r="BA438" s="3"/>
      <c r="BB438" s="3"/>
    </row>
    <row r="439" spans="1:54" ht="39" customHeight="1" x14ac:dyDescent="0.25">
      <c r="A439" s="3"/>
      <c r="B439" s="212"/>
      <c r="C439" s="1205" t="s">
        <v>825</v>
      </c>
      <c r="D439" s="1181"/>
      <c r="E439" s="178" t="s">
        <v>826</v>
      </c>
      <c r="F439" s="178" t="s">
        <v>827</v>
      </c>
      <c r="G439" s="178" t="s">
        <v>828</v>
      </c>
      <c r="H439" s="178" t="s">
        <v>829</v>
      </c>
      <c r="I439" s="178" t="s">
        <v>830</v>
      </c>
      <c r="J439" s="178" t="s">
        <v>831</v>
      </c>
      <c r="K439" s="178" t="s">
        <v>832</v>
      </c>
      <c r="L439" s="178" t="s">
        <v>833</v>
      </c>
      <c r="M439" s="220"/>
      <c r="N439" s="3"/>
      <c r="O439" s="3"/>
      <c r="P439" s="3"/>
      <c r="Q439" s="3"/>
      <c r="R439" s="212"/>
      <c r="S439" s="1234" t="str">
        <f>C437</f>
        <v>Other Annual Charges</v>
      </c>
      <c r="T439" s="928"/>
      <c r="U439" s="928"/>
      <c r="V439" s="928"/>
      <c r="W439" s="928"/>
      <c r="X439" s="928"/>
      <c r="Y439" s="929"/>
      <c r="Z439" s="3"/>
      <c r="AA439" s="1234" t="str">
        <f>$S439</f>
        <v>Other Annual Charges</v>
      </c>
      <c r="AB439" s="928"/>
      <c r="AC439" s="928"/>
      <c r="AD439" s="928"/>
      <c r="AE439" s="928"/>
      <c r="AF439" s="928"/>
      <c r="AG439" s="929"/>
      <c r="AH439" s="3"/>
      <c r="AI439" s="1234" t="str">
        <f>$S439</f>
        <v>Other Annual Charges</v>
      </c>
      <c r="AJ439" s="928"/>
      <c r="AK439" s="928"/>
      <c r="AL439" s="928"/>
      <c r="AM439" s="928"/>
      <c r="AN439" s="928"/>
      <c r="AO439" s="929"/>
      <c r="AP439" s="3"/>
      <c r="AQ439" s="1234" t="str">
        <f>$S439</f>
        <v>Other Annual Charges</v>
      </c>
      <c r="AR439" s="928"/>
      <c r="AS439" s="928"/>
      <c r="AT439" s="928"/>
      <c r="AU439" s="928"/>
      <c r="AV439" s="928"/>
      <c r="AW439" s="929"/>
      <c r="AX439" s="214"/>
      <c r="AY439" s="3"/>
      <c r="AZ439" s="3"/>
      <c r="BA439" s="3"/>
      <c r="BB439" s="3"/>
    </row>
    <row r="440" spans="1:54" ht="12" x14ac:dyDescent="0.25">
      <c r="A440" s="3"/>
      <c r="B440" s="212"/>
      <c r="C440" s="97"/>
      <c r="D440" s="98"/>
      <c r="E440" s="146" t="str">
        <f t="shared" ref="E440:L440" si="316">E412</f>
        <v>2022-23</v>
      </c>
      <c r="F440" s="146" t="str">
        <f t="shared" si="316"/>
        <v>2023-24</v>
      </c>
      <c r="G440" s="146" t="str">
        <f t="shared" si="316"/>
        <v>2024-25</v>
      </c>
      <c r="H440" s="146" t="str">
        <f t="shared" si="316"/>
        <v>2025-26</v>
      </c>
      <c r="I440" s="146" t="str">
        <f t="shared" si="316"/>
        <v>2026-27</v>
      </c>
      <c r="J440" s="146" t="str">
        <f t="shared" si="316"/>
        <v>2027-28</v>
      </c>
      <c r="K440" s="146" t="str">
        <f t="shared" si="316"/>
        <v>2028-29</v>
      </c>
      <c r="L440" s="146" t="str">
        <f t="shared" si="316"/>
        <v>2029-30</v>
      </c>
      <c r="M440" s="220"/>
      <c r="N440" s="3"/>
      <c r="O440" s="3"/>
      <c r="P440" s="3"/>
      <c r="Q440" s="3"/>
      <c r="R440" s="212"/>
      <c r="S440" s="696" t="str">
        <f>S$23</f>
        <v>Year 1</v>
      </c>
      <c r="T440" s="697" t="str">
        <f t="shared" ref="T440:Y440" si="317">T$23</f>
        <v>Year 2</v>
      </c>
      <c r="U440" s="697" t="str">
        <f t="shared" si="317"/>
        <v>Year 3</v>
      </c>
      <c r="V440" s="697" t="str">
        <f t="shared" si="317"/>
        <v>Year 4</v>
      </c>
      <c r="W440" s="697" t="str">
        <f t="shared" si="317"/>
        <v>Year 5</v>
      </c>
      <c r="X440" s="697" t="str">
        <f t="shared" si="317"/>
        <v>Year 6</v>
      </c>
      <c r="Y440" s="698" t="str">
        <f t="shared" si="317"/>
        <v>Year 7</v>
      </c>
      <c r="Z440" s="80"/>
      <c r="AA440" s="696" t="str">
        <f t="shared" ref="AA440:AG440" si="318">AA$23</f>
        <v>Year 1</v>
      </c>
      <c r="AB440" s="697" t="str">
        <f t="shared" si="318"/>
        <v>Year 2</v>
      </c>
      <c r="AC440" s="697" t="str">
        <f t="shared" si="318"/>
        <v>Year 3</v>
      </c>
      <c r="AD440" s="697" t="str">
        <f t="shared" si="318"/>
        <v>Year 4</v>
      </c>
      <c r="AE440" s="697" t="str">
        <f t="shared" si="318"/>
        <v>Year 5</v>
      </c>
      <c r="AF440" s="697" t="str">
        <f t="shared" si="318"/>
        <v>Year 6</v>
      </c>
      <c r="AG440" s="698" t="str">
        <f t="shared" si="318"/>
        <v>Year 7</v>
      </c>
      <c r="AH440" s="80"/>
      <c r="AI440" s="696" t="str">
        <f>AI$23</f>
        <v>Year 1</v>
      </c>
      <c r="AJ440" s="697" t="str">
        <f t="shared" ref="AJ440:AO440" si="319">AJ$23</f>
        <v>Year 2</v>
      </c>
      <c r="AK440" s="697" t="str">
        <f t="shared" si="319"/>
        <v>Year 3</v>
      </c>
      <c r="AL440" s="697" t="str">
        <f t="shared" si="319"/>
        <v>Year 4</v>
      </c>
      <c r="AM440" s="697" t="str">
        <f t="shared" si="319"/>
        <v>Year 5</v>
      </c>
      <c r="AN440" s="697" t="str">
        <f t="shared" si="319"/>
        <v>Year 6</v>
      </c>
      <c r="AO440" s="698" t="str">
        <f t="shared" si="319"/>
        <v>Year 7</v>
      </c>
      <c r="AP440" s="80"/>
      <c r="AQ440" s="696" t="str">
        <f>AQ$23</f>
        <v>Year 1</v>
      </c>
      <c r="AR440" s="697" t="str">
        <f t="shared" ref="AR440:AW440" si="320">AR$23</f>
        <v>Year 2</v>
      </c>
      <c r="AS440" s="697" t="str">
        <f t="shared" si="320"/>
        <v>Year 3</v>
      </c>
      <c r="AT440" s="697" t="str">
        <f t="shared" si="320"/>
        <v>Year 4</v>
      </c>
      <c r="AU440" s="697" t="str">
        <f t="shared" si="320"/>
        <v>Year 5</v>
      </c>
      <c r="AV440" s="697" t="str">
        <f t="shared" si="320"/>
        <v>Year 6</v>
      </c>
      <c r="AW440" s="698" t="str">
        <f t="shared" si="320"/>
        <v>Year 7</v>
      </c>
      <c r="AX440" s="214"/>
      <c r="AY440" s="3"/>
      <c r="AZ440" s="3"/>
      <c r="BA440" s="3"/>
      <c r="BB440" s="3"/>
    </row>
    <row r="441" spans="1:54" ht="12" x14ac:dyDescent="0.25">
      <c r="A441" s="3"/>
      <c r="B441" s="212"/>
      <c r="C441" s="1247"/>
      <c r="D441" s="1182"/>
      <c r="E441" s="1237"/>
      <c r="F441" s="1237"/>
      <c r="G441" s="1214"/>
      <c r="H441" s="1214"/>
      <c r="I441" s="1214"/>
      <c r="J441" s="1214"/>
      <c r="K441" s="1214"/>
      <c r="L441" s="1214"/>
      <c r="M441" s="220"/>
      <c r="N441" s="3"/>
      <c r="O441" s="3"/>
      <c r="P441" s="3"/>
      <c r="Q441" s="3"/>
      <c r="R441" s="212"/>
      <c r="S441" s="699" t="str">
        <f t="shared" ref="S441:S450" si="321">IF(F441="",".",F441-E441)</f>
        <v>.</v>
      </c>
      <c r="T441" s="700" t="str">
        <f t="shared" ref="T441:T450" si="322">IF(G441="",".",G441-F441)</f>
        <v>.</v>
      </c>
      <c r="U441" s="700" t="str">
        <f t="shared" ref="U441:U450" si="323">IF(H441="",".",H441-G441)</f>
        <v>.</v>
      </c>
      <c r="V441" s="700" t="str">
        <f t="shared" ref="V441:V450" si="324">IF(I441="",".",I441-H441)</f>
        <v>.</v>
      </c>
      <c r="W441" s="700" t="str">
        <f t="shared" ref="W441:W450" si="325">IF(J441="",".",J441-I441)</f>
        <v>.</v>
      </c>
      <c r="X441" s="700" t="str">
        <f t="shared" ref="X441:X450" si="326">IF(K441="",".",K441-J441)</f>
        <v>.</v>
      </c>
      <c r="Y441" s="701" t="str">
        <f t="shared" ref="Y441:Y450" si="327">IF(L441="",".",L441-K441)</f>
        <v>.</v>
      </c>
      <c r="Z441" s="3"/>
      <c r="AA441" s="985" t="str">
        <f t="shared" ref="AA441:AA450" si="328">IFERROR(F441/E441-1,".")</f>
        <v>.</v>
      </c>
      <c r="AB441" s="702" t="str">
        <f t="shared" ref="AB441:AB450" si="329">IFERROR(G441/F441-1,".")</f>
        <v>.</v>
      </c>
      <c r="AC441" s="702" t="str">
        <f t="shared" ref="AC441:AC450" si="330">IFERROR(H441/G441-1,".")</f>
        <v>.</v>
      </c>
      <c r="AD441" s="702" t="str">
        <f t="shared" ref="AD441:AD450" si="331">IFERROR(I441/H441-1,".")</f>
        <v>.</v>
      </c>
      <c r="AE441" s="702" t="str">
        <f t="shared" ref="AE441:AE450" si="332">IFERROR(J441/I441-1,".")</f>
        <v>.</v>
      </c>
      <c r="AF441" s="702" t="str">
        <f t="shared" ref="AF441:AF450" si="333">IFERROR(K441/J441-1,".")</f>
        <v>.</v>
      </c>
      <c r="AG441" s="986" t="str">
        <f t="shared" ref="AG441:AG450" si="334">IFERROR(L441/K441-1,".")</f>
        <v>.</v>
      </c>
      <c r="AH441" s="3"/>
      <c r="AI441" s="699" t="str">
        <f>IF(S441=".",".",SUM($S441:S441))</f>
        <v>.</v>
      </c>
      <c r="AJ441" s="700" t="str">
        <f>IF(T441=".",".",SUM($S441:T441))</f>
        <v>.</v>
      </c>
      <c r="AK441" s="700" t="str">
        <f>IF(U441=".",".",SUM($S441:U441))</f>
        <v>.</v>
      </c>
      <c r="AL441" s="700" t="str">
        <f>IF(V441=".",".",SUM($S441:V441))</f>
        <v>.</v>
      </c>
      <c r="AM441" s="700" t="str">
        <f>IF(W441=".",".",SUM($S441:W441))</f>
        <v>.</v>
      </c>
      <c r="AN441" s="700" t="str">
        <f>IF(X441=".",".",SUM($S441:X441))</f>
        <v>.</v>
      </c>
      <c r="AO441" s="701" t="str">
        <f>IF(Y441=".",".",SUM($S441:Y441))</f>
        <v>.</v>
      </c>
      <c r="AP441" s="3"/>
      <c r="AQ441" s="985" t="str">
        <f t="shared" ref="AQ441:AQ450" si="335">IFERROR(F441/$E441-1,".")</f>
        <v>.</v>
      </c>
      <c r="AR441" s="702" t="str">
        <f t="shared" ref="AR441:AR450" si="336">IFERROR(G441/$E441-1,".")</f>
        <v>.</v>
      </c>
      <c r="AS441" s="702" t="str">
        <f t="shared" ref="AS441:AS450" si="337">IFERROR(H441/$E441-1,".")</f>
        <v>.</v>
      </c>
      <c r="AT441" s="702" t="str">
        <f t="shared" ref="AT441:AT450" si="338">IFERROR(I441/$E441-1,".")</f>
        <v>.</v>
      </c>
      <c r="AU441" s="702" t="str">
        <f t="shared" ref="AU441:AU450" si="339">IFERROR(J441/$E441-1,".")</f>
        <v>.</v>
      </c>
      <c r="AV441" s="702" t="str">
        <f t="shared" ref="AV441:AV450" si="340">IFERROR(K441/$E441-1,".")</f>
        <v>.</v>
      </c>
      <c r="AW441" s="986" t="str">
        <f t="shared" ref="AW441:AW450" si="341">IFERROR(L441/$E441-1,".")</f>
        <v>.</v>
      </c>
      <c r="AX441" s="214"/>
      <c r="AY441" s="3"/>
      <c r="AZ441" s="3"/>
      <c r="BA441" s="3"/>
      <c r="BB441" s="3"/>
    </row>
    <row r="442" spans="1:54" ht="12" x14ac:dyDescent="0.25">
      <c r="A442" s="3"/>
      <c r="B442" s="212"/>
      <c r="C442" s="718"/>
      <c r="D442" s="715"/>
      <c r="E442" s="579"/>
      <c r="F442" s="579"/>
      <c r="G442" s="578"/>
      <c r="H442" s="578"/>
      <c r="I442" s="578"/>
      <c r="J442" s="578"/>
      <c r="K442" s="578"/>
      <c r="L442" s="578"/>
      <c r="M442" s="220"/>
      <c r="N442" s="3"/>
      <c r="O442" s="3"/>
      <c r="P442" s="3"/>
      <c r="Q442" s="3"/>
      <c r="R442" s="212"/>
      <c r="S442" s="699" t="str">
        <f t="shared" si="321"/>
        <v>.</v>
      </c>
      <c r="T442" s="700" t="str">
        <f t="shared" si="322"/>
        <v>.</v>
      </c>
      <c r="U442" s="700" t="str">
        <f t="shared" si="323"/>
        <v>.</v>
      </c>
      <c r="V442" s="700" t="str">
        <f t="shared" si="324"/>
        <v>.</v>
      </c>
      <c r="W442" s="700" t="str">
        <f t="shared" si="325"/>
        <v>.</v>
      </c>
      <c r="X442" s="700" t="str">
        <f t="shared" si="326"/>
        <v>.</v>
      </c>
      <c r="Y442" s="701" t="str">
        <f t="shared" si="327"/>
        <v>.</v>
      </c>
      <c r="Z442" s="3"/>
      <c r="AA442" s="985" t="str">
        <f t="shared" si="328"/>
        <v>.</v>
      </c>
      <c r="AB442" s="702" t="str">
        <f t="shared" si="329"/>
        <v>.</v>
      </c>
      <c r="AC442" s="702" t="str">
        <f t="shared" si="330"/>
        <v>.</v>
      </c>
      <c r="AD442" s="702" t="str">
        <f t="shared" si="331"/>
        <v>.</v>
      </c>
      <c r="AE442" s="702" t="str">
        <f t="shared" si="332"/>
        <v>.</v>
      </c>
      <c r="AF442" s="702" t="str">
        <f t="shared" si="333"/>
        <v>.</v>
      </c>
      <c r="AG442" s="986" t="str">
        <f t="shared" si="334"/>
        <v>.</v>
      </c>
      <c r="AH442" s="3"/>
      <c r="AI442" s="699" t="str">
        <f>IF(S442=".",".",SUM($S442:S442))</f>
        <v>.</v>
      </c>
      <c r="AJ442" s="700" t="str">
        <f>IF(T442=".",".",SUM($S442:T442))</f>
        <v>.</v>
      </c>
      <c r="AK442" s="700" t="str">
        <f>IF(U442=".",".",SUM($S442:U442))</f>
        <v>.</v>
      </c>
      <c r="AL442" s="700" t="str">
        <f>IF(V442=".",".",SUM($S442:V442))</f>
        <v>.</v>
      </c>
      <c r="AM442" s="700" t="str">
        <f>IF(W442=".",".",SUM($S442:W442))</f>
        <v>.</v>
      </c>
      <c r="AN442" s="700" t="str">
        <f>IF(X442=".",".",SUM($S442:X442))</f>
        <v>.</v>
      </c>
      <c r="AO442" s="701" t="str">
        <f>IF(Y442=".",".",SUM($S442:Y442))</f>
        <v>.</v>
      </c>
      <c r="AP442" s="3"/>
      <c r="AQ442" s="985" t="str">
        <f t="shared" si="335"/>
        <v>.</v>
      </c>
      <c r="AR442" s="702" t="str">
        <f t="shared" si="336"/>
        <v>.</v>
      </c>
      <c r="AS442" s="702" t="str">
        <f t="shared" si="337"/>
        <v>.</v>
      </c>
      <c r="AT442" s="702" t="str">
        <f t="shared" si="338"/>
        <v>.</v>
      </c>
      <c r="AU442" s="702" t="str">
        <f t="shared" si="339"/>
        <v>.</v>
      </c>
      <c r="AV442" s="702" t="str">
        <f t="shared" si="340"/>
        <v>.</v>
      </c>
      <c r="AW442" s="986" t="str">
        <f t="shared" si="341"/>
        <v>.</v>
      </c>
      <c r="AX442" s="214"/>
      <c r="AY442" s="3"/>
      <c r="AZ442" s="3"/>
      <c r="BA442" s="3"/>
      <c r="BB442" s="3"/>
    </row>
    <row r="443" spans="1:54" ht="12" x14ac:dyDescent="0.25">
      <c r="A443" s="3"/>
      <c r="B443" s="212"/>
      <c r="C443" s="718"/>
      <c r="D443" s="715"/>
      <c r="E443" s="579"/>
      <c r="F443" s="579"/>
      <c r="G443" s="578"/>
      <c r="H443" s="578"/>
      <c r="I443" s="578"/>
      <c r="J443" s="578"/>
      <c r="K443" s="578"/>
      <c r="L443" s="578"/>
      <c r="M443" s="220"/>
      <c r="N443" s="3"/>
      <c r="O443" s="3"/>
      <c r="P443" s="3"/>
      <c r="Q443" s="3"/>
      <c r="R443" s="212"/>
      <c r="S443" s="699" t="str">
        <f t="shared" si="321"/>
        <v>.</v>
      </c>
      <c r="T443" s="700" t="str">
        <f t="shared" si="322"/>
        <v>.</v>
      </c>
      <c r="U443" s="700" t="str">
        <f t="shared" si="323"/>
        <v>.</v>
      </c>
      <c r="V443" s="700" t="str">
        <f t="shared" si="324"/>
        <v>.</v>
      </c>
      <c r="W443" s="700" t="str">
        <f t="shared" si="325"/>
        <v>.</v>
      </c>
      <c r="X443" s="700" t="str">
        <f t="shared" si="326"/>
        <v>.</v>
      </c>
      <c r="Y443" s="701" t="str">
        <f t="shared" si="327"/>
        <v>.</v>
      </c>
      <c r="Z443" s="3"/>
      <c r="AA443" s="985" t="str">
        <f t="shared" si="328"/>
        <v>.</v>
      </c>
      <c r="AB443" s="702" t="str">
        <f t="shared" si="329"/>
        <v>.</v>
      </c>
      <c r="AC443" s="702" t="str">
        <f t="shared" si="330"/>
        <v>.</v>
      </c>
      <c r="AD443" s="702" t="str">
        <f t="shared" si="331"/>
        <v>.</v>
      </c>
      <c r="AE443" s="702" t="str">
        <f t="shared" si="332"/>
        <v>.</v>
      </c>
      <c r="AF443" s="702" t="str">
        <f t="shared" si="333"/>
        <v>.</v>
      </c>
      <c r="AG443" s="986" t="str">
        <f t="shared" si="334"/>
        <v>.</v>
      </c>
      <c r="AH443" s="3"/>
      <c r="AI443" s="699" t="str">
        <f>IF(S443=".",".",SUM($S443:S443))</f>
        <v>.</v>
      </c>
      <c r="AJ443" s="700" t="str">
        <f>IF(T443=".",".",SUM($S443:T443))</f>
        <v>.</v>
      </c>
      <c r="AK443" s="700" t="str">
        <f>IF(U443=".",".",SUM($S443:U443))</f>
        <v>.</v>
      </c>
      <c r="AL443" s="700" t="str">
        <f>IF(V443=".",".",SUM($S443:V443))</f>
        <v>.</v>
      </c>
      <c r="AM443" s="700" t="str">
        <f>IF(W443=".",".",SUM($S443:W443))</f>
        <v>.</v>
      </c>
      <c r="AN443" s="700" t="str">
        <f>IF(X443=".",".",SUM($S443:X443))</f>
        <v>.</v>
      </c>
      <c r="AO443" s="701" t="str">
        <f>IF(Y443=".",".",SUM($S443:Y443))</f>
        <v>.</v>
      </c>
      <c r="AP443" s="3"/>
      <c r="AQ443" s="985" t="str">
        <f t="shared" si="335"/>
        <v>.</v>
      </c>
      <c r="AR443" s="702" t="str">
        <f t="shared" si="336"/>
        <v>.</v>
      </c>
      <c r="AS443" s="702" t="str">
        <f t="shared" si="337"/>
        <v>.</v>
      </c>
      <c r="AT443" s="702" t="str">
        <f t="shared" si="338"/>
        <v>.</v>
      </c>
      <c r="AU443" s="702" t="str">
        <f t="shared" si="339"/>
        <v>.</v>
      </c>
      <c r="AV443" s="702" t="str">
        <f t="shared" si="340"/>
        <v>.</v>
      </c>
      <c r="AW443" s="986" t="str">
        <f t="shared" si="341"/>
        <v>.</v>
      </c>
      <c r="AX443" s="214"/>
      <c r="AY443" s="3"/>
      <c r="AZ443" s="3"/>
      <c r="BA443" s="3"/>
      <c r="BB443" s="3"/>
    </row>
    <row r="444" spans="1:54" ht="12" x14ac:dyDescent="0.25">
      <c r="A444" s="3"/>
      <c r="B444" s="212"/>
      <c r="C444" s="718"/>
      <c r="D444" s="715"/>
      <c r="E444" s="579"/>
      <c r="F444" s="579"/>
      <c r="G444" s="578"/>
      <c r="H444" s="578"/>
      <c r="I444" s="578"/>
      <c r="J444" s="578"/>
      <c r="K444" s="578"/>
      <c r="L444" s="578"/>
      <c r="M444" s="220"/>
      <c r="N444" s="3"/>
      <c r="O444" s="3"/>
      <c r="P444" s="3"/>
      <c r="Q444" s="3"/>
      <c r="R444" s="212"/>
      <c r="S444" s="699" t="str">
        <f t="shared" si="321"/>
        <v>.</v>
      </c>
      <c r="T444" s="700" t="str">
        <f t="shared" si="322"/>
        <v>.</v>
      </c>
      <c r="U444" s="700" t="str">
        <f t="shared" si="323"/>
        <v>.</v>
      </c>
      <c r="V444" s="700" t="str">
        <f t="shared" si="324"/>
        <v>.</v>
      </c>
      <c r="W444" s="700" t="str">
        <f t="shared" si="325"/>
        <v>.</v>
      </c>
      <c r="X444" s="700" t="str">
        <f t="shared" si="326"/>
        <v>.</v>
      </c>
      <c r="Y444" s="701" t="str">
        <f t="shared" si="327"/>
        <v>.</v>
      </c>
      <c r="Z444" s="3"/>
      <c r="AA444" s="985" t="str">
        <f t="shared" si="328"/>
        <v>.</v>
      </c>
      <c r="AB444" s="702" t="str">
        <f t="shared" si="329"/>
        <v>.</v>
      </c>
      <c r="AC444" s="702" t="str">
        <f t="shared" si="330"/>
        <v>.</v>
      </c>
      <c r="AD444" s="702" t="str">
        <f t="shared" si="331"/>
        <v>.</v>
      </c>
      <c r="AE444" s="702" t="str">
        <f t="shared" si="332"/>
        <v>.</v>
      </c>
      <c r="AF444" s="702" t="str">
        <f t="shared" si="333"/>
        <v>.</v>
      </c>
      <c r="AG444" s="986" t="str">
        <f t="shared" si="334"/>
        <v>.</v>
      </c>
      <c r="AH444" s="3"/>
      <c r="AI444" s="699" t="str">
        <f>IF(S444=".",".",SUM($S444:S444))</f>
        <v>.</v>
      </c>
      <c r="AJ444" s="700" t="str">
        <f>IF(T444=".",".",SUM($S444:T444))</f>
        <v>.</v>
      </c>
      <c r="AK444" s="700" t="str">
        <f>IF(U444=".",".",SUM($S444:U444))</f>
        <v>.</v>
      </c>
      <c r="AL444" s="700" t="str">
        <f>IF(V444=".",".",SUM($S444:V444))</f>
        <v>.</v>
      </c>
      <c r="AM444" s="700" t="str">
        <f>IF(W444=".",".",SUM($S444:W444))</f>
        <v>.</v>
      </c>
      <c r="AN444" s="700" t="str">
        <f>IF(X444=".",".",SUM($S444:X444))</f>
        <v>.</v>
      </c>
      <c r="AO444" s="701" t="str">
        <f>IF(Y444=".",".",SUM($S444:Y444))</f>
        <v>.</v>
      </c>
      <c r="AP444" s="3"/>
      <c r="AQ444" s="985" t="str">
        <f t="shared" si="335"/>
        <v>.</v>
      </c>
      <c r="AR444" s="702" t="str">
        <f t="shared" si="336"/>
        <v>.</v>
      </c>
      <c r="AS444" s="702" t="str">
        <f t="shared" si="337"/>
        <v>.</v>
      </c>
      <c r="AT444" s="702" t="str">
        <f t="shared" si="338"/>
        <v>.</v>
      </c>
      <c r="AU444" s="702" t="str">
        <f t="shared" si="339"/>
        <v>.</v>
      </c>
      <c r="AV444" s="702" t="str">
        <f t="shared" si="340"/>
        <v>.</v>
      </c>
      <c r="AW444" s="986" t="str">
        <f t="shared" si="341"/>
        <v>.</v>
      </c>
      <c r="AX444" s="214"/>
      <c r="AY444" s="3"/>
      <c r="AZ444" s="3"/>
      <c r="BA444" s="3"/>
      <c r="BB444" s="3"/>
    </row>
    <row r="445" spans="1:54" ht="12" x14ac:dyDescent="0.25">
      <c r="A445" s="3"/>
      <c r="B445" s="212"/>
      <c r="C445" s="718"/>
      <c r="D445" s="715"/>
      <c r="E445" s="579"/>
      <c r="F445" s="579"/>
      <c r="G445" s="578"/>
      <c r="H445" s="578"/>
      <c r="I445" s="578"/>
      <c r="J445" s="578"/>
      <c r="K445" s="578"/>
      <c r="L445" s="578"/>
      <c r="M445" s="220"/>
      <c r="N445" s="3"/>
      <c r="O445" s="3"/>
      <c r="P445" s="3"/>
      <c r="Q445" s="3"/>
      <c r="R445" s="212"/>
      <c r="S445" s="699" t="str">
        <f t="shared" si="321"/>
        <v>.</v>
      </c>
      <c r="T445" s="700" t="str">
        <f t="shared" si="322"/>
        <v>.</v>
      </c>
      <c r="U445" s="700" t="str">
        <f t="shared" si="323"/>
        <v>.</v>
      </c>
      <c r="V445" s="700" t="str">
        <f t="shared" si="324"/>
        <v>.</v>
      </c>
      <c r="W445" s="700" t="str">
        <f t="shared" si="325"/>
        <v>.</v>
      </c>
      <c r="X445" s="700" t="str">
        <f t="shared" si="326"/>
        <v>.</v>
      </c>
      <c r="Y445" s="701" t="str">
        <f t="shared" si="327"/>
        <v>.</v>
      </c>
      <c r="Z445" s="3"/>
      <c r="AA445" s="985" t="str">
        <f t="shared" si="328"/>
        <v>.</v>
      </c>
      <c r="AB445" s="702" t="str">
        <f t="shared" si="329"/>
        <v>.</v>
      </c>
      <c r="AC445" s="702" t="str">
        <f t="shared" si="330"/>
        <v>.</v>
      </c>
      <c r="AD445" s="702" t="str">
        <f t="shared" si="331"/>
        <v>.</v>
      </c>
      <c r="AE445" s="702" t="str">
        <f t="shared" si="332"/>
        <v>.</v>
      </c>
      <c r="AF445" s="702" t="str">
        <f t="shared" si="333"/>
        <v>.</v>
      </c>
      <c r="AG445" s="986" t="str">
        <f t="shared" si="334"/>
        <v>.</v>
      </c>
      <c r="AH445" s="3"/>
      <c r="AI445" s="699" t="str">
        <f>IF(S445=".",".",SUM($S445:S445))</f>
        <v>.</v>
      </c>
      <c r="AJ445" s="700" t="str">
        <f>IF(T445=".",".",SUM($S445:T445))</f>
        <v>.</v>
      </c>
      <c r="AK445" s="700" t="str">
        <f>IF(U445=".",".",SUM($S445:U445))</f>
        <v>.</v>
      </c>
      <c r="AL445" s="700" t="str">
        <f>IF(V445=".",".",SUM($S445:V445))</f>
        <v>.</v>
      </c>
      <c r="AM445" s="700" t="str">
        <f>IF(W445=".",".",SUM($S445:W445))</f>
        <v>.</v>
      </c>
      <c r="AN445" s="700" t="str">
        <f>IF(X445=".",".",SUM($S445:X445))</f>
        <v>.</v>
      </c>
      <c r="AO445" s="701" t="str">
        <f>IF(Y445=".",".",SUM($S445:Y445))</f>
        <v>.</v>
      </c>
      <c r="AP445" s="3"/>
      <c r="AQ445" s="985" t="str">
        <f t="shared" si="335"/>
        <v>.</v>
      </c>
      <c r="AR445" s="702" t="str">
        <f t="shared" si="336"/>
        <v>.</v>
      </c>
      <c r="AS445" s="702" t="str">
        <f t="shared" si="337"/>
        <v>.</v>
      </c>
      <c r="AT445" s="702" t="str">
        <f t="shared" si="338"/>
        <v>.</v>
      </c>
      <c r="AU445" s="702" t="str">
        <f t="shared" si="339"/>
        <v>.</v>
      </c>
      <c r="AV445" s="702" t="str">
        <f t="shared" si="340"/>
        <v>.</v>
      </c>
      <c r="AW445" s="986" t="str">
        <f t="shared" si="341"/>
        <v>.</v>
      </c>
      <c r="AX445" s="214"/>
      <c r="AY445" s="3"/>
      <c r="AZ445" s="3"/>
      <c r="BA445" s="3"/>
      <c r="BB445" s="3"/>
    </row>
    <row r="446" spans="1:54" ht="12" x14ac:dyDescent="0.25">
      <c r="A446" s="3"/>
      <c r="B446" s="212"/>
      <c r="C446" s="718"/>
      <c r="D446" s="715"/>
      <c r="E446" s="579"/>
      <c r="F446" s="579"/>
      <c r="G446" s="578"/>
      <c r="H446" s="578"/>
      <c r="I446" s="578"/>
      <c r="J446" s="578"/>
      <c r="K446" s="578"/>
      <c r="L446" s="578"/>
      <c r="M446" s="220"/>
      <c r="N446" s="3"/>
      <c r="O446" s="3"/>
      <c r="P446" s="3"/>
      <c r="Q446" s="3"/>
      <c r="R446" s="212"/>
      <c r="S446" s="699" t="str">
        <f t="shared" si="321"/>
        <v>.</v>
      </c>
      <c r="T446" s="700" t="str">
        <f t="shared" si="322"/>
        <v>.</v>
      </c>
      <c r="U446" s="700" t="str">
        <f t="shared" si="323"/>
        <v>.</v>
      </c>
      <c r="V446" s="700" t="str">
        <f t="shared" si="324"/>
        <v>.</v>
      </c>
      <c r="W446" s="700" t="str">
        <f t="shared" si="325"/>
        <v>.</v>
      </c>
      <c r="X446" s="700" t="str">
        <f t="shared" si="326"/>
        <v>.</v>
      </c>
      <c r="Y446" s="701" t="str">
        <f t="shared" si="327"/>
        <v>.</v>
      </c>
      <c r="Z446" s="3"/>
      <c r="AA446" s="985" t="str">
        <f t="shared" si="328"/>
        <v>.</v>
      </c>
      <c r="AB446" s="702" t="str">
        <f t="shared" si="329"/>
        <v>.</v>
      </c>
      <c r="AC446" s="702" t="str">
        <f t="shared" si="330"/>
        <v>.</v>
      </c>
      <c r="AD446" s="702" t="str">
        <f t="shared" si="331"/>
        <v>.</v>
      </c>
      <c r="AE446" s="702" t="str">
        <f t="shared" si="332"/>
        <v>.</v>
      </c>
      <c r="AF446" s="702" t="str">
        <f t="shared" si="333"/>
        <v>.</v>
      </c>
      <c r="AG446" s="986" t="str">
        <f t="shared" si="334"/>
        <v>.</v>
      </c>
      <c r="AH446" s="3"/>
      <c r="AI446" s="699" t="str">
        <f>IF(S446=".",".",SUM($S446:S446))</f>
        <v>.</v>
      </c>
      <c r="AJ446" s="700" t="str">
        <f>IF(T446=".",".",SUM($S446:T446))</f>
        <v>.</v>
      </c>
      <c r="AK446" s="700" t="str">
        <f>IF(U446=".",".",SUM($S446:U446))</f>
        <v>.</v>
      </c>
      <c r="AL446" s="700" t="str">
        <f>IF(V446=".",".",SUM($S446:V446))</f>
        <v>.</v>
      </c>
      <c r="AM446" s="700" t="str">
        <f>IF(W446=".",".",SUM($S446:W446))</f>
        <v>.</v>
      </c>
      <c r="AN446" s="700" t="str">
        <f>IF(X446=".",".",SUM($S446:X446))</f>
        <v>.</v>
      </c>
      <c r="AO446" s="701" t="str">
        <f>IF(Y446=".",".",SUM($S446:Y446))</f>
        <v>.</v>
      </c>
      <c r="AP446" s="3"/>
      <c r="AQ446" s="985" t="str">
        <f t="shared" si="335"/>
        <v>.</v>
      </c>
      <c r="AR446" s="702" t="str">
        <f t="shared" si="336"/>
        <v>.</v>
      </c>
      <c r="AS446" s="702" t="str">
        <f t="shared" si="337"/>
        <v>.</v>
      </c>
      <c r="AT446" s="702" t="str">
        <f t="shared" si="338"/>
        <v>.</v>
      </c>
      <c r="AU446" s="702" t="str">
        <f t="shared" si="339"/>
        <v>.</v>
      </c>
      <c r="AV446" s="702" t="str">
        <f t="shared" si="340"/>
        <v>.</v>
      </c>
      <c r="AW446" s="986" t="str">
        <f t="shared" si="341"/>
        <v>.</v>
      </c>
      <c r="AX446" s="214"/>
      <c r="AY446" s="3"/>
      <c r="AZ446" s="3"/>
      <c r="BA446" s="3"/>
      <c r="BB446" s="3"/>
    </row>
    <row r="447" spans="1:54" ht="12" x14ac:dyDescent="0.25">
      <c r="A447" s="3"/>
      <c r="B447" s="212"/>
      <c r="C447" s="718"/>
      <c r="D447" s="715"/>
      <c r="E447" s="579"/>
      <c r="F447" s="579"/>
      <c r="G447" s="578"/>
      <c r="H447" s="578"/>
      <c r="I447" s="578"/>
      <c r="J447" s="578"/>
      <c r="K447" s="578"/>
      <c r="L447" s="578"/>
      <c r="M447" s="220"/>
      <c r="N447" s="3"/>
      <c r="O447" s="3"/>
      <c r="P447" s="3"/>
      <c r="Q447" s="3"/>
      <c r="R447" s="212"/>
      <c r="S447" s="699" t="str">
        <f t="shared" si="321"/>
        <v>.</v>
      </c>
      <c r="T447" s="700" t="str">
        <f t="shared" si="322"/>
        <v>.</v>
      </c>
      <c r="U447" s="700" t="str">
        <f t="shared" si="323"/>
        <v>.</v>
      </c>
      <c r="V447" s="700" t="str">
        <f t="shared" si="324"/>
        <v>.</v>
      </c>
      <c r="W447" s="700" t="str">
        <f t="shared" si="325"/>
        <v>.</v>
      </c>
      <c r="X447" s="700" t="str">
        <f t="shared" si="326"/>
        <v>.</v>
      </c>
      <c r="Y447" s="701" t="str">
        <f t="shared" si="327"/>
        <v>.</v>
      </c>
      <c r="Z447" s="3"/>
      <c r="AA447" s="985" t="str">
        <f t="shared" si="328"/>
        <v>.</v>
      </c>
      <c r="AB447" s="702" t="str">
        <f t="shared" si="329"/>
        <v>.</v>
      </c>
      <c r="AC447" s="702" t="str">
        <f t="shared" si="330"/>
        <v>.</v>
      </c>
      <c r="AD447" s="702" t="str">
        <f t="shared" si="331"/>
        <v>.</v>
      </c>
      <c r="AE447" s="702" t="str">
        <f t="shared" si="332"/>
        <v>.</v>
      </c>
      <c r="AF447" s="702" t="str">
        <f t="shared" si="333"/>
        <v>.</v>
      </c>
      <c r="AG447" s="986" t="str">
        <f t="shared" si="334"/>
        <v>.</v>
      </c>
      <c r="AH447" s="3"/>
      <c r="AI447" s="699" t="str">
        <f>IF(S447=".",".",SUM($S447:S447))</f>
        <v>.</v>
      </c>
      <c r="AJ447" s="700" t="str">
        <f>IF(T447=".",".",SUM($S447:T447))</f>
        <v>.</v>
      </c>
      <c r="AK447" s="700" t="str">
        <f>IF(U447=".",".",SUM($S447:U447))</f>
        <v>.</v>
      </c>
      <c r="AL447" s="700" t="str">
        <f>IF(V447=".",".",SUM($S447:V447))</f>
        <v>.</v>
      </c>
      <c r="AM447" s="700" t="str">
        <f>IF(W447=".",".",SUM($S447:W447))</f>
        <v>.</v>
      </c>
      <c r="AN447" s="700" t="str">
        <f>IF(X447=".",".",SUM($S447:X447))</f>
        <v>.</v>
      </c>
      <c r="AO447" s="701" t="str">
        <f>IF(Y447=".",".",SUM($S447:Y447))</f>
        <v>.</v>
      </c>
      <c r="AP447" s="3"/>
      <c r="AQ447" s="985" t="str">
        <f t="shared" si="335"/>
        <v>.</v>
      </c>
      <c r="AR447" s="702" t="str">
        <f t="shared" si="336"/>
        <v>.</v>
      </c>
      <c r="AS447" s="702" t="str">
        <f t="shared" si="337"/>
        <v>.</v>
      </c>
      <c r="AT447" s="702" t="str">
        <f t="shared" si="338"/>
        <v>.</v>
      </c>
      <c r="AU447" s="702" t="str">
        <f t="shared" si="339"/>
        <v>.</v>
      </c>
      <c r="AV447" s="702" t="str">
        <f t="shared" si="340"/>
        <v>.</v>
      </c>
      <c r="AW447" s="986" t="str">
        <f t="shared" si="341"/>
        <v>.</v>
      </c>
      <c r="AX447" s="214"/>
      <c r="AY447" s="3"/>
      <c r="AZ447" s="3"/>
      <c r="BA447" s="3"/>
      <c r="BB447" s="3"/>
    </row>
    <row r="448" spans="1:54" ht="12" x14ac:dyDescent="0.25">
      <c r="A448" s="3"/>
      <c r="B448" s="212"/>
      <c r="C448" s="718"/>
      <c r="D448" s="715"/>
      <c r="E448" s="579"/>
      <c r="F448" s="579"/>
      <c r="G448" s="578"/>
      <c r="H448" s="578"/>
      <c r="I448" s="578"/>
      <c r="J448" s="578"/>
      <c r="K448" s="578"/>
      <c r="L448" s="578"/>
      <c r="M448" s="220"/>
      <c r="N448" s="3"/>
      <c r="O448" s="3"/>
      <c r="P448" s="3"/>
      <c r="Q448" s="3"/>
      <c r="R448" s="212"/>
      <c r="S448" s="699" t="str">
        <f t="shared" si="321"/>
        <v>.</v>
      </c>
      <c r="T448" s="700" t="str">
        <f t="shared" si="322"/>
        <v>.</v>
      </c>
      <c r="U448" s="700" t="str">
        <f t="shared" si="323"/>
        <v>.</v>
      </c>
      <c r="V448" s="700" t="str">
        <f t="shared" si="324"/>
        <v>.</v>
      </c>
      <c r="W448" s="700" t="str">
        <f t="shared" si="325"/>
        <v>.</v>
      </c>
      <c r="X448" s="700" t="str">
        <f t="shared" si="326"/>
        <v>.</v>
      </c>
      <c r="Y448" s="701" t="str">
        <f t="shared" si="327"/>
        <v>.</v>
      </c>
      <c r="Z448" s="3"/>
      <c r="AA448" s="985" t="str">
        <f t="shared" si="328"/>
        <v>.</v>
      </c>
      <c r="AB448" s="702" t="str">
        <f t="shared" si="329"/>
        <v>.</v>
      </c>
      <c r="AC448" s="702" t="str">
        <f t="shared" si="330"/>
        <v>.</v>
      </c>
      <c r="AD448" s="702" t="str">
        <f t="shared" si="331"/>
        <v>.</v>
      </c>
      <c r="AE448" s="702" t="str">
        <f t="shared" si="332"/>
        <v>.</v>
      </c>
      <c r="AF448" s="702" t="str">
        <f t="shared" si="333"/>
        <v>.</v>
      </c>
      <c r="AG448" s="986" t="str">
        <f t="shared" si="334"/>
        <v>.</v>
      </c>
      <c r="AH448" s="3"/>
      <c r="AI448" s="699" t="str">
        <f>IF(S448=".",".",SUM($S448:S448))</f>
        <v>.</v>
      </c>
      <c r="AJ448" s="700" t="str">
        <f>IF(T448=".",".",SUM($S448:T448))</f>
        <v>.</v>
      </c>
      <c r="AK448" s="700" t="str">
        <f>IF(U448=".",".",SUM($S448:U448))</f>
        <v>.</v>
      </c>
      <c r="AL448" s="700" t="str">
        <f>IF(V448=".",".",SUM($S448:V448))</f>
        <v>.</v>
      </c>
      <c r="AM448" s="700" t="str">
        <f>IF(W448=".",".",SUM($S448:W448))</f>
        <v>.</v>
      </c>
      <c r="AN448" s="700" t="str">
        <f>IF(X448=".",".",SUM($S448:X448))</f>
        <v>.</v>
      </c>
      <c r="AO448" s="701" t="str">
        <f>IF(Y448=".",".",SUM($S448:Y448))</f>
        <v>.</v>
      </c>
      <c r="AP448" s="3"/>
      <c r="AQ448" s="985" t="str">
        <f t="shared" si="335"/>
        <v>.</v>
      </c>
      <c r="AR448" s="702" t="str">
        <f t="shared" si="336"/>
        <v>.</v>
      </c>
      <c r="AS448" s="702" t="str">
        <f t="shared" si="337"/>
        <v>.</v>
      </c>
      <c r="AT448" s="702" t="str">
        <f t="shared" si="338"/>
        <v>.</v>
      </c>
      <c r="AU448" s="702" t="str">
        <f t="shared" si="339"/>
        <v>.</v>
      </c>
      <c r="AV448" s="702" t="str">
        <f t="shared" si="340"/>
        <v>.</v>
      </c>
      <c r="AW448" s="986" t="str">
        <f t="shared" si="341"/>
        <v>.</v>
      </c>
      <c r="AX448" s="214"/>
      <c r="AY448" s="3"/>
      <c r="AZ448" s="3"/>
      <c r="BA448" s="3"/>
      <c r="BB448" s="3"/>
    </row>
    <row r="449" spans="1:54" ht="12" x14ac:dyDescent="0.25">
      <c r="A449" s="3"/>
      <c r="B449" s="212"/>
      <c r="C449" s="718"/>
      <c r="D449" s="715"/>
      <c r="E449" s="579"/>
      <c r="F449" s="579"/>
      <c r="G449" s="578"/>
      <c r="H449" s="578"/>
      <c r="I449" s="578"/>
      <c r="J449" s="578"/>
      <c r="K449" s="578"/>
      <c r="L449" s="578"/>
      <c r="M449" s="220"/>
      <c r="N449" s="3"/>
      <c r="O449" s="3"/>
      <c r="P449" s="3"/>
      <c r="Q449" s="3"/>
      <c r="R449" s="212"/>
      <c r="S449" s="699" t="str">
        <f t="shared" si="321"/>
        <v>.</v>
      </c>
      <c r="T449" s="700" t="str">
        <f t="shared" si="322"/>
        <v>.</v>
      </c>
      <c r="U449" s="700" t="str">
        <f t="shared" si="323"/>
        <v>.</v>
      </c>
      <c r="V449" s="700" t="str">
        <f t="shared" si="324"/>
        <v>.</v>
      </c>
      <c r="W449" s="700" t="str">
        <f t="shared" si="325"/>
        <v>.</v>
      </c>
      <c r="X449" s="700" t="str">
        <f t="shared" si="326"/>
        <v>.</v>
      </c>
      <c r="Y449" s="701" t="str">
        <f t="shared" si="327"/>
        <v>.</v>
      </c>
      <c r="Z449" s="3"/>
      <c r="AA449" s="985" t="str">
        <f t="shared" si="328"/>
        <v>.</v>
      </c>
      <c r="AB449" s="702" t="str">
        <f t="shared" si="329"/>
        <v>.</v>
      </c>
      <c r="AC449" s="702" t="str">
        <f t="shared" si="330"/>
        <v>.</v>
      </c>
      <c r="AD449" s="702" t="str">
        <f t="shared" si="331"/>
        <v>.</v>
      </c>
      <c r="AE449" s="702" t="str">
        <f t="shared" si="332"/>
        <v>.</v>
      </c>
      <c r="AF449" s="702" t="str">
        <f t="shared" si="333"/>
        <v>.</v>
      </c>
      <c r="AG449" s="986" t="str">
        <f t="shared" si="334"/>
        <v>.</v>
      </c>
      <c r="AH449" s="3"/>
      <c r="AI449" s="699" t="str">
        <f>IF(S449=".",".",SUM($S449:S449))</f>
        <v>.</v>
      </c>
      <c r="AJ449" s="700" t="str">
        <f>IF(T449=".",".",SUM($S449:T449))</f>
        <v>.</v>
      </c>
      <c r="AK449" s="700" t="str">
        <f>IF(U449=".",".",SUM($S449:U449))</f>
        <v>.</v>
      </c>
      <c r="AL449" s="700" t="str">
        <f>IF(V449=".",".",SUM($S449:V449))</f>
        <v>.</v>
      </c>
      <c r="AM449" s="700" t="str">
        <f>IF(W449=".",".",SUM($S449:W449))</f>
        <v>.</v>
      </c>
      <c r="AN449" s="700" t="str">
        <f>IF(X449=".",".",SUM($S449:X449))</f>
        <v>.</v>
      </c>
      <c r="AO449" s="701" t="str">
        <f>IF(Y449=".",".",SUM($S449:Y449))</f>
        <v>.</v>
      </c>
      <c r="AP449" s="3"/>
      <c r="AQ449" s="985" t="str">
        <f t="shared" si="335"/>
        <v>.</v>
      </c>
      <c r="AR449" s="702" t="str">
        <f t="shared" si="336"/>
        <v>.</v>
      </c>
      <c r="AS449" s="702" t="str">
        <f t="shared" si="337"/>
        <v>.</v>
      </c>
      <c r="AT449" s="702" t="str">
        <f t="shared" si="338"/>
        <v>.</v>
      </c>
      <c r="AU449" s="702" t="str">
        <f t="shared" si="339"/>
        <v>.</v>
      </c>
      <c r="AV449" s="702" t="str">
        <f t="shared" si="340"/>
        <v>.</v>
      </c>
      <c r="AW449" s="986" t="str">
        <f t="shared" si="341"/>
        <v>.</v>
      </c>
      <c r="AX449" s="214"/>
      <c r="AY449" s="3"/>
      <c r="AZ449" s="3"/>
      <c r="BA449" s="3"/>
      <c r="BB449" s="3"/>
    </row>
    <row r="450" spans="1:54" ht="12" x14ac:dyDescent="0.25">
      <c r="A450" s="3"/>
      <c r="B450" s="212"/>
      <c r="C450" s="719"/>
      <c r="D450" s="716"/>
      <c r="E450" s="581"/>
      <c r="F450" s="581"/>
      <c r="G450" s="163"/>
      <c r="H450" s="163"/>
      <c r="I450" s="163"/>
      <c r="J450" s="163"/>
      <c r="K450" s="163"/>
      <c r="L450" s="163"/>
      <c r="M450" s="220"/>
      <c r="N450" s="3"/>
      <c r="O450" s="3"/>
      <c r="P450" s="3"/>
      <c r="Q450" s="3"/>
      <c r="R450" s="212"/>
      <c r="S450" s="703" t="str">
        <f t="shared" si="321"/>
        <v>.</v>
      </c>
      <c r="T450" s="704" t="str">
        <f t="shared" si="322"/>
        <v>.</v>
      </c>
      <c r="U450" s="704" t="str">
        <f t="shared" si="323"/>
        <v>.</v>
      </c>
      <c r="V450" s="704" t="str">
        <f t="shared" si="324"/>
        <v>.</v>
      </c>
      <c r="W450" s="704" t="str">
        <f t="shared" si="325"/>
        <v>.</v>
      </c>
      <c r="X450" s="704" t="str">
        <f t="shared" si="326"/>
        <v>.</v>
      </c>
      <c r="Y450" s="705" t="str">
        <f t="shared" si="327"/>
        <v>.</v>
      </c>
      <c r="Z450" s="3"/>
      <c r="AA450" s="987" t="str">
        <f t="shared" si="328"/>
        <v>.</v>
      </c>
      <c r="AB450" s="988" t="str">
        <f t="shared" si="329"/>
        <v>.</v>
      </c>
      <c r="AC450" s="988" t="str">
        <f t="shared" si="330"/>
        <v>.</v>
      </c>
      <c r="AD450" s="988" t="str">
        <f t="shared" si="331"/>
        <v>.</v>
      </c>
      <c r="AE450" s="988" t="str">
        <f t="shared" si="332"/>
        <v>.</v>
      </c>
      <c r="AF450" s="988" t="str">
        <f t="shared" si="333"/>
        <v>.</v>
      </c>
      <c r="AG450" s="989" t="str">
        <f t="shared" si="334"/>
        <v>.</v>
      </c>
      <c r="AH450" s="3"/>
      <c r="AI450" s="703" t="str">
        <f>IF(S450=".",".",SUM($S450:S450))</f>
        <v>.</v>
      </c>
      <c r="AJ450" s="704" t="str">
        <f>IF(T450=".",".",SUM($S450:T450))</f>
        <v>.</v>
      </c>
      <c r="AK450" s="704" t="str">
        <f>IF(U450=".",".",SUM($S450:U450))</f>
        <v>.</v>
      </c>
      <c r="AL450" s="704" t="str">
        <f>IF(V450=".",".",SUM($S450:V450))</f>
        <v>.</v>
      </c>
      <c r="AM450" s="704" t="str">
        <f>IF(W450=".",".",SUM($S450:W450))</f>
        <v>.</v>
      </c>
      <c r="AN450" s="704" t="str">
        <f>IF(X450=".",".",SUM($S450:X450))</f>
        <v>.</v>
      </c>
      <c r="AO450" s="705" t="str">
        <f>IF(Y450=".",".",SUM($S450:Y450))</f>
        <v>.</v>
      </c>
      <c r="AP450" s="3"/>
      <c r="AQ450" s="987" t="str">
        <f t="shared" si="335"/>
        <v>.</v>
      </c>
      <c r="AR450" s="988" t="str">
        <f t="shared" si="336"/>
        <v>.</v>
      </c>
      <c r="AS450" s="988" t="str">
        <f t="shared" si="337"/>
        <v>.</v>
      </c>
      <c r="AT450" s="988" t="str">
        <f t="shared" si="338"/>
        <v>.</v>
      </c>
      <c r="AU450" s="988" t="str">
        <f t="shared" si="339"/>
        <v>.</v>
      </c>
      <c r="AV450" s="988" t="str">
        <f t="shared" si="340"/>
        <v>.</v>
      </c>
      <c r="AW450" s="989" t="str">
        <f t="shared" si="341"/>
        <v>.</v>
      </c>
      <c r="AX450" s="214"/>
      <c r="AY450" s="3"/>
      <c r="AZ450" s="3"/>
      <c r="BA450" s="3"/>
      <c r="BB450" s="3"/>
    </row>
    <row r="451" spans="1:54" ht="12.6" thickBot="1" x14ac:dyDescent="0.3">
      <c r="A451" s="3"/>
      <c r="B451" s="222"/>
      <c r="C451" s="223"/>
      <c r="D451" s="223"/>
      <c r="E451" s="562"/>
      <c r="F451" s="562"/>
      <c r="G451" s="223"/>
      <c r="H451" s="223"/>
      <c r="I451" s="223"/>
      <c r="J451" s="223"/>
      <c r="K451" s="223"/>
      <c r="L451" s="223"/>
      <c r="M451" s="224"/>
      <c r="N451" s="3"/>
      <c r="O451" s="3"/>
      <c r="P451" s="3"/>
      <c r="Q451" s="3"/>
      <c r="R451" s="222"/>
      <c r="S451" s="245"/>
      <c r="T451" s="245"/>
      <c r="U451" s="245"/>
      <c r="V451" s="245"/>
      <c r="W451" s="245"/>
      <c r="X451" s="245"/>
      <c r="Y451" s="245"/>
      <c r="Z451" s="245"/>
      <c r="AA451" s="245"/>
      <c r="AB451" s="245"/>
      <c r="AC451" s="245"/>
      <c r="AD451" s="245"/>
      <c r="AE451" s="245"/>
      <c r="AF451" s="245"/>
      <c r="AG451" s="245"/>
      <c r="AH451" s="245"/>
      <c r="AI451" s="245"/>
      <c r="AJ451" s="245"/>
      <c r="AK451" s="245"/>
      <c r="AL451" s="245"/>
      <c r="AM451" s="245"/>
      <c r="AN451" s="245"/>
      <c r="AO451" s="245"/>
      <c r="AP451" s="245"/>
      <c r="AQ451" s="245"/>
      <c r="AR451" s="245"/>
      <c r="AS451" s="245"/>
      <c r="AT451" s="245"/>
      <c r="AU451" s="245"/>
      <c r="AV451" s="245"/>
      <c r="AW451" s="245"/>
      <c r="AX451" s="230"/>
      <c r="AY451" s="3"/>
      <c r="AZ451" s="3"/>
      <c r="BA451" s="3"/>
      <c r="BB451" s="3"/>
    </row>
    <row r="452" spans="1:54" ht="12.75" customHeight="1" x14ac:dyDescent="0.25">
      <c r="A452" s="3"/>
      <c r="B452" s="3"/>
      <c r="C452" s="3"/>
      <c r="D452" s="3"/>
      <c r="E452" s="77"/>
      <c r="F452" s="77"/>
      <c r="G452" s="3"/>
      <c r="H452" s="3"/>
      <c r="I452" s="3"/>
      <c r="J452" s="3"/>
      <c r="K452" s="3"/>
      <c r="L452" s="3"/>
      <c r="M452" s="174"/>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row>
    <row r="453" spans="1:54" x14ac:dyDescent="0.2">
      <c r="A453" s="3"/>
      <c r="B453" s="3"/>
      <c r="C453" s="3"/>
      <c r="D453" s="3"/>
      <c r="E453" s="77"/>
      <c r="F453" s="77"/>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row>
    <row r="454" spans="1:54" x14ac:dyDescent="0.2">
      <c r="A454" s="3"/>
      <c r="B454" s="3"/>
      <c r="C454" s="3"/>
      <c r="D454" s="3"/>
      <c r="E454" s="77"/>
      <c r="F454" s="77"/>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row>
    <row r="455" spans="1:54" x14ac:dyDescent="0.2">
      <c r="A455" s="3"/>
      <c r="B455" s="3"/>
      <c r="C455" s="3"/>
      <c r="D455" s="3"/>
      <c r="E455" s="77"/>
      <c r="F455" s="77"/>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row>
    <row r="456" spans="1:54" x14ac:dyDescent="0.2">
      <c r="A456" s="3"/>
      <c r="B456" s="3"/>
      <c r="C456" s="3"/>
      <c r="D456" s="3"/>
      <c r="E456" s="77"/>
      <c r="F456" s="77"/>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row>
    <row r="457" spans="1:54" x14ac:dyDescent="0.2">
      <c r="A457" s="3"/>
      <c r="B457" s="3"/>
      <c r="C457" s="3"/>
      <c r="D457" s="3"/>
      <c r="E457" s="77"/>
      <c r="F457" s="77"/>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row>
    <row r="458" spans="1:54" x14ac:dyDescent="0.2">
      <c r="A458" s="3"/>
      <c r="B458" s="3"/>
      <c r="C458" s="3"/>
      <c r="D458" s="3"/>
      <c r="E458" s="77"/>
      <c r="F458" s="77"/>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row>
    <row r="459" spans="1:54" x14ac:dyDescent="0.2">
      <c r="A459" s="3"/>
      <c r="B459" s="3"/>
      <c r="C459" s="3"/>
      <c r="D459" s="3"/>
      <c r="E459" s="77"/>
      <c r="F459" s="77"/>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row>
    <row r="460" spans="1:54" x14ac:dyDescent="0.2">
      <c r="A460" s="3"/>
      <c r="B460" s="3"/>
      <c r="C460" s="3"/>
      <c r="D460" s="3"/>
      <c r="E460" s="77"/>
      <c r="F460" s="77"/>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row>
    <row r="461" spans="1:54" x14ac:dyDescent="0.2">
      <c r="A461" s="3"/>
      <c r="B461" s="3"/>
      <c r="C461" s="3"/>
      <c r="D461" s="3"/>
      <c r="E461" s="77"/>
      <c r="F461" s="77"/>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row>
    <row r="462" spans="1:54" x14ac:dyDescent="0.2">
      <c r="A462" s="3"/>
      <c r="B462" s="3"/>
      <c r="C462" s="3"/>
      <c r="D462" s="3"/>
      <c r="E462" s="77"/>
      <c r="F462" s="77"/>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row>
    <row r="463" spans="1:54" x14ac:dyDescent="0.2">
      <c r="A463" s="3"/>
      <c r="B463" s="3"/>
      <c r="C463" s="3"/>
      <c r="D463" s="3"/>
      <c r="E463" s="77"/>
      <c r="F463" s="77"/>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row>
    <row r="464" spans="1:54" x14ac:dyDescent="0.2">
      <c r="A464" s="3"/>
      <c r="B464" s="3"/>
      <c r="C464" s="3"/>
      <c r="D464" s="3"/>
      <c r="E464" s="77"/>
      <c r="F464" s="77"/>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row>
    <row r="465" spans="1:54" x14ac:dyDescent="0.2">
      <c r="A465" s="3"/>
      <c r="B465" s="3"/>
      <c r="C465" s="3"/>
      <c r="D465" s="3"/>
      <c r="E465" s="77"/>
      <c r="F465" s="77"/>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row>
    <row r="466" spans="1:54" x14ac:dyDescent="0.2">
      <c r="A466" s="3"/>
      <c r="B466" s="3"/>
      <c r="C466" s="3"/>
      <c r="D466" s="3"/>
      <c r="E466" s="77"/>
      <c r="F466" s="77"/>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row>
    <row r="467" spans="1:54" x14ac:dyDescent="0.2">
      <c r="A467" s="3"/>
      <c r="B467" s="3"/>
      <c r="C467" s="3"/>
      <c r="D467" s="3"/>
      <c r="E467" s="77"/>
      <c r="F467" s="77"/>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row>
    <row r="468" spans="1:54" x14ac:dyDescent="0.2">
      <c r="A468" s="3"/>
      <c r="B468" s="3"/>
      <c r="C468" s="3"/>
      <c r="D468" s="3"/>
      <c r="E468" s="77"/>
      <c r="F468" s="77"/>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row>
    <row r="469" spans="1:54" x14ac:dyDescent="0.2">
      <c r="A469" s="3"/>
      <c r="B469" s="3"/>
      <c r="C469" s="3"/>
      <c r="D469" s="3"/>
      <c r="E469" s="77"/>
      <c r="F469" s="77"/>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row>
    <row r="470" spans="1:54" x14ac:dyDescent="0.2">
      <c r="A470" s="3"/>
      <c r="B470" s="3"/>
      <c r="C470" s="3"/>
      <c r="D470" s="3"/>
      <c r="E470" s="77"/>
      <c r="F470" s="77"/>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row>
    <row r="471" spans="1:54" x14ac:dyDescent="0.2">
      <c r="A471" s="3"/>
      <c r="B471" s="3"/>
      <c r="C471" s="3"/>
      <c r="D471" s="3"/>
      <c r="E471" s="77"/>
      <c r="F471" s="77"/>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row>
    <row r="472" spans="1:54" x14ac:dyDescent="0.2">
      <c r="A472" s="3"/>
      <c r="B472" s="3"/>
      <c r="C472" s="3"/>
      <c r="D472" s="3"/>
      <c r="E472" s="77"/>
      <c r="F472" s="77"/>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row>
    <row r="473" spans="1:54" x14ac:dyDescent="0.2">
      <c r="A473" s="3"/>
      <c r="B473" s="3"/>
      <c r="C473" s="3"/>
      <c r="D473" s="3"/>
      <c r="E473" s="77"/>
      <c r="F473" s="77"/>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row>
    <row r="474" spans="1:54" x14ac:dyDescent="0.2">
      <c r="A474" s="3"/>
      <c r="B474" s="3"/>
      <c r="C474" s="3"/>
      <c r="D474" s="3"/>
      <c r="E474" s="77"/>
      <c r="F474" s="77"/>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row>
    <row r="475" spans="1:54" x14ac:dyDescent="0.2">
      <c r="A475" s="3"/>
      <c r="B475" s="3"/>
      <c r="C475" s="3"/>
      <c r="D475" s="3"/>
      <c r="E475" s="77"/>
      <c r="F475" s="77"/>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row>
    <row r="476" spans="1:54" x14ac:dyDescent="0.2">
      <c r="A476" s="3"/>
      <c r="B476" s="3"/>
      <c r="C476" s="3"/>
      <c r="D476" s="3"/>
      <c r="E476" s="77"/>
      <c r="F476" s="77"/>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row>
    <row r="477" spans="1:54" x14ac:dyDescent="0.2">
      <c r="A477" s="3"/>
      <c r="B477" s="3"/>
      <c r="C477" s="3"/>
      <c r="D477" s="3"/>
      <c r="E477" s="77"/>
      <c r="F477" s="77"/>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row>
    <row r="478" spans="1:54" x14ac:dyDescent="0.2">
      <c r="A478" s="3"/>
      <c r="B478" s="3"/>
      <c r="C478" s="3"/>
      <c r="D478" s="3"/>
      <c r="E478" s="77"/>
      <c r="F478" s="77"/>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row>
    <row r="479" spans="1:54" x14ac:dyDescent="0.2">
      <c r="A479" s="3"/>
      <c r="B479" s="3"/>
      <c r="C479" s="3"/>
      <c r="D479" s="3"/>
      <c r="E479" s="77"/>
      <c r="F479" s="77"/>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row>
    <row r="480" spans="1:54" x14ac:dyDescent="0.2">
      <c r="A480" s="3"/>
      <c r="B480" s="3"/>
      <c r="C480" s="3"/>
      <c r="D480" s="3"/>
      <c r="E480" s="77"/>
      <c r="F480" s="77"/>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row>
    <row r="481" spans="1:54" x14ac:dyDescent="0.2">
      <c r="A481" s="3"/>
      <c r="B481" s="3"/>
      <c r="C481" s="3"/>
      <c r="D481" s="3"/>
      <c r="E481" s="77"/>
      <c r="F481" s="77"/>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row>
    <row r="482" spans="1:54" x14ac:dyDescent="0.2">
      <c r="A482" s="3"/>
      <c r="B482" s="3"/>
      <c r="C482" s="3"/>
      <c r="D482" s="3"/>
      <c r="E482" s="77"/>
      <c r="F482" s="77"/>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row>
    <row r="483" spans="1:54" x14ac:dyDescent="0.2">
      <c r="A483" s="3"/>
      <c r="B483" s="3"/>
      <c r="C483" s="3"/>
      <c r="D483" s="3"/>
      <c r="E483" s="77"/>
      <c r="F483" s="77"/>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row>
    <row r="484" spans="1:54" x14ac:dyDescent="0.2">
      <c r="A484" s="3"/>
      <c r="B484" s="3"/>
      <c r="C484" s="3"/>
      <c r="D484" s="3"/>
      <c r="E484" s="77"/>
      <c r="F484" s="77"/>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row>
    <row r="485" spans="1:54" x14ac:dyDescent="0.2">
      <c r="A485" s="3"/>
      <c r="B485" s="3"/>
      <c r="C485" s="3"/>
      <c r="D485" s="3"/>
      <c r="E485" s="77"/>
      <c r="F485" s="77"/>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row>
    <row r="486" spans="1:54" x14ac:dyDescent="0.2">
      <c r="A486" s="3"/>
      <c r="B486" s="3"/>
      <c r="C486" s="3"/>
      <c r="D486" s="3"/>
      <c r="E486" s="77"/>
      <c r="F486" s="77"/>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row>
    <row r="487" spans="1:54" x14ac:dyDescent="0.2">
      <c r="A487" s="3"/>
      <c r="B487" s="3"/>
      <c r="C487" s="3"/>
      <c r="D487" s="3"/>
      <c r="E487" s="77"/>
      <c r="F487" s="77"/>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row>
    <row r="488" spans="1:54" x14ac:dyDescent="0.2">
      <c r="A488" s="3"/>
      <c r="B488" s="3"/>
      <c r="C488" s="3"/>
      <c r="D488" s="3"/>
      <c r="E488" s="77"/>
      <c r="F488" s="77"/>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row>
    <row r="489" spans="1:54" x14ac:dyDescent="0.2">
      <c r="A489" s="3"/>
      <c r="B489" s="3"/>
      <c r="C489" s="3"/>
      <c r="D489" s="3"/>
      <c r="E489" s="77"/>
      <c r="F489" s="77"/>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row>
    <row r="490" spans="1:54" x14ac:dyDescent="0.2">
      <c r="A490" s="3"/>
      <c r="B490" s="3"/>
      <c r="C490" s="3"/>
      <c r="D490" s="3"/>
      <c r="E490" s="77"/>
      <c r="F490" s="77"/>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row>
    <row r="491" spans="1:54" x14ac:dyDescent="0.2">
      <c r="A491" s="3"/>
      <c r="B491" s="3"/>
      <c r="C491" s="3"/>
      <c r="D491" s="3"/>
      <c r="E491" s="77"/>
      <c r="F491" s="77"/>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row>
    <row r="492" spans="1:54" x14ac:dyDescent="0.2">
      <c r="A492" s="3"/>
      <c r="B492" s="3"/>
      <c r="C492" s="3"/>
      <c r="D492" s="3"/>
      <c r="E492" s="77"/>
      <c r="F492" s="77"/>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row>
    <row r="493" spans="1:54" x14ac:dyDescent="0.2">
      <c r="A493" s="3"/>
      <c r="B493" s="3"/>
      <c r="C493" s="3"/>
      <c r="D493" s="3"/>
      <c r="E493" s="77"/>
      <c r="F493" s="77"/>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row>
    <row r="494" spans="1:54" x14ac:dyDescent="0.2">
      <c r="A494" s="3"/>
      <c r="B494" s="3"/>
      <c r="C494" s="3"/>
      <c r="D494" s="3"/>
      <c r="E494" s="77"/>
      <c r="F494" s="77"/>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row>
    <row r="495" spans="1:54" x14ac:dyDescent="0.2">
      <c r="A495" s="3"/>
      <c r="B495" s="3"/>
      <c r="C495" s="3"/>
      <c r="D495" s="3"/>
      <c r="E495" s="77"/>
      <c r="F495" s="77"/>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row>
    <row r="496" spans="1:54" x14ac:dyDescent="0.2">
      <c r="A496" s="3"/>
      <c r="B496" s="3"/>
      <c r="C496" s="3"/>
      <c r="D496" s="3"/>
      <c r="E496" s="77"/>
      <c r="F496" s="77"/>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row>
    <row r="497" spans="1:54" x14ac:dyDescent="0.2">
      <c r="A497" s="3"/>
      <c r="B497" s="3"/>
      <c r="C497" s="3"/>
      <c r="D497" s="3"/>
      <c r="E497" s="77"/>
      <c r="F497" s="77"/>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row>
  </sheetData>
  <sheetProtection algorithmName="SHA-512" hashValue="g0WfXhp62ushlMVBOZjfCDuO/JiyltUMzYeh9ngnIGJtvmPDtBdE493iGIiwShdVxjvYCpW+jCt8PYVF44Vafw==" saltValue="meE516aDbCwjYm5DKbugTA==" spinCount="100000" sheet="1" formatColumns="0" formatRows="0"/>
  <phoneticPr fontId="16" type="noConversion"/>
  <conditionalFormatting sqref="C3">
    <cfRule type="cellIs" dxfId="13" priority="1" operator="equal">
      <formula>0</formula>
    </cfRule>
  </conditionalFormatting>
  <dataValidations disablePrompts="1" count="1">
    <dataValidation type="decimal" operator="greaterThan" allowBlank="1" showInputMessage="1" showErrorMessage="1" errorTitle="Minimum Amounts" error="Enter the proposed minimum amount for each category or sub-category." sqref="H82:H91 J82:J91 J73:J80 H73:H80 F73:F80 F82:F91" xr:uid="{00000000-0002-0000-0800-000000000000}">
      <formula1>0</formula1>
    </dataValidation>
  </dataValidations>
  <printOptions horizontalCentered="1"/>
  <pageMargins left="0.31496062992125984" right="0.31496062992125984" top="0.35433070866141736" bottom="0.35433070866141736" header="0.11811023622047245" footer="0.11811023622047245"/>
  <pageSetup paperSize="9" scale="71" fitToWidth="2" fitToHeight="0" pageOrder="overThenDown" orientation="landscape" r:id="rId1"/>
  <headerFooter alignWithMargins="0"/>
  <rowBreaks count="1" manualBreakCount="1">
    <brk id="93" min="1" max="48" man="1"/>
  </rowBreaks>
  <colBreaks count="1" manualBreakCount="1">
    <brk id="18" min="1" max="416"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AH237"/>
  <sheetViews>
    <sheetView showGridLines="0" zoomScale="115" zoomScaleNormal="115" workbookViewId="0">
      <selection activeCell="W62" sqref="W62"/>
    </sheetView>
  </sheetViews>
  <sheetFormatPr defaultRowHeight="11.4" outlineLevelRow="1" outlineLevelCol="1" x14ac:dyDescent="0.2"/>
  <cols>
    <col min="1" max="1" width="2.875" customWidth="1"/>
    <col min="2" max="2" width="4.25" style="3" customWidth="1"/>
    <col min="3" max="3" width="32.25" customWidth="1"/>
    <col min="4" max="5" width="2.25" customWidth="1"/>
    <col min="6" max="6" width="4.875" customWidth="1"/>
    <col min="7" max="8" width="12.75" customWidth="1"/>
    <col min="9" max="9" width="13.375" customWidth="1"/>
    <col min="10" max="17" width="12.75" customWidth="1"/>
    <col min="18" max="18" width="5.75" customWidth="1"/>
    <col min="19" max="19" width="9.875" bestFit="1" customWidth="1"/>
    <col min="20" max="20" width="15.625" customWidth="1"/>
    <col min="22" max="22" width="15" hidden="1" customWidth="1" outlineLevel="1"/>
    <col min="23" max="23" width="9.125" collapsed="1"/>
  </cols>
  <sheetData>
    <row r="1" spans="1:34" ht="12" thickBot="1" x14ac:dyDescent="0.25">
      <c r="A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s="142" customFormat="1" ht="15" x14ac:dyDescent="0.25">
      <c r="A2" s="129"/>
      <c r="B2" s="363"/>
      <c r="C2" s="778"/>
      <c r="D2" s="778"/>
      <c r="E2" s="778"/>
      <c r="F2" s="778"/>
      <c r="G2" s="778"/>
      <c r="H2" s="778"/>
      <c r="I2" s="778"/>
      <c r="J2" s="778"/>
      <c r="K2" s="778"/>
      <c r="L2" s="778"/>
      <c r="M2" s="778"/>
      <c r="N2" s="778"/>
      <c r="O2" s="778"/>
      <c r="P2" s="778"/>
      <c r="Q2" s="778"/>
      <c r="R2" s="779"/>
      <c r="S2" s="129"/>
      <c r="T2" s="129"/>
      <c r="U2" s="129"/>
      <c r="V2" s="129"/>
      <c r="W2" s="129"/>
      <c r="X2" s="129"/>
      <c r="Y2" s="129"/>
      <c r="Z2" s="129"/>
      <c r="AA2" s="129"/>
      <c r="AB2" s="129"/>
      <c r="AC2" s="129"/>
      <c r="AD2" s="129"/>
      <c r="AE2" s="129"/>
      <c r="AF2" s="129"/>
      <c r="AG2" s="129"/>
      <c r="AH2" s="129"/>
    </row>
    <row r="3" spans="1:34" s="142" customFormat="1" ht="15.6" x14ac:dyDescent="0.3">
      <c r="A3" s="129"/>
      <c r="B3" s="215"/>
      <c r="C3" s="695" t="str">
        <f>'WK2 - Notional General Income'!$C$3</f>
        <v>Hornsby, The Council of the Shire of</v>
      </c>
      <c r="D3" s="226"/>
      <c r="E3" s="226"/>
      <c r="F3" s="226"/>
      <c r="G3" s="227"/>
      <c r="H3" s="3"/>
      <c r="I3" s="3"/>
      <c r="J3" s="780"/>
      <c r="K3" s="780"/>
      <c r="L3" s="781"/>
      <c r="M3" s="781"/>
      <c r="N3" s="781"/>
      <c r="O3" s="781"/>
      <c r="P3" s="129"/>
      <c r="Q3" s="129"/>
      <c r="R3" s="217"/>
      <c r="S3" s="129"/>
      <c r="T3" s="3"/>
      <c r="U3" s="129"/>
      <c r="V3" s="129"/>
      <c r="W3" s="129"/>
      <c r="X3" s="129"/>
      <c r="Y3" s="129"/>
      <c r="Z3" s="129"/>
      <c r="AA3" s="129"/>
      <c r="AB3" s="129"/>
      <c r="AC3" s="129"/>
      <c r="AD3" s="129"/>
      <c r="AE3" s="129"/>
      <c r="AF3" s="129"/>
      <c r="AG3" s="129"/>
      <c r="AH3" s="129"/>
    </row>
    <row r="4" spans="1:34" s="142" customFormat="1" ht="3.75" customHeight="1" x14ac:dyDescent="0.25">
      <c r="A4" s="129"/>
      <c r="B4" s="215"/>
      <c r="C4" s="129"/>
      <c r="D4" s="129"/>
      <c r="E4" s="129"/>
      <c r="F4" s="129"/>
      <c r="G4" s="129"/>
      <c r="H4" s="129"/>
      <c r="I4" s="129"/>
      <c r="J4" s="129"/>
      <c r="K4" s="129"/>
      <c r="L4" s="129"/>
      <c r="M4" s="129"/>
      <c r="N4" s="129"/>
      <c r="O4" s="129"/>
      <c r="P4" s="129"/>
      <c r="Q4" s="129"/>
      <c r="R4" s="217"/>
      <c r="S4" s="129"/>
      <c r="T4" s="129"/>
      <c r="U4" s="129"/>
      <c r="V4" s="129"/>
      <c r="W4" s="129"/>
      <c r="X4" s="129"/>
      <c r="Y4" s="129"/>
      <c r="Z4" s="129"/>
      <c r="AA4" s="129"/>
      <c r="AB4" s="129"/>
      <c r="AC4" s="129"/>
      <c r="AD4" s="129"/>
      <c r="AE4" s="129"/>
      <c r="AF4" s="129"/>
      <c r="AG4" s="129"/>
      <c r="AH4" s="129"/>
    </row>
    <row r="5" spans="1:34" s="142" customFormat="1" ht="28.95" customHeight="1" x14ac:dyDescent="0.3">
      <c r="A5" s="129"/>
      <c r="B5" s="215"/>
      <c r="C5" s="129"/>
      <c r="D5" s="129"/>
      <c r="E5" s="129"/>
      <c r="F5" s="129"/>
      <c r="G5" s="85"/>
      <c r="H5" s="129"/>
      <c r="I5" s="85"/>
      <c r="J5" s="85" t="s">
        <v>838</v>
      </c>
      <c r="K5" s="85"/>
      <c r="L5" s="85"/>
      <c r="M5" s="85"/>
      <c r="N5" s="85"/>
      <c r="O5" s="85"/>
      <c r="P5" s="85"/>
      <c r="Q5" s="85"/>
      <c r="R5" s="216"/>
      <c r="S5" s="129"/>
      <c r="T5" s="3"/>
      <c r="U5" s="129"/>
      <c r="V5" s="129"/>
      <c r="W5" s="129"/>
      <c r="X5" s="129"/>
      <c r="Y5" s="129"/>
      <c r="Z5" s="129"/>
      <c r="AA5" s="129"/>
      <c r="AB5" s="129"/>
      <c r="AC5" s="129"/>
      <c r="AD5" s="129"/>
      <c r="AE5" s="129"/>
      <c r="AF5" s="129"/>
      <c r="AG5" s="129"/>
      <c r="AH5" s="129"/>
    </row>
    <row r="6" spans="1:34" s="142" customFormat="1" ht="11.25" customHeight="1" x14ac:dyDescent="0.25">
      <c r="A6" s="129"/>
      <c r="B6" s="215"/>
      <c r="C6" s="129"/>
      <c r="D6" s="129"/>
      <c r="E6" s="129"/>
      <c r="F6" s="129"/>
      <c r="G6" s="129"/>
      <c r="H6" s="129"/>
      <c r="I6" s="129"/>
      <c r="J6" s="129"/>
      <c r="K6" s="129"/>
      <c r="L6" s="129"/>
      <c r="M6" s="129"/>
      <c r="N6" s="129"/>
      <c r="O6" s="129"/>
      <c r="P6" s="129"/>
      <c r="Q6" s="129"/>
      <c r="R6" s="217"/>
      <c r="S6" s="129"/>
      <c r="T6" s="129"/>
      <c r="U6" s="129"/>
      <c r="V6" s="129"/>
      <c r="W6" s="129"/>
      <c r="X6" s="129"/>
      <c r="Y6" s="129"/>
      <c r="Z6" s="129"/>
      <c r="AA6" s="129"/>
      <c r="AB6" s="129"/>
      <c r="AC6" s="129"/>
      <c r="AD6" s="129"/>
      <c r="AE6" s="129"/>
      <c r="AF6" s="129"/>
      <c r="AG6" s="129"/>
      <c r="AH6" s="129"/>
    </row>
    <row r="7" spans="1:34" s="142" customFormat="1" ht="17.25" customHeight="1" x14ac:dyDescent="0.3">
      <c r="A7" s="129"/>
      <c r="B7" s="215"/>
      <c r="C7" s="129"/>
      <c r="D7" s="129"/>
      <c r="E7" s="129"/>
      <c r="F7" s="129"/>
      <c r="G7" s="129"/>
      <c r="H7" s="129"/>
      <c r="I7" s="4"/>
      <c r="J7" s="134" t="s">
        <v>839</v>
      </c>
      <c r="K7" s="134"/>
      <c r="L7" s="134"/>
      <c r="M7" s="134"/>
      <c r="N7" s="134"/>
      <c r="O7" s="134"/>
      <c r="P7" s="134"/>
      <c r="Q7" s="134"/>
      <c r="R7" s="441"/>
      <c r="S7" s="129"/>
      <c r="T7" s="129"/>
      <c r="U7" s="129"/>
      <c r="V7" s="129"/>
      <c r="W7" s="129"/>
      <c r="X7" s="129"/>
      <c r="Y7" s="129"/>
      <c r="Z7" s="129"/>
      <c r="AA7" s="129"/>
      <c r="AB7" s="129"/>
      <c r="AC7" s="129"/>
      <c r="AD7" s="129"/>
      <c r="AE7" s="129"/>
      <c r="AF7" s="129"/>
      <c r="AG7" s="129"/>
      <c r="AH7" s="129"/>
    </row>
    <row r="8" spans="1:34" s="142" customFormat="1" ht="25.5" customHeight="1" x14ac:dyDescent="0.25">
      <c r="A8" s="129"/>
      <c r="B8" s="215"/>
      <c r="C8" s="129"/>
      <c r="D8" s="129"/>
      <c r="E8" s="129"/>
      <c r="F8" s="129"/>
      <c r="G8" s="129"/>
      <c r="H8" s="129"/>
      <c r="I8" s="129"/>
      <c r="J8" s="171" t="s">
        <v>840</v>
      </c>
      <c r="K8" s="129"/>
      <c r="L8" s="129"/>
      <c r="M8" s="129"/>
      <c r="N8" s="129"/>
      <c r="O8" s="129"/>
      <c r="P8" s="129"/>
      <c r="Q8" s="129"/>
      <c r="R8" s="217"/>
      <c r="S8" s="129"/>
      <c r="T8" s="129"/>
      <c r="U8" s="129"/>
      <c r="V8" s="129"/>
      <c r="W8" s="129"/>
      <c r="X8" s="129"/>
      <c r="Y8" s="129"/>
      <c r="Z8" s="129"/>
      <c r="AA8" s="129"/>
      <c r="AB8" s="129"/>
      <c r="AC8" s="129"/>
      <c r="AD8" s="129"/>
      <c r="AE8" s="129"/>
      <c r="AF8" s="129"/>
      <c r="AG8" s="129"/>
      <c r="AH8" s="129"/>
    </row>
    <row r="9" spans="1:34" s="142" customFormat="1" ht="15.6" x14ac:dyDescent="0.3">
      <c r="A9" s="129"/>
      <c r="B9" s="215"/>
      <c r="C9" s="129"/>
      <c r="D9" s="129"/>
      <c r="E9" s="129"/>
      <c r="F9" s="129"/>
      <c r="G9" s="134"/>
      <c r="H9" s="129"/>
      <c r="I9" s="134"/>
      <c r="J9" s="129"/>
      <c r="K9" s="134"/>
      <c r="L9" s="134"/>
      <c r="M9" s="134"/>
      <c r="N9" s="134"/>
      <c r="O9" s="134"/>
      <c r="P9" s="134"/>
      <c r="Q9" s="134"/>
      <c r="R9" s="441"/>
      <c r="S9" s="129"/>
      <c r="T9" s="129"/>
      <c r="U9" s="129"/>
      <c r="V9" s="129"/>
      <c r="W9" s="129"/>
      <c r="X9" s="129"/>
      <c r="Y9" s="129"/>
      <c r="Z9" s="129"/>
      <c r="AA9" s="129"/>
      <c r="AB9" s="129"/>
      <c r="AC9" s="129"/>
      <c r="AD9" s="129"/>
      <c r="AE9" s="129"/>
      <c r="AF9" s="129"/>
      <c r="AG9" s="129"/>
      <c r="AH9" s="129"/>
    </row>
    <row r="10" spans="1:34" s="142" customFormat="1" ht="10.199999999999999" customHeight="1" x14ac:dyDescent="0.25">
      <c r="A10" s="129"/>
      <c r="B10" s="215"/>
      <c r="C10" s="129"/>
      <c r="D10" s="129"/>
      <c r="E10" s="129"/>
      <c r="F10" s="129"/>
      <c r="G10" s="199" t="s">
        <v>841</v>
      </c>
      <c r="H10" s="129"/>
      <c r="I10" s="129"/>
      <c r="J10" s="191"/>
      <c r="K10" s="191"/>
      <c r="L10" s="191"/>
      <c r="M10" s="191"/>
      <c r="N10" s="191"/>
      <c r="O10" s="191"/>
      <c r="P10" s="191"/>
      <c r="Q10" s="191"/>
      <c r="R10" s="281"/>
      <c r="S10" s="129"/>
      <c r="T10" s="129"/>
      <c r="U10" s="129"/>
      <c r="V10" s="129"/>
      <c r="W10" s="129"/>
      <c r="X10" s="129"/>
      <c r="Y10" s="129"/>
      <c r="Z10" s="129"/>
      <c r="AA10" s="129"/>
      <c r="AB10" s="129"/>
      <c r="AC10" s="129"/>
      <c r="AD10" s="129"/>
      <c r="AE10" s="129"/>
      <c r="AF10" s="129"/>
      <c r="AG10" s="129"/>
      <c r="AH10" s="129"/>
    </row>
    <row r="11" spans="1:34" s="142" customFormat="1" ht="17.25" customHeight="1" x14ac:dyDescent="0.25">
      <c r="A11" s="129"/>
      <c r="B11" s="215"/>
      <c r="C11" s="129"/>
      <c r="D11" s="129"/>
      <c r="E11" s="129"/>
      <c r="F11" s="129"/>
      <c r="G11" s="289" t="str">
        <f>"Enter the proposed spending over "&amp;IF($G$18='WK0 - Input data'!$B$243,10,G19)&amp;" years under each of the headings as relevant."</f>
        <v>Enter the proposed spending over 10 years under each of the headings as relevant.</v>
      </c>
      <c r="H11" s="129"/>
      <c r="I11" s="129"/>
      <c r="J11" s="191"/>
      <c r="K11" s="191"/>
      <c r="L11" s="191"/>
      <c r="M11" s="191"/>
      <c r="N11" s="191"/>
      <c r="O11" s="191"/>
      <c r="P11" s="191"/>
      <c r="Q11" s="191"/>
      <c r="R11" s="281"/>
      <c r="S11" s="129"/>
      <c r="T11" s="129"/>
      <c r="U11" s="129"/>
      <c r="V11" s="129"/>
      <c r="W11" s="129"/>
      <c r="X11" s="129"/>
      <c r="Y11" s="129"/>
      <c r="Z11" s="129"/>
      <c r="AA11" s="129"/>
      <c r="AB11" s="129"/>
      <c r="AC11" s="129"/>
      <c r="AD11" s="129"/>
      <c r="AE11" s="129"/>
      <c r="AF11" s="129"/>
      <c r="AG11" s="129"/>
      <c r="AH11" s="129"/>
    </row>
    <row r="12" spans="1:34" s="142" customFormat="1" ht="7.5" customHeight="1" x14ac:dyDescent="0.25">
      <c r="A12" s="129"/>
      <c r="B12" s="215"/>
      <c r="C12" s="129"/>
      <c r="D12" s="129"/>
      <c r="E12" s="129"/>
      <c r="F12" s="129"/>
      <c r="G12" s="191"/>
      <c r="H12" s="129"/>
      <c r="I12" s="129"/>
      <c r="J12" s="191"/>
      <c r="K12" s="191"/>
      <c r="L12" s="191"/>
      <c r="M12" s="191"/>
      <c r="N12" s="191"/>
      <c r="O12" s="191"/>
      <c r="P12" s="191"/>
      <c r="Q12" s="191"/>
      <c r="R12" s="281"/>
      <c r="S12" s="129"/>
      <c r="T12" s="129"/>
      <c r="U12" s="129"/>
      <c r="V12" s="129"/>
      <c r="W12" s="129"/>
      <c r="X12" s="129"/>
      <c r="Y12" s="129"/>
      <c r="Z12" s="129"/>
      <c r="AA12" s="129"/>
      <c r="AB12" s="129"/>
      <c r="AC12" s="129"/>
      <c r="AD12" s="129"/>
      <c r="AE12" s="129"/>
      <c r="AF12" s="129"/>
      <c r="AG12" s="129"/>
      <c r="AH12" s="129"/>
    </row>
    <row r="13" spans="1:34" s="142" customFormat="1" ht="15" x14ac:dyDescent="0.25">
      <c r="A13" s="129"/>
      <c r="B13" s="215"/>
      <c r="C13" s="129"/>
      <c r="D13" s="129"/>
      <c r="E13" s="129"/>
      <c r="F13" s="129"/>
      <c r="G13" s="199" t="s">
        <v>842</v>
      </c>
      <c r="H13" s="129"/>
      <c r="I13" s="129"/>
      <c r="J13" s="191"/>
      <c r="K13" s="191"/>
      <c r="L13" s="191"/>
      <c r="M13" s="191"/>
      <c r="N13" s="191"/>
      <c r="O13" s="191"/>
      <c r="P13" s="191"/>
      <c r="Q13" s="191"/>
      <c r="R13" s="281"/>
      <c r="S13" s="129"/>
      <c r="T13" s="129"/>
      <c r="U13" s="129"/>
      <c r="V13" s="129"/>
      <c r="W13" s="129"/>
      <c r="X13" s="129"/>
      <c r="Y13" s="129"/>
      <c r="Z13" s="129"/>
      <c r="AA13" s="129"/>
      <c r="AB13" s="129"/>
      <c r="AC13" s="129"/>
      <c r="AD13" s="129"/>
      <c r="AE13" s="129"/>
      <c r="AF13" s="129"/>
      <c r="AG13" s="129"/>
      <c r="AH13" s="129"/>
    </row>
    <row r="14" spans="1:34" s="142" customFormat="1" ht="15" x14ac:dyDescent="0.25">
      <c r="A14" s="129"/>
      <c r="B14" s="215"/>
      <c r="C14" s="129"/>
      <c r="D14" s="129"/>
      <c r="E14" s="129"/>
      <c r="F14" s="129"/>
      <c r="G14" s="199" t="s">
        <v>843</v>
      </c>
      <c r="H14" s="129"/>
      <c r="I14" s="129"/>
      <c r="J14" s="191"/>
      <c r="K14" s="191"/>
      <c r="L14" s="191"/>
      <c r="M14" s="191"/>
      <c r="N14" s="191"/>
      <c r="O14" s="191"/>
      <c r="P14" s="191"/>
      <c r="Q14" s="191"/>
      <c r="R14" s="281"/>
      <c r="S14" s="129"/>
      <c r="T14" s="129"/>
      <c r="U14" s="129"/>
      <c r="V14" s="129"/>
      <c r="W14" s="129"/>
      <c r="X14" s="129"/>
      <c r="Y14" s="129"/>
      <c r="Z14" s="129"/>
      <c r="AA14" s="129"/>
      <c r="AB14" s="129"/>
      <c r="AC14" s="129"/>
      <c r="AD14" s="129"/>
      <c r="AE14" s="129"/>
      <c r="AF14" s="129"/>
      <c r="AG14" s="129"/>
      <c r="AH14" s="129"/>
    </row>
    <row r="15" spans="1:34" s="142" customFormat="1" ht="15" x14ac:dyDescent="0.25">
      <c r="A15" s="129"/>
      <c r="B15" s="215"/>
      <c r="C15" s="129"/>
      <c r="D15" s="129"/>
      <c r="E15" s="129"/>
      <c r="F15" s="129"/>
      <c r="G15" s="199"/>
      <c r="H15" s="129"/>
      <c r="I15" s="129"/>
      <c r="J15" s="191"/>
      <c r="K15" s="191"/>
      <c r="L15" s="191"/>
      <c r="M15" s="191"/>
      <c r="N15" s="191"/>
      <c r="O15" s="191"/>
      <c r="P15" s="191"/>
      <c r="Q15" s="191"/>
      <c r="R15" s="281"/>
      <c r="S15" s="129"/>
      <c r="T15" s="129"/>
      <c r="U15" s="129"/>
      <c r="V15" s="129"/>
      <c r="W15" s="129"/>
      <c r="X15" s="129"/>
      <c r="Y15" s="129"/>
      <c r="Z15" s="129"/>
      <c r="AA15" s="129"/>
      <c r="AB15" s="129"/>
      <c r="AC15" s="129"/>
      <c r="AD15" s="129"/>
      <c r="AE15" s="129"/>
      <c r="AF15" s="129"/>
      <c r="AG15" s="129"/>
      <c r="AH15" s="129"/>
    </row>
    <row r="16" spans="1:34" ht="15" x14ac:dyDescent="0.25">
      <c r="A16" s="3"/>
      <c r="B16" s="212"/>
      <c r="C16" t="s">
        <v>844</v>
      </c>
      <c r="D16" s="3"/>
      <c r="E16" s="3"/>
      <c r="F16" s="3"/>
      <c r="G16" s="3"/>
      <c r="H16" s="3"/>
      <c r="I16" s="191"/>
      <c r="J16" s="191"/>
      <c r="K16" s="191"/>
      <c r="L16" s="191"/>
      <c r="M16" s="191"/>
      <c r="N16" s="191"/>
      <c r="O16" s="191"/>
      <c r="P16" s="191"/>
      <c r="Q16" s="191"/>
      <c r="R16" s="281"/>
      <c r="S16" s="3"/>
      <c r="T16" s="129"/>
      <c r="U16" s="3"/>
      <c r="V16" s="3"/>
      <c r="W16" s="3"/>
      <c r="X16" s="3"/>
      <c r="Y16" s="3"/>
      <c r="Z16" s="3"/>
      <c r="AA16" s="3"/>
      <c r="AB16" s="3"/>
      <c r="AC16" s="3"/>
      <c r="AD16" s="3"/>
      <c r="AE16" s="3"/>
      <c r="AF16" s="3"/>
      <c r="AG16" s="3"/>
      <c r="AH16" s="3"/>
    </row>
    <row r="17" spans="1:34" ht="13.5" customHeight="1" x14ac:dyDescent="0.25">
      <c r="A17" s="3"/>
      <c r="B17" s="212"/>
      <c r="C17" s="196"/>
      <c r="D17" s="196"/>
      <c r="E17" s="196"/>
      <c r="F17" s="196"/>
      <c r="G17" s="196"/>
      <c r="H17" s="196"/>
      <c r="I17" s="196"/>
      <c r="J17" s="196"/>
      <c r="K17" s="196"/>
      <c r="L17" s="196"/>
      <c r="M17" s="196"/>
      <c r="N17" s="196"/>
      <c r="O17" s="196"/>
      <c r="P17" s="196"/>
      <c r="Q17" s="196"/>
      <c r="R17" s="214"/>
      <c r="S17" s="3"/>
      <c r="T17" s="129"/>
      <c r="U17" s="3"/>
      <c r="W17" s="3"/>
      <c r="X17" s="3"/>
      <c r="Y17" s="3"/>
      <c r="Z17" s="3"/>
      <c r="AA17" s="3"/>
      <c r="AB17" s="3"/>
      <c r="AC17" s="3"/>
      <c r="AD17" s="3"/>
      <c r="AE17" s="3"/>
      <c r="AF17" s="3"/>
      <c r="AG17" s="3"/>
      <c r="AH17" s="3"/>
    </row>
    <row r="18" spans="1:34" ht="13.5" hidden="1" customHeight="1" outlineLevel="1" x14ac:dyDescent="0.25">
      <c r="A18" s="3"/>
      <c r="B18" s="212"/>
      <c r="C18" s="266" t="s">
        <v>845</v>
      </c>
      <c r="D18" s="413"/>
      <c r="E18" s="267"/>
      <c r="F18" s="413"/>
      <c r="G18" s="290" t="str">
        <f>'WK1 - Identification'!$K$30</f>
        <v>Permanent</v>
      </c>
      <c r="H18" s="413"/>
      <c r="I18" s="413"/>
      <c r="J18" s="413"/>
      <c r="K18" s="413"/>
      <c r="L18" s="413"/>
      <c r="M18" s="413"/>
      <c r="N18" s="413"/>
      <c r="O18" s="413"/>
      <c r="P18" s="413"/>
      <c r="Q18" s="268"/>
      <c r="R18" s="214"/>
      <c r="S18" s="3"/>
      <c r="T18" s="129"/>
      <c r="U18" s="3"/>
      <c r="V18" s="3" t="s">
        <v>95</v>
      </c>
      <c r="W18" s="3"/>
      <c r="X18" s="3"/>
      <c r="Y18" s="3"/>
      <c r="Z18" s="3"/>
      <c r="AA18" s="3"/>
      <c r="AB18" s="3"/>
      <c r="AC18" s="3"/>
      <c r="AD18" s="3"/>
      <c r="AE18" s="3"/>
      <c r="AF18" s="3"/>
      <c r="AG18" s="3"/>
      <c r="AH18" s="3"/>
    </row>
    <row r="19" spans="1:34" ht="13.5" hidden="1" customHeight="1" outlineLevel="1" x14ac:dyDescent="0.25">
      <c r="A19" s="3"/>
      <c r="B19" s="212"/>
      <c r="C19" s="269" t="s">
        <v>846</v>
      </c>
      <c r="E19" s="263"/>
      <c r="F19" s="263"/>
      <c r="G19" s="291">
        <f>'WK1 - Identification'!K31</f>
        <v>0</v>
      </c>
      <c r="H19" s="3"/>
      <c r="I19" s="3"/>
      <c r="J19" s="3"/>
      <c r="K19" s="3"/>
      <c r="L19" s="3"/>
      <c r="M19" s="3"/>
      <c r="N19" s="3"/>
      <c r="O19" s="3"/>
      <c r="P19" s="3"/>
      <c r="Q19" s="270"/>
      <c r="R19" s="214"/>
      <c r="S19" s="3"/>
      <c r="T19" s="129"/>
      <c r="U19" s="3"/>
      <c r="V19" s="1248" t="s">
        <v>93</v>
      </c>
      <c r="W19" s="3"/>
      <c r="X19" s="3"/>
      <c r="Y19" s="3"/>
      <c r="Z19" s="3"/>
      <c r="AA19" s="3"/>
      <c r="AB19" s="3"/>
      <c r="AC19" s="3"/>
      <c r="AD19" s="3"/>
      <c r="AE19" s="3"/>
      <c r="AF19" s="3"/>
      <c r="AG19" s="3"/>
      <c r="AH19" s="3"/>
    </row>
    <row r="20" spans="1:34" ht="13.5" hidden="1" customHeight="1" outlineLevel="1" x14ac:dyDescent="0.25">
      <c r="A20" s="3"/>
      <c r="B20" s="212"/>
      <c r="C20" s="269" t="s">
        <v>847</v>
      </c>
      <c r="D20" s="200"/>
      <c r="E20" s="200"/>
      <c r="F20" s="200"/>
      <c r="G20" s="202">
        <v>1</v>
      </c>
      <c r="H20" s="201">
        <f t="shared" ref="H20:P20" si="0">1+G20</f>
        <v>2</v>
      </c>
      <c r="I20" s="201">
        <f t="shared" si="0"/>
        <v>3</v>
      </c>
      <c r="J20" s="201">
        <f t="shared" si="0"/>
        <v>4</v>
      </c>
      <c r="K20" s="201">
        <f t="shared" si="0"/>
        <v>5</v>
      </c>
      <c r="L20" s="201">
        <f t="shared" si="0"/>
        <v>6</v>
      </c>
      <c r="M20" s="201">
        <f t="shared" si="0"/>
        <v>7</v>
      </c>
      <c r="N20" s="201">
        <f t="shared" si="0"/>
        <v>8</v>
      </c>
      <c r="O20" s="201">
        <f t="shared" si="0"/>
        <v>9</v>
      </c>
      <c r="P20" s="201">
        <f t="shared" si="0"/>
        <v>10</v>
      </c>
      <c r="Q20" s="270"/>
      <c r="R20" s="214"/>
      <c r="S20" s="3"/>
      <c r="T20" s="129"/>
      <c r="U20" s="3"/>
      <c r="V20" s="265" t="s">
        <v>848</v>
      </c>
      <c r="W20" s="3"/>
      <c r="X20" s="3"/>
      <c r="Y20" s="3"/>
      <c r="Z20" s="3"/>
      <c r="AA20" s="3"/>
      <c r="AB20" s="3"/>
      <c r="AC20" s="3"/>
      <c r="AD20" s="3"/>
      <c r="AE20" s="3"/>
      <c r="AF20" s="3"/>
      <c r="AG20" s="3"/>
      <c r="AH20" s="3"/>
    </row>
    <row r="21" spans="1:34" ht="13.5" hidden="1" customHeight="1" outlineLevel="1" x14ac:dyDescent="0.25">
      <c r="A21" s="3"/>
      <c r="B21" s="212"/>
      <c r="C21" s="271" t="s">
        <v>849</v>
      </c>
      <c r="D21" s="272"/>
      <c r="E21" s="272"/>
      <c r="F21" s="272"/>
      <c r="G21" s="292" t="str">
        <f>IF($G$18='WK0 - Input data'!$B$243,$V$21,(IF($G$19&gt;=G20,$V$19,$V$20)))</f>
        <v>na</v>
      </c>
      <c r="H21" s="292" t="str">
        <f>IF($G$18='WK0 - Input data'!$B$243,$V$21,(IF($G$19&gt;=H20,$V$19,$V$20)))</f>
        <v>na</v>
      </c>
      <c r="I21" s="292" t="str">
        <f>IF($G$18='WK0 - Input data'!$B$243,$V$21,(IF($G$19&gt;=I20,$V$19,$V$20)))</f>
        <v>na</v>
      </c>
      <c r="J21" s="292" t="str">
        <f>IF($G$18='WK0 - Input data'!$B$243,$V$21,(IF($G$19&gt;=J20,$V$19,$V$20)))</f>
        <v>na</v>
      </c>
      <c r="K21" s="292" t="str">
        <f>IF($G$18='WK0 - Input data'!$B$243,$V$21,(IF($G$19&gt;=K20,$V$19,$V$20)))</f>
        <v>na</v>
      </c>
      <c r="L21" s="292" t="str">
        <f>IF($G$18='WK0 - Input data'!$B$243,$V$21,(IF($G$19&gt;=L20,$V$19,$V$20)))</f>
        <v>na</v>
      </c>
      <c r="M21" s="292" t="str">
        <f>IF($G$18='WK0 - Input data'!$B$243,$V$21,(IF($G$19&gt;=M20,$V$19,$V$20)))</f>
        <v>na</v>
      </c>
      <c r="N21" s="292" t="str">
        <f>IF($G$18='WK0 - Input data'!$B$243,$V$21,(IF($G$19&gt;=N20,$V$19,$V$20)))</f>
        <v>na</v>
      </c>
      <c r="O21" s="292" t="str">
        <f>IF($G$18='WK0 - Input data'!$B$243,$V$21,(IF($G$19&gt;=O20,$V$19,$V$20)))</f>
        <v>na</v>
      </c>
      <c r="P21" s="292" t="str">
        <f>IF($G$18='WK0 - Input data'!$B$243,$V$21,(IF($G$19&gt;=P20,$V$19,$V$20)))</f>
        <v>na</v>
      </c>
      <c r="Q21" s="273"/>
      <c r="R21" s="214"/>
      <c r="S21" s="3"/>
      <c r="T21" s="129"/>
      <c r="U21" s="3"/>
      <c r="V21" s="264" t="s">
        <v>129</v>
      </c>
      <c r="W21" s="3"/>
      <c r="X21" s="3"/>
      <c r="Y21" s="3"/>
      <c r="Z21" s="3"/>
      <c r="AA21" s="3"/>
      <c r="AB21" s="3"/>
      <c r="AC21" s="3"/>
      <c r="AD21" s="3"/>
      <c r="AE21" s="3"/>
      <c r="AF21" s="3"/>
      <c r="AG21" s="3"/>
      <c r="AH21" s="3"/>
    </row>
    <row r="22" spans="1:34" ht="13.5" hidden="1" customHeight="1" outlineLevel="1" x14ac:dyDescent="0.25">
      <c r="A22" s="3"/>
      <c r="B22" s="212"/>
      <c r="C22" s="199"/>
      <c r="D22" s="200"/>
      <c r="E22" s="200"/>
      <c r="F22" s="200"/>
      <c r="G22" s="262"/>
      <c r="H22" s="262"/>
      <c r="I22" s="262"/>
      <c r="J22" s="262"/>
      <c r="K22" s="262"/>
      <c r="L22" s="262"/>
      <c r="M22" s="262"/>
      <c r="N22" s="262"/>
      <c r="O22" s="262"/>
      <c r="P22" s="262"/>
      <c r="Q22" s="191"/>
      <c r="R22" s="214"/>
      <c r="S22" s="3"/>
      <c r="T22" s="129"/>
      <c r="U22" s="3"/>
      <c r="V22" s="3"/>
      <c r="W22" s="3"/>
      <c r="X22" s="3"/>
      <c r="Y22" s="3"/>
      <c r="Z22" s="3"/>
      <c r="AA22" s="3"/>
      <c r="AB22" s="3"/>
      <c r="AC22" s="3"/>
      <c r="AD22" s="3"/>
      <c r="AE22" s="3"/>
      <c r="AF22" s="3"/>
      <c r="AG22" s="3"/>
      <c r="AH22" s="3"/>
    </row>
    <row r="23" spans="1:34" ht="13.5" hidden="1" customHeight="1" outlineLevel="1" x14ac:dyDescent="0.25">
      <c r="A23" s="3"/>
      <c r="B23" s="212"/>
      <c r="C23" s="3"/>
      <c r="D23" s="3"/>
      <c r="E23" s="3"/>
      <c r="F23" s="3"/>
      <c r="G23" s="129"/>
      <c r="H23" s="129"/>
      <c r="I23" s="129"/>
      <c r="J23" s="129"/>
      <c r="K23" s="129"/>
      <c r="L23" s="129"/>
      <c r="M23" s="129"/>
      <c r="N23" s="3"/>
      <c r="O23" s="3"/>
      <c r="P23" s="3"/>
      <c r="Q23" s="3"/>
      <c r="R23" s="214"/>
      <c r="S23" s="3"/>
      <c r="T23" s="129"/>
      <c r="U23" s="3"/>
      <c r="V23" s="3"/>
      <c r="W23" s="3"/>
      <c r="X23" s="3"/>
      <c r="Y23" s="3"/>
      <c r="Z23" s="3"/>
      <c r="AA23" s="3"/>
      <c r="AB23" s="3"/>
      <c r="AC23" s="3"/>
      <c r="AD23" s="3"/>
      <c r="AE23" s="3"/>
      <c r="AF23" s="3"/>
      <c r="AG23" s="3"/>
      <c r="AH23" s="3"/>
    </row>
    <row r="24" spans="1:34" ht="20.7" customHeight="1" collapsed="1" x14ac:dyDescent="0.25">
      <c r="A24" s="3"/>
      <c r="B24" s="212"/>
      <c r="C24" s="1199"/>
      <c r="D24" s="815"/>
      <c r="E24" s="815"/>
      <c r="F24" s="815"/>
      <c r="G24" s="1249" t="str">
        <f>'WK0 - Input data'!I55</f>
        <v>Year 1</v>
      </c>
      <c r="H24" s="1249" t="str">
        <f>'WK0 - Input data'!J55</f>
        <v>Year 2</v>
      </c>
      <c r="I24" s="1249" t="str">
        <f>'WK0 - Input data'!K55</f>
        <v>Year 3</v>
      </c>
      <c r="J24" s="1249" t="str">
        <f>'WK0 - Input data'!L55</f>
        <v>Year 4</v>
      </c>
      <c r="K24" s="1249" t="str">
        <f>'WK0 - Input data'!M55</f>
        <v>Year 5</v>
      </c>
      <c r="L24" s="1249" t="str">
        <f>'WK0 - Input data'!N55</f>
        <v>Year 6</v>
      </c>
      <c r="M24" s="1249" t="str">
        <f>'WK0 - Input data'!O55</f>
        <v>Year 7</v>
      </c>
      <c r="N24" s="1249" t="str">
        <f>'WK0 - Input data'!P55</f>
        <v>Year 8</v>
      </c>
      <c r="O24" s="1249" t="str">
        <f>'WK0 - Input data'!Q55</f>
        <v>Year 9</v>
      </c>
      <c r="P24" s="1249" t="str">
        <f>'WK0 - Input data'!R55</f>
        <v>Year 10</v>
      </c>
      <c r="Q24" s="1250" t="str">
        <f>IF(P21=V20,"Sum of "&amp;G19&amp;" years","Sum of 10 years")</f>
        <v>Sum of 10 years</v>
      </c>
      <c r="R24" s="214"/>
      <c r="S24" s="3"/>
      <c r="T24" s="129"/>
      <c r="U24" s="3"/>
      <c r="V24" s="3"/>
      <c r="W24" s="3"/>
      <c r="X24" s="3"/>
      <c r="Y24" s="3"/>
      <c r="Z24" s="3"/>
      <c r="AA24" s="3"/>
      <c r="AB24" s="3"/>
      <c r="AC24" s="3"/>
      <c r="AD24" s="3"/>
      <c r="AE24" s="3"/>
      <c r="AF24" s="3"/>
      <c r="AG24" s="3"/>
      <c r="AH24" s="3"/>
    </row>
    <row r="25" spans="1:34" ht="19.95" customHeight="1" x14ac:dyDescent="0.25">
      <c r="A25" s="3"/>
      <c r="B25" s="212"/>
      <c r="C25" s="274"/>
      <c r="D25" s="115"/>
      <c r="E25" s="115"/>
      <c r="F25" s="197"/>
      <c r="G25" s="293" t="str">
        <f>'WK0 - Input data'!I58</f>
        <v>2023-24</v>
      </c>
      <c r="H25" s="293" t="str">
        <f>'WK0 - Input data'!J58</f>
        <v>2024-25</v>
      </c>
      <c r="I25" s="293" t="str">
        <f>'WK0 - Input data'!K58</f>
        <v>2025-26</v>
      </c>
      <c r="J25" s="293" t="str">
        <f>'WK0 - Input data'!L58</f>
        <v>2026-27</v>
      </c>
      <c r="K25" s="293" t="str">
        <f>'WK0 - Input data'!M58</f>
        <v>2027-28</v>
      </c>
      <c r="L25" s="293" t="str">
        <f>'WK0 - Input data'!N58</f>
        <v>2028-29</v>
      </c>
      <c r="M25" s="293" t="str">
        <f>'WK0 - Input data'!O58</f>
        <v>2029-30</v>
      </c>
      <c r="N25" s="293" t="str">
        <f>'WK0 - Input data'!P58</f>
        <v>2030-31</v>
      </c>
      <c r="O25" s="293" t="str">
        <f>'WK0 - Input data'!Q58</f>
        <v>2031-32</v>
      </c>
      <c r="P25" s="293" t="str">
        <f>'WK0 - Input data'!R58</f>
        <v>2032-33</v>
      </c>
      <c r="Q25" s="139"/>
      <c r="R25" s="214"/>
      <c r="S25" s="3"/>
      <c r="T25" s="129"/>
      <c r="U25" s="3"/>
      <c r="V25" s="3"/>
      <c r="W25" s="3"/>
      <c r="X25" s="3"/>
      <c r="Y25" s="3"/>
      <c r="Z25" s="3"/>
      <c r="AA25" s="3"/>
      <c r="AB25" s="3"/>
      <c r="AC25" s="3"/>
      <c r="AD25" s="3"/>
      <c r="AE25" s="3"/>
      <c r="AF25" s="3"/>
      <c r="AG25" s="3"/>
      <c r="AH25" s="3"/>
    </row>
    <row r="26" spans="1:34" ht="15.75" customHeight="1" x14ac:dyDescent="0.25">
      <c r="A26" s="3"/>
      <c r="B26" s="212"/>
      <c r="C26" s="1251" t="s">
        <v>850</v>
      </c>
      <c r="D26" s="1184"/>
      <c r="E26" s="1184"/>
      <c r="F26" s="1184"/>
      <c r="G26" s="848" t="str">
        <f>'WK0 - Input data'!$C$63</f>
        <v>$ nominal per year</v>
      </c>
      <c r="H26" s="1064"/>
      <c r="I26" s="1064"/>
      <c r="J26" s="1064"/>
      <c r="K26" s="1064"/>
      <c r="L26" s="1064"/>
      <c r="M26" s="1064"/>
      <c r="N26" s="1064"/>
      <c r="O26" s="1064"/>
      <c r="P26" s="1064"/>
      <c r="Q26" s="1074"/>
      <c r="R26" s="214"/>
      <c r="S26" s="3"/>
      <c r="T26" s="129"/>
      <c r="U26" s="3"/>
      <c r="V26" s="3"/>
      <c r="W26" s="3"/>
      <c r="X26" s="3"/>
      <c r="Y26" s="3"/>
      <c r="Z26" s="3"/>
      <c r="AA26" s="3"/>
      <c r="AB26" s="3"/>
      <c r="AC26" s="3"/>
      <c r="AD26" s="3"/>
      <c r="AE26" s="3"/>
      <c r="AF26" s="3"/>
      <c r="AG26" s="3"/>
      <c r="AH26" s="3"/>
    </row>
    <row r="27" spans="1:34" s="26" customFormat="1" ht="15" x14ac:dyDescent="0.25">
      <c r="A27" s="2"/>
      <c r="B27" s="221"/>
      <c r="C27" s="135" t="str">
        <f>CHOOSE('WK1 - Identification'!$S$24,"Proposed SV income above existing SV/rate peg","Proposed SV income above rate peg")</f>
        <v>Proposed SV income above rate peg</v>
      </c>
      <c r="D27" s="3"/>
      <c r="E27" s="3"/>
      <c r="F27" s="96"/>
      <c r="G27" s="783">
        <f>IF('WK4 - PGI summary'!F58=0,".",'WK4 - PGI summary'!G58-'WK4 - PGI summary'!G68)</f>
        <v>3642725.216683507</v>
      </c>
      <c r="H27" s="784">
        <f>IF(H21=$V$20,".",(IF('WK4 - PGI summary'!H58=".",G27*(1+'WK0 - Input data'!$D$48),'WK4 - PGI summary'!H58-'WK4 - PGI summary'!H68)))</f>
        <v>7850831.7430397719</v>
      </c>
      <c r="I27" s="784">
        <f>IF(I21=$V$20,".",(IF('WK4 - PGI summary'!I58=".",H27*(1+'WK0 - Input data'!$D$48),'WK4 - PGI summary'!I58-'WK4 - PGI summary'!I68)))</f>
        <v>11587755.557123452</v>
      </c>
      <c r="J27" s="784">
        <f>IF(J21=$V$20,".",(IF('WK4 - PGI summary'!J58=".",I27*(1+'WK0 - Input data'!$D$48),'WK4 - PGI summary'!J58-'WK4 - PGI summary'!J68)))</f>
        <v>14705546.046182051</v>
      </c>
      <c r="K27" s="784">
        <f>IF(K21=$V$20,".",(IF('WK4 - PGI summary'!K58=".",J27*(1+'WK0 - Input data'!$D$48),'WK4 - PGI summary'!K58-'WK4 - PGI summary'!K68)))</f>
        <v>15073184.697336599</v>
      </c>
      <c r="L27" s="784">
        <f>IF(L21=$V$20,".",(IF('WK4 - PGI summary'!L58=".",K27*(1+'WK0 - Input data'!$D$48),'WK4 - PGI summary'!L58-'WK4 - PGI summary'!L68)))</f>
        <v>15450014.314770013</v>
      </c>
      <c r="M27" s="783">
        <f>IF(M21=$V$20,".",(IF('WK4 - PGI summary'!M58=".",L27*(1+'WK0 - Input data'!$D$48),'WK4 - PGI summary'!M58-'WK4 - PGI summary'!M68)))</f>
        <v>15836264.672639266</v>
      </c>
      <c r="N27" s="784">
        <f>IF(N21=$V$20,".",M27*(1+'WK0 - Input data'!$D$48))</f>
        <v>16232171.289455246</v>
      </c>
      <c r="O27" s="784">
        <f>IF(O21=$V$20,".",N27*(1+'WK0 - Input data'!$D$48))</f>
        <v>16637975.571691627</v>
      </c>
      <c r="P27" s="784">
        <f>IF(P21=$V$20,".",O27*(1+'WK0 - Input data'!$D$48))</f>
        <v>17053924.960983917</v>
      </c>
      <c r="Q27" s="785">
        <f>SUM(G27:P27)</f>
        <v>134070394.06990546</v>
      </c>
      <c r="R27" s="214"/>
      <c r="S27" s="3"/>
      <c r="T27" s="129"/>
      <c r="U27" s="2"/>
      <c r="V27" s="2"/>
      <c r="W27" s="2"/>
      <c r="X27" s="2"/>
      <c r="Y27" s="2"/>
      <c r="Z27" s="2"/>
      <c r="AA27" s="2"/>
      <c r="AB27" s="2"/>
      <c r="AC27" s="2"/>
      <c r="AD27" s="2"/>
      <c r="AE27" s="2"/>
      <c r="AF27" s="2"/>
      <c r="AG27" s="2"/>
      <c r="AH27" s="2"/>
    </row>
    <row r="28" spans="1:34" ht="9.6" customHeight="1" x14ac:dyDescent="0.25">
      <c r="A28" s="3"/>
      <c r="B28" s="212"/>
      <c r="C28" s="97"/>
      <c r="D28" s="93"/>
      <c r="E28" s="93"/>
      <c r="F28" s="98"/>
      <c r="G28" s="275"/>
      <c r="H28" s="155"/>
      <c r="I28" s="155"/>
      <c r="J28" s="155"/>
      <c r="K28" s="155"/>
      <c r="L28" s="155"/>
      <c r="M28" s="155"/>
      <c r="N28" s="155"/>
      <c r="O28" s="155"/>
      <c r="P28" s="155"/>
      <c r="Q28" s="786"/>
      <c r="R28" s="214"/>
      <c r="S28" s="3"/>
      <c r="T28" s="129"/>
      <c r="U28" s="3"/>
      <c r="V28" s="3"/>
      <c r="W28" s="3"/>
      <c r="X28" s="3"/>
      <c r="Y28" s="3"/>
      <c r="Z28" s="3"/>
      <c r="AA28" s="3"/>
      <c r="AB28" s="3"/>
      <c r="AC28" s="3"/>
      <c r="AD28" s="3"/>
      <c r="AE28" s="3"/>
      <c r="AF28" s="3"/>
      <c r="AG28" s="3"/>
      <c r="AH28" s="3"/>
    </row>
    <row r="29" spans="1:34" ht="15.75" customHeight="1" x14ac:dyDescent="0.25">
      <c r="A29" s="3"/>
      <c r="B29" s="212"/>
      <c r="C29" s="1251" t="s">
        <v>851</v>
      </c>
      <c r="D29" s="1184"/>
      <c r="E29" s="1184"/>
      <c r="F29" s="1184"/>
      <c r="G29" s="1178" t="str">
        <f>$G$26</f>
        <v>$ nominal per year</v>
      </c>
      <c r="H29" s="1177"/>
      <c r="I29" s="1177"/>
      <c r="J29" s="1177"/>
      <c r="K29" s="1177"/>
      <c r="L29" s="1177"/>
      <c r="M29" s="1177"/>
      <c r="N29" s="1177"/>
      <c r="O29" s="1177"/>
      <c r="P29" s="1177"/>
      <c r="Q29" s="1074"/>
      <c r="R29" s="214"/>
      <c r="S29" s="3"/>
      <c r="T29" s="129"/>
      <c r="U29" s="3"/>
      <c r="V29" s="3"/>
      <c r="W29" s="3"/>
      <c r="X29" s="3"/>
      <c r="Y29" s="3"/>
      <c r="Z29" s="3"/>
      <c r="AA29" s="3"/>
      <c r="AB29" s="3"/>
      <c r="AC29" s="3"/>
      <c r="AD29" s="3"/>
      <c r="AE29" s="3"/>
      <c r="AF29" s="3"/>
      <c r="AG29" s="3"/>
      <c r="AH29" s="3"/>
    </row>
    <row r="30" spans="1:34" ht="27.6" customHeight="1" x14ac:dyDescent="0.2">
      <c r="A30" s="3"/>
      <c r="B30" s="212"/>
      <c r="C30" s="283" t="s">
        <v>852</v>
      </c>
      <c r="D30" s="93"/>
      <c r="E30" s="93"/>
      <c r="F30" s="98"/>
      <c r="G30" s="152">
        <f t="shared" ref="G30:P30" si="1">IF(G21=$V$20,".",G27-G65)</f>
        <v>1628557.216683507</v>
      </c>
      <c r="H30" s="152">
        <f t="shared" si="1"/>
        <v>6076008.7430397719</v>
      </c>
      <c r="I30" s="152">
        <f t="shared" si="1"/>
        <v>7973160.3071234524</v>
      </c>
      <c r="J30" s="152">
        <f t="shared" si="1"/>
        <v>10493153.733682051</v>
      </c>
      <c r="K30" s="152">
        <f t="shared" si="1"/>
        <v>9159286.8692115992</v>
      </c>
      <c r="L30" s="152">
        <f t="shared" si="1"/>
        <v>9317978.5452387631</v>
      </c>
      <c r="M30" s="152">
        <f t="shared" si="1"/>
        <v>10911739.964631453</v>
      </c>
      <c r="N30" s="152">
        <f t="shared" si="1"/>
        <v>11357662.196047043</v>
      </c>
      <c r="O30" s="152">
        <f t="shared" si="1"/>
        <v>11666190.023613013</v>
      </c>
      <c r="P30" s="152">
        <f t="shared" si="1"/>
        <v>11929976.785501372</v>
      </c>
      <c r="Q30" s="303">
        <f>SUM(G30:P30)</f>
        <v>90513714.384772032</v>
      </c>
      <c r="R30" s="214"/>
      <c r="S30" s="3"/>
      <c r="T30" s="3"/>
      <c r="U30" s="3"/>
      <c r="V30" s="3"/>
      <c r="W30" s="3"/>
      <c r="X30" s="3"/>
      <c r="Y30" s="3"/>
      <c r="Z30" s="3"/>
      <c r="AA30" s="3"/>
      <c r="AB30" s="3"/>
      <c r="AC30" s="3"/>
      <c r="AD30" s="3"/>
      <c r="AE30" s="3"/>
      <c r="AF30" s="3"/>
      <c r="AG30" s="3"/>
      <c r="AH30" s="3"/>
    </row>
    <row r="31" spans="1:34" ht="11.7" customHeight="1" x14ac:dyDescent="0.2">
      <c r="A31" s="3"/>
      <c r="B31" s="212"/>
      <c r="C31" s="3"/>
      <c r="D31" s="3"/>
      <c r="E31" s="3"/>
      <c r="F31" s="3"/>
      <c r="G31" s="3"/>
      <c r="H31" s="787"/>
      <c r="I31" s="787"/>
      <c r="J31" s="787"/>
      <c r="K31" s="787"/>
      <c r="L31" s="787"/>
      <c r="M31" s="787"/>
      <c r="N31" s="787"/>
      <c r="O31" s="787"/>
      <c r="P31" s="787"/>
      <c r="Q31" s="3"/>
      <c r="R31" s="214"/>
      <c r="S31" s="3"/>
      <c r="T31" s="3"/>
      <c r="U31" s="3"/>
      <c r="V31" s="3"/>
      <c r="W31" s="3"/>
      <c r="X31" s="3"/>
      <c r="Y31" s="3"/>
      <c r="Z31" s="3"/>
      <c r="AA31" s="3"/>
      <c r="AB31" s="3"/>
      <c r="AC31" s="3"/>
      <c r="AD31" s="3"/>
      <c r="AE31" s="3"/>
      <c r="AF31" s="3"/>
      <c r="AG31" s="3"/>
      <c r="AH31" s="3"/>
    </row>
    <row r="32" spans="1:34" ht="15.75" customHeight="1" x14ac:dyDescent="0.25">
      <c r="A32" s="3"/>
      <c r="B32" s="212"/>
      <c r="C32" s="1251" t="s">
        <v>853</v>
      </c>
      <c r="D32" s="1184"/>
      <c r="E32" s="1184"/>
      <c r="F32" s="1184"/>
      <c r="G32" s="1064"/>
      <c r="H32" s="1064"/>
      <c r="I32" s="1178" t="str">
        <f>$G$26</f>
        <v>$ nominal per year</v>
      </c>
      <c r="J32" s="1064"/>
      <c r="K32" s="1064"/>
      <c r="L32" s="1064"/>
      <c r="M32" s="1064"/>
      <c r="N32" s="1064"/>
      <c r="O32" s="1064"/>
      <c r="P32" s="1064"/>
      <c r="Q32" s="1074"/>
      <c r="R32" s="214"/>
      <c r="S32" s="3"/>
      <c r="T32" s="3"/>
      <c r="U32" s="3"/>
      <c r="V32" s="3"/>
      <c r="W32" s="3"/>
      <c r="X32" s="3"/>
      <c r="Y32" s="3"/>
      <c r="Z32" s="3"/>
      <c r="AA32" s="3"/>
      <c r="AB32" s="3"/>
      <c r="AC32" s="3"/>
      <c r="AD32" s="3"/>
      <c r="AE32" s="3"/>
      <c r="AF32" s="3"/>
      <c r="AG32" s="3"/>
      <c r="AH32" s="3"/>
    </row>
    <row r="33" spans="1:34" ht="12" x14ac:dyDescent="0.2">
      <c r="A33" s="3"/>
      <c r="B33" s="212"/>
      <c r="C33" s="788" t="s">
        <v>854</v>
      </c>
      <c r="D33" s="789"/>
      <c r="E33" s="789"/>
      <c r="F33" s="789"/>
      <c r="G33" s="790" t="str">
        <f t="shared" ref="G33:P33" si="2">IF(G21=$V$20,"leave blank",".")</f>
        <v>.</v>
      </c>
      <c r="H33" s="790" t="str">
        <f t="shared" si="2"/>
        <v>.</v>
      </c>
      <c r="I33" s="790" t="str">
        <f t="shared" si="2"/>
        <v>.</v>
      </c>
      <c r="J33" s="790" t="str">
        <f t="shared" si="2"/>
        <v>.</v>
      </c>
      <c r="K33" s="790" t="str">
        <f t="shared" si="2"/>
        <v>.</v>
      </c>
      <c r="L33" s="790" t="str">
        <f t="shared" si="2"/>
        <v>.</v>
      </c>
      <c r="M33" s="790" t="str">
        <f t="shared" si="2"/>
        <v>.</v>
      </c>
      <c r="N33" s="790" t="str">
        <f t="shared" si="2"/>
        <v>.</v>
      </c>
      <c r="O33" s="790" t="str">
        <f t="shared" si="2"/>
        <v>.</v>
      </c>
      <c r="P33" s="790" t="str">
        <f t="shared" si="2"/>
        <v>.</v>
      </c>
      <c r="Q33" s="791"/>
      <c r="R33" s="214"/>
      <c r="S33" s="3"/>
      <c r="T33" s="3"/>
      <c r="U33" s="3"/>
      <c r="V33" s="3"/>
      <c r="W33" s="3"/>
      <c r="X33" s="3"/>
      <c r="Y33" s="3"/>
      <c r="Z33" s="3"/>
      <c r="AA33" s="3"/>
      <c r="AB33" s="3"/>
      <c r="AC33" s="3"/>
      <c r="AD33" s="3"/>
      <c r="AE33" s="3"/>
      <c r="AF33" s="3"/>
      <c r="AG33" s="3"/>
      <c r="AH33" s="3"/>
    </row>
    <row r="34" spans="1:34" x14ac:dyDescent="0.2">
      <c r="A34" s="3"/>
      <c r="B34" s="212"/>
      <c r="C34" s="280" t="s">
        <v>1075</v>
      </c>
      <c r="D34" s="276"/>
      <c r="E34" s="276"/>
      <c r="F34" s="277"/>
      <c r="G34" s="258">
        <v>393000</v>
      </c>
      <c r="H34" s="258">
        <v>21000</v>
      </c>
      <c r="I34" s="258">
        <v>1029000</v>
      </c>
      <c r="J34" s="258">
        <v>1514000</v>
      </c>
      <c r="K34" s="258">
        <v>2537000</v>
      </c>
      <c r="L34" s="258">
        <v>2669000</v>
      </c>
      <c r="M34" s="258">
        <v>1372000</v>
      </c>
      <c r="N34" s="258">
        <v>1479000</v>
      </c>
      <c r="O34" s="258">
        <v>1478000</v>
      </c>
      <c r="P34" s="258">
        <v>1528000</v>
      </c>
      <c r="Q34" s="658">
        <f t="shared" ref="Q34:Q65" si="3">SUM(G34:P34)-SUMIF($G$21:$P$21,$V$20,G34:P34)</f>
        <v>14020000</v>
      </c>
      <c r="R34" s="214"/>
      <c r="S34" s="3"/>
      <c r="T34" s="3"/>
      <c r="U34" s="3"/>
      <c r="V34" s="3"/>
      <c r="W34" s="3"/>
      <c r="X34" s="3"/>
      <c r="Y34" s="3"/>
      <c r="Z34" s="3"/>
      <c r="AA34" s="3"/>
      <c r="AB34" s="3"/>
      <c r="AC34" s="3"/>
      <c r="AD34" s="3"/>
      <c r="AE34" s="3"/>
      <c r="AF34" s="3"/>
      <c r="AG34" s="3"/>
      <c r="AH34" s="3"/>
    </row>
    <row r="35" spans="1:34" ht="12" customHeight="1" x14ac:dyDescent="0.2">
      <c r="A35" s="3"/>
      <c r="B35" s="212"/>
      <c r="C35" s="280"/>
      <c r="D35" s="276"/>
      <c r="E35" s="276"/>
      <c r="F35" s="277"/>
      <c r="G35" s="258"/>
      <c r="H35" s="258"/>
      <c r="I35" s="258"/>
      <c r="J35" s="258"/>
      <c r="K35" s="258"/>
      <c r="L35" s="258"/>
      <c r="M35" s="258"/>
      <c r="N35" s="258"/>
      <c r="O35" s="258"/>
      <c r="P35" s="258"/>
      <c r="Q35" s="658">
        <f t="shared" si="3"/>
        <v>0</v>
      </c>
      <c r="R35" s="214"/>
      <c r="S35" s="3"/>
      <c r="T35" s="3"/>
      <c r="U35" s="3"/>
      <c r="V35" s="3"/>
      <c r="W35" s="3"/>
      <c r="X35" s="3"/>
      <c r="Y35" s="3"/>
      <c r="Z35" s="3"/>
      <c r="AA35" s="3"/>
      <c r="AB35" s="3"/>
      <c r="AC35" s="3"/>
      <c r="AD35" s="3"/>
      <c r="AE35" s="3"/>
      <c r="AF35" s="3"/>
      <c r="AG35" s="3"/>
      <c r="AH35" s="3"/>
    </row>
    <row r="36" spans="1:34" ht="12" customHeight="1" x14ac:dyDescent="0.2">
      <c r="A36" s="3"/>
      <c r="B36" s="212"/>
      <c r="C36" s="280"/>
      <c r="D36" s="276"/>
      <c r="E36" s="276"/>
      <c r="F36" s="277"/>
      <c r="G36" s="258"/>
      <c r="H36" s="258"/>
      <c r="I36" s="258"/>
      <c r="J36" s="258"/>
      <c r="K36" s="258"/>
      <c r="L36" s="258"/>
      <c r="M36" s="258"/>
      <c r="N36" s="258"/>
      <c r="O36" s="258"/>
      <c r="P36" s="258"/>
      <c r="Q36" s="658">
        <f t="shared" si="3"/>
        <v>0</v>
      </c>
      <c r="R36" s="214"/>
      <c r="S36" s="3"/>
      <c r="T36" s="192"/>
      <c r="U36" s="3"/>
      <c r="V36" s="3"/>
      <c r="W36" s="3"/>
      <c r="X36" s="3"/>
      <c r="Y36" s="3"/>
      <c r="Z36" s="3"/>
      <c r="AA36" s="3"/>
      <c r="AB36" s="3"/>
      <c r="AC36" s="3"/>
      <c r="AD36" s="3"/>
      <c r="AE36" s="3"/>
      <c r="AF36" s="3"/>
      <c r="AG36" s="3"/>
      <c r="AH36" s="3"/>
    </row>
    <row r="37" spans="1:34" ht="12" customHeight="1" x14ac:dyDescent="0.2">
      <c r="A37" s="3"/>
      <c r="B37" s="212"/>
      <c r="C37" s="280"/>
      <c r="D37" s="276"/>
      <c r="E37" s="276"/>
      <c r="F37" s="277"/>
      <c r="G37" s="258"/>
      <c r="H37" s="294"/>
      <c r="I37" s="294"/>
      <c r="J37" s="294"/>
      <c r="K37" s="294"/>
      <c r="L37" s="294"/>
      <c r="M37" s="294"/>
      <c r="N37" s="294"/>
      <c r="O37" s="294"/>
      <c r="P37" s="294"/>
      <c r="Q37" s="658">
        <f t="shared" si="3"/>
        <v>0</v>
      </c>
      <c r="R37" s="214"/>
      <c r="S37" s="3"/>
      <c r="T37" s="192"/>
      <c r="U37" s="3"/>
      <c r="V37" s="3"/>
      <c r="W37" s="3"/>
      <c r="X37" s="3"/>
      <c r="Y37" s="3"/>
      <c r="Z37" s="3"/>
      <c r="AA37" s="3"/>
      <c r="AB37" s="3"/>
      <c r="AC37" s="3"/>
      <c r="AD37" s="3"/>
      <c r="AE37" s="3"/>
      <c r="AF37" s="3"/>
      <c r="AG37" s="3"/>
      <c r="AH37" s="3"/>
    </row>
    <row r="38" spans="1:34" ht="12" customHeight="1" x14ac:dyDescent="0.2">
      <c r="A38" s="3"/>
      <c r="B38" s="212"/>
      <c r="C38" s="280"/>
      <c r="D38" s="276"/>
      <c r="E38" s="276"/>
      <c r="F38" s="277"/>
      <c r="G38" s="258"/>
      <c r="H38" s="258"/>
      <c r="I38" s="258"/>
      <c r="J38" s="258"/>
      <c r="K38" s="258"/>
      <c r="L38" s="258"/>
      <c r="M38" s="258"/>
      <c r="N38" s="258"/>
      <c r="O38" s="258"/>
      <c r="P38" s="258"/>
      <c r="Q38" s="658">
        <f t="shared" si="3"/>
        <v>0</v>
      </c>
      <c r="R38" s="214"/>
      <c r="S38" s="3"/>
      <c r="T38" s="192"/>
      <c r="U38" s="3"/>
      <c r="V38" s="3"/>
      <c r="W38" s="3"/>
      <c r="X38" s="3"/>
      <c r="Y38" s="3"/>
      <c r="Z38" s="3"/>
      <c r="AA38" s="3"/>
      <c r="AB38" s="3"/>
      <c r="AC38" s="3"/>
      <c r="AD38" s="3"/>
      <c r="AE38" s="3"/>
      <c r="AF38" s="3"/>
      <c r="AG38" s="3"/>
      <c r="AH38" s="3"/>
    </row>
    <row r="39" spans="1:34" ht="12" customHeight="1" x14ac:dyDescent="0.2">
      <c r="A39" s="3"/>
      <c r="B39" s="212"/>
      <c r="C39" s="280"/>
      <c r="D39" s="276"/>
      <c r="E39" s="276"/>
      <c r="F39" s="277"/>
      <c r="G39" s="258"/>
      <c r="H39" s="258"/>
      <c r="I39" s="258"/>
      <c r="J39" s="258"/>
      <c r="K39" s="258"/>
      <c r="L39" s="258"/>
      <c r="M39" s="258"/>
      <c r="N39" s="258"/>
      <c r="O39" s="258"/>
      <c r="P39" s="258"/>
      <c r="Q39" s="658">
        <f t="shared" si="3"/>
        <v>0</v>
      </c>
      <c r="R39" s="214"/>
      <c r="S39" s="3"/>
      <c r="T39" s="192"/>
      <c r="U39" s="3"/>
      <c r="V39" s="3"/>
      <c r="W39" s="3"/>
      <c r="X39" s="3"/>
      <c r="Y39" s="3"/>
      <c r="Z39" s="3"/>
      <c r="AA39" s="3"/>
      <c r="AB39" s="3"/>
      <c r="AC39" s="3"/>
      <c r="AD39" s="3"/>
      <c r="AE39" s="3"/>
      <c r="AF39" s="3"/>
      <c r="AG39" s="3"/>
      <c r="AH39" s="3"/>
    </row>
    <row r="40" spans="1:34" ht="12" customHeight="1" x14ac:dyDescent="0.2">
      <c r="A40" s="3"/>
      <c r="B40" s="212"/>
      <c r="C40" s="280"/>
      <c r="D40" s="276"/>
      <c r="E40" s="276"/>
      <c r="F40" s="277"/>
      <c r="G40" s="258"/>
      <c r="H40" s="258"/>
      <c r="I40" s="258"/>
      <c r="J40" s="258"/>
      <c r="K40" s="258"/>
      <c r="L40" s="258"/>
      <c r="M40" s="258"/>
      <c r="N40" s="258"/>
      <c r="O40" s="258"/>
      <c r="P40" s="258"/>
      <c r="Q40" s="658">
        <f t="shared" si="3"/>
        <v>0</v>
      </c>
      <c r="R40" s="214"/>
      <c r="S40" s="3"/>
      <c r="T40" s="192"/>
      <c r="U40" s="3"/>
      <c r="V40" s="3"/>
      <c r="W40" s="3"/>
      <c r="X40" s="3"/>
      <c r="Y40" s="3"/>
      <c r="Z40" s="3"/>
      <c r="AA40" s="3"/>
      <c r="AB40" s="3"/>
      <c r="AC40" s="3"/>
      <c r="AD40" s="3"/>
      <c r="AE40" s="3"/>
      <c r="AF40" s="3"/>
      <c r="AG40" s="3"/>
      <c r="AH40" s="3"/>
    </row>
    <row r="41" spans="1:34" ht="12" customHeight="1" x14ac:dyDescent="0.2">
      <c r="A41" s="3"/>
      <c r="B41" s="212"/>
      <c r="C41" s="280"/>
      <c r="D41" s="276"/>
      <c r="E41" s="276"/>
      <c r="F41" s="277"/>
      <c r="G41" s="258"/>
      <c r="H41" s="258"/>
      <c r="I41" s="258"/>
      <c r="J41" s="258"/>
      <c r="K41" s="258"/>
      <c r="L41" s="258"/>
      <c r="M41" s="258"/>
      <c r="N41" s="258"/>
      <c r="O41" s="258"/>
      <c r="P41" s="258"/>
      <c r="Q41" s="658">
        <f t="shared" si="3"/>
        <v>0</v>
      </c>
      <c r="R41" s="214"/>
      <c r="S41" s="3"/>
      <c r="T41" s="192"/>
      <c r="U41" s="3"/>
      <c r="V41" s="3"/>
      <c r="W41" s="3"/>
      <c r="X41" s="3"/>
      <c r="Y41" s="3"/>
      <c r="Z41" s="3"/>
      <c r="AA41" s="3"/>
      <c r="AB41" s="3"/>
      <c r="AC41" s="3"/>
      <c r="AD41" s="3"/>
      <c r="AE41" s="3"/>
      <c r="AF41" s="3"/>
      <c r="AG41" s="3"/>
      <c r="AH41" s="3"/>
    </row>
    <row r="42" spans="1:34" ht="12" customHeight="1" x14ac:dyDescent="0.2">
      <c r="A42" s="3"/>
      <c r="B42" s="212"/>
      <c r="C42" s="280"/>
      <c r="D42" s="276"/>
      <c r="E42" s="276"/>
      <c r="F42" s="277"/>
      <c r="G42" s="258"/>
      <c r="H42" s="258"/>
      <c r="I42" s="258"/>
      <c r="J42" s="258"/>
      <c r="K42" s="258"/>
      <c r="L42" s="258"/>
      <c r="M42" s="258"/>
      <c r="N42" s="258"/>
      <c r="O42" s="258"/>
      <c r="P42" s="258"/>
      <c r="Q42" s="658">
        <f t="shared" si="3"/>
        <v>0</v>
      </c>
      <c r="R42" s="214"/>
      <c r="S42" s="3"/>
      <c r="T42" s="192"/>
      <c r="U42" s="3"/>
      <c r="V42" s="3"/>
      <c r="W42" s="3"/>
      <c r="X42" s="3"/>
      <c r="Y42" s="3"/>
      <c r="Z42" s="3"/>
      <c r="AA42" s="3"/>
      <c r="AB42" s="3"/>
      <c r="AC42" s="3"/>
      <c r="AD42" s="3"/>
      <c r="AE42" s="3"/>
      <c r="AF42" s="3"/>
      <c r="AG42" s="3"/>
      <c r="AH42" s="3"/>
    </row>
    <row r="43" spans="1:34" ht="12" customHeight="1" x14ac:dyDescent="0.2">
      <c r="A43" s="3"/>
      <c r="B43" s="212"/>
      <c r="C43" s="280"/>
      <c r="D43" s="276"/>
      <c r="E43" s="276"/>
      <c r="F43" s="277"/>
      <c r="G43" s="258"/>
      <c r="H43" s="258"/>
      <c r="I43" s="258"/>
      <c r="J43" s="258"/>
      <c r="K43" s="258"/>
      <c r="L43" s="258"/>
      <c r="M43" s="258"/>
      <c r="N43" s="258"/>
      <c r="O43" s="258"/>
      <c r="P43" s="258"/>
      <c r="Q43" s="658">
        <f t="shared" si="3"/>
        <v>0</v>
      </c>
      <c r="R43" s="214"/>
      <c r="S43" s="3"/>
      <c r="T43" s="192"/>
      <c r="U43" s="3"/>
      <c r="V43" s="3"/>
      <c r="W43" s="3"/>
      <c r="X43" s="3"/>
      <c r="Y43" s="3"/>
      <c r="Z43" s="3"/>
      <c r="AA43" s="3"/>
      <c r="AB43" s="3"/>
      <c r="AC43" s="3"/>
      <c r="AD43" s="3"/>
      <c r="AE43" s="3"/>
      <c r="AF43" s="3"/>
      <c r="AG43" s="3"/>
      <c r="AH43" s="3"/>
    </row>
    <row r="44" spans="1:34" ht="12" customHeight="1" x14ac:dyDescent="0.2">
      <c r="A44" s="3"/>
      <c r="B44" s="212"/>
      <c r="C44" s="280"/>
      <c r="D44" s="276"/>
      <c r="E44" s="276"/>
      <c r="F44" s="277"/>
      <c r="G44" s="258"/>
      <c r="H44" s="258"/>
      <c r="I44" s="258"/>
      <c r="J44" s="258"/>
      <c r="K44" s="258"/>
      <c r="L44" s="258"/>
      <c r="M44" s="258"/>
      <c r="N44" s="258"/>
      <c r="O44" s="258"/>
      <c r="P44" s="258"/>
      <c r="Q44" s="658">
        <f t="shared" si="3"/>
        <v>0</v>
      </c>
      <c r="R44" s="214"/>
      <c r="S44" s="3"/>
      <c r="T44" s="192"/>
      <c r="U44" s="3"/>
      <c r="V44" s="3"/>
      <c r="W44" s="3"/>
      <c r="X44" s="3"/>
      <c r="Y44" s="3"/>
      <c r="Z44" s="3"/>
      <c r="AA44" s="3"/>
      <c r="AB44" s="3"/>
      <c r="AC44" s="3"/>
      <c r="AD44" s="3"/>
      <c r="AE44" s="3"/>
      <c r="AF44" s="3"/>
      <c r="AG44" s="3"/>
      <c r="AH44" s="3"/>
    </row>
    <row r="45" spans="1:34" ht="12" customHeight="1" x14ac:dyDescent="0.2">
      <c r="A45" s="3"/>
      <c r="B45" s="212"/>
      <c r="C45" s="280"/>
      <c r="D45" s="276"/>
      <c r="E45" s="276"/>
      <c r="F45" s="277"/>
      <c r="G45" s="258"/>
      <c r="H45" s="258"/>
      <c r="I45" s="258"/>
      <c r="J45" s="258"/>
      <c r="K45" s="258"/>
      <c r="L45" s="258"/>
      <c r="M45" s="258"/>
      <c r="N45" s="258"/>
      <c r="O45" s="258"/>
      <c r="P45" s="258"/>
      <c r="Q45" s="658">
        <f t="shared" si="3"/>
        <v>0</v>
      </c>
      <c r="R45" s="214"/>
      <c r="S45" s="3"/>
      <c r="T45" s="192"/>
      <c r="U45" s="3"/>
      <c r="V45" s="3"/>
      <c r="W45" s="3"/>
      <c r="X45" s="3"/>
      <c r="Y45" s="3"/>
      <c r="Z45" s="3"/>
      <c r="AA45" s="3"/>
      <c r="AB45" s="3"/>
      <c r="AC45" s="3"/>
      <c r="AD45" s="3"/>
      <c r="AE45" s="3"/>
      <c r="AF45" s="3"/>
      <c r="AG45" s="3"/>
      <c r="AH45" s="3"/>
    </row>
    <row r="46" spans="1:34" ht="12" customHeight="1" x14ac:dyDescent="0.2">
      <c r="A46" s="3"/>
      <c r="B46" s="212"/>
      <c r="C46" s="280"/>
      <c r="D46" s="276"/>
      <c r="E46" s="276"/>
      <c r="F46" s="277"/>
      <c r="G46" s="258"/>
      <c r="H46" s="258"/>
      <c r="I46" s="258"/>
      <c r="J46" s="258"/>
      <c r="K46" s="258"/>
      <c r="L46" s="258"/>
      <c r="M46" s="258"/>
      <c r="N46" s="258"/>
      <c r="O46" s="258"/>
      <c r="P46" s="258"/>
      <c r="Q46" s="658">
        <f t="shared" si="3"/>
        <v>0</v>
      </c>
      <c r="R46" s="214"/>
      <c r="S46" s="3"/>
      <c r="T46" s="192"/>
      <c r="U46" s="3"/>
      <c r="V46" s="3"/>
      <c r="W46" s="3"/>
      <c r="X46" s="3"/>
      <c r="Y46" s="3"/>
      <c r="Z46" s="3"/>
      <c r="AA46" s="3"/>
      <c r="AB46" s="3"/>
      <c r="AC46" s="3"/>
      <c r="AD46" s="3"/>
      <c r="AE46" s="3"/>
      <c r="AF46" s="3"/>
      <c r="AG46" s="3"/>
      <c r="AH46" s="3"/>
    </row>
    <row r="47" spans="1:34" ht="12" customHeight="1" x14ac:dyDescent="0.2">
      <c r="A47" s="3"/>
      <c r="B47" s="212"/>
      <c r="C47" s="280"/>
      <c r="D47" s="276"/>
      <c r="E47" s="276"/>
      <c r="F47" s="277"/>
      <c r="G47" s="258"/>
      <c r="H47" s="258"/>
      <c r="I47" s="258"/>
      <c r="J47" s="258"/>
      <c r="K47" s="258"/>
      <c r="L47" s="258"/>
      <c r="M47" s="258"/>
      <c r="N47" s="258"/>
      <c r="O47" s="258"/>
      <c r="P47" s="258"/>
      <c r="Q47" s="658">
        <f t="shared" si="3"/>
        <v>0</v>
      </c>
      <c r="R47" s="214"/>
      <c r="S47" s="3"/>
      <c r="T47" s="192"/>
      <c r="U47" s="3"/>
      <c r="V47" s="3"/>
      <c r="W47" s="3"/>
      <c r="X47" s="3"/>
      <c r="Y47" s="3"/>
      <c r="Z47" s="3"/>
      <c r="AA47" s="3"/>
      <c r="AB47" s="3"/>
      <c r="AC47" s="3"/>
      <c r="AD47" s="3"/>
      <c r="AE47" s="3"/>
      <c r="AF47" s="3"/>
      <c r="AG47" s="3"/>
      <c r="AH47" s="3"/>
    </row>
    <row r="48" spans="1:34" ht="12" customHeight="1" x14ac:dyDescent="0.2">
      <c r="A48" s="3"/>
      <c r="B48" s="212"/>
      <c r="C48" s="280"/>
      <c r="D48" s="276"/>
      <c r="E48" s="276"/>
      <c r="F48" s="277"/>
      <c r="G48" s="258"/>
      <c r="H48" s="258"/>
      <c r="I48" s="258"/>
      <c r="J48" s="258"/>
      <c r="K48" s="258"/>
      <c r="L48" s="258"/>
      <c r="M48" s="258"/>
      <c r="N48" s="258"/>
      <c r="O48" s="258"/>
      <c r="P48" s="258"/>
      <c r="Q48" s="658">
        <f t="shared" si="3"/>
        <v>0</v>
      </c>
      <c r="R48" s="214"/>
      <c r="S48" s="3"/>
      <c r="T48" s="192"/>
      <c r="U48" s="3"/>
      <c r="V48" s="3"/>
      <c r="W48" s="3"/>
      <c r="X48" s="3"/>
      <c r="Y48" s="3"/>
      <c r="Z48" s="3"/>
      <c r="AA48" s="3"/>
      <c r="AB48" s="3"/>
      <c r="AC48" s="3"/>
      <c r="AD48" s="3"/>
      <c r="AE48" s="3"/>
      <c r="AF48" s="3"/>
      <c r="AG48" s="3"/>
      <c r="AH48" s="3"/>
    </row>
    <row r="49" spans="1:34" ht="12" customHeight="1" x14ac:dyDescent="0.2">
      <c r="A49" s="3"/>
      <c r="B49" s="212"/>
      <c r="C49" s="794" t="s">
        <v>855</v>
      </c>
      <c r="D49" s="789"/>
      <c r="E49" s="789"/>
      <c r="F49" s="789"/>
      <c r="G49" s="192"/>
      <c r="H49" s="795"/>
      <c r="I49" s="795"/>
      <c r="J49" s="795"/>
      <c r="K49" s="795"/>
      <c r="L49" s="795"/>
      <c r="M49" s="795"/>
      <c r="N49" s="795"/>
      <c r="O49" s="795"/>
      <c r="P49" s="795"/>
      <c r="Q49" s="567">
        <f t="shared" si="3"/>
        <v>0</v>
      </c>
      <c r="R49" s="214"/>
      <c r="S49" s="3"/>
      <c r="T49" s="192"/>
      <c r="U49" s="3"/>
      <c r="V49" s="3"/>
      <c r="W49" s="3"/>
      <c r="X49" s="3"/>
      <c r="Y49" s="3"/>
      <c r="Z49" s="3"/>
      <c r="AA49" s="3"/>
      <c r="AB49" s="3"/>
      <c r="AC49" s="3"/>
      <c r="AD49" s="3"/>
      <c r="AE49" s="3"/>
      <c r="AF49" s="3"/>
      <c r="AG49" s="3"/>
      <c r="AH49" s="3"/>
    </row>
    <row r="50" spans="1:34" ht="12" customHeight="1" x14ac:dyDescent="0.2">
      <c r="A50" s="3"/>
      <c r="B50" s="212"/>
      <c r="C50" s="280" t="s">
        <v>856</v>
      </c>
      <c r="D50" s="276"/>
      <c r="E50" s="276"/>
      <c r="F50" s="277"/>
      <c r="G50" s="258">
        <v>160000</v>
      </c>
      <c r="H50" s="258">
        <v>160000</v>
      </c>
      <c r="I50" s="258">
        <v>160000</v>
      </c>
      <c r="J50" s="258"/>
      <c r="K50" s="258"/>
      <c r="L50" s="258"/>
      <c r="M50" s="258"/>
      <c r="N50" s="258"/>
      <c r="O50" s="258"/>
      <c r="P50" s="258"/>
      <c r="Q50" s="658">
        <f t="shared" si="3"/>
        <v>480000</v>
      </c>
      <c r="R50" s="214"/>
      <c r="S50" s="3"/>
      <c r="T50" s="192"/>
      <c r="U50" s="3"/>
      <c r="V50" s="3"/>
      <c r="W50" s="3"/>
      <c r="X50" s="3"/>
      <c r="Y50" s="3"/>
      <c r="Z50" s="3"/>
      <c r="AA50" s="3"/>
      <c r="AB50" s="3"/>
      <c r="AC50" s="3"/>
      <c r="AD50" s="3"/>
      <c r="AE50" s="3"/>
      <c r="AF50" s="3"/>
      <c r="AG50" s="3"/>
      <c r="AH50" s="3"/>
    </row>
    <row r="51" spans="1:34" ht="12" customHeight="1" x14ac:dyDescent="0.2">
      <c r="A51" s="3"/>
      <c r="B51" s="212"/>
      <c r="C51" s="280" t="s">
        <v>857</v>
      </c>
      <c r="D51" s="276"/>
      <c r="E51" s="276"/>
      <c r="F51" s="277"/>
      <c r="G51" s="258">
        <v>250000</v>
      </c>
      <c r="H51" s="258">
        <v>100000</v>
      </c>
      <c r="I51" s="258">
        <v>100000</v>
      </c>
      <c r="J51" s="258">
        <v>100000</v>
      </c>
      <c r="K51" s="258">
        <v>100000</v>
      </c>
      <c r="L51" s="258">
        <v>100000</v>
      </c>
      <c r="M51" s="258">
        <v>100000</v>
      </c>
      <c r="N51" s="258">
        <v>100000</v>
      </c>
      <c r="O51" s="258">
        <v>100000</v>
      </c>
      <c r="P51" s="258">
        <v>100000</v>
      </c>
      <c r="Q51" s="658">
        <f t="shared" si="3"/>
        <v>1150000</v>
      </c>
      <c r="R51" s="214"/>
      <c r="S51" s="3"/>
      <c r="T51" s="192"/>
      <c r="U51" s="3"/>
      <c r="V51" s="3"/>
      <c r="W51" s="3"/>
      <c r="X51" s="3"/>
      <c r="Y51" s="3"/>
      <c r="Z51" s="3"/>
      <c r="AA51" s="3"/>
      <c r="AB51" s="3"/>
      <c r="AC51" s="3"/>
      <c r="AD51" s="3"/>
      <c r="AE51" s="3"/>
      <c r="AF51" s="3"/>
      <c r="AG51" s="3"/>
      <c r="AH51" s="3"/>
    </row>
    <row r="52" spans="1:34" ht="12" customHeight="1" x14ac:dyDescent="0.2">
      <c r="A52" s="3"/>
      <c r="B52" s="212"/>
      <c r="C52" s="280" t="s">
        <v>858</v>
      </c>
      <c r="D52" s="276"/>
      <c r="E52" s="276"/>
      <c r="F52" s="277"/>
      <c r="G52" s="258">
        <v>62500</v>
      </c>
      <c r="H52" s="258">
        <v>65625</v>
      </c>
      <c r="I52" s="258">
        <v>68906.25</v>
      </c>
      <c r="J52" s="258">
        <v>72351.5625</v>
      </c>
      <c r="K52" s="258">
        <v>75969.140625</v>
      </c>
      <c r="L52" s="258">
        <v>79767.59765625</v>
      </c>
      <c r="M52" s="258">
        <v>83755.9775390625</v>
      </c>
      <c r="N52" s="258">
        <v>87943.776416015622</v>
      </c>
      <c r="O52" s="258">
        <v>92340.96523681641</v>
      </c>
      <c r="P52" s="258">
        <v>96958.013498657238</v>
      </c>
      <c r="Q52" s="658">
        <f t="shared" si="3"/>
        <v>786118.28347180178</v>
      </c>
      <c r="R52" s="214"/>
      <c r="S52" s="3"/>
      <c r="T52" s="192"/>
      <c r="U52" s="3"/>
      <c r="V52" s="3"/>
      <c r="W52" s="3"/>
      <c r="X52" s="3"/>
      <c r="Y52" s="3"/>
      <c r="Z52" s="3"/>
      <c r="AA52" s="3"/>
      <c r="AB52" s="3"/>
      <c r="AC52" s="3"/>
      <c r="AD52" s="3"/>
      <c r="AE52" s="3"/>
      <c r="AF52" s="3"/>
      <c r="AG52" s="3"/>
      <c r="AH52" s="3"/>
    </row>
    <row r="53" spans="1:34" ht="12" customHeight="1" x14ac:dyDescent="0.2">
      <c r="A53" s="3"/>
      <c r="B53" s="212"/>
      <c r="C53" s="280" t="s">
        <v>859</v>
      </c>
      <c r="D53" s="276"/>
      <c r="E53" s="276"/>
      <c r="F53" s="277"/>
      <c r="G53" s="258"/>
      <c r="H53" s="258"/>
      <c r="I53" s="258"/>
      <c r="J53" s="258">
        <v>250000</v>
      </c>
      <c r="K53" s="258">
        <v>250000</v>
      </c>
      <c r="L53" s="258">
        <v>250000</v>
      </c>
      <c r="M53" s="258">
        <v>250000</v>
      </c>
      <c r="N53" s="258"/>
      <c r="O53" s="258"/>
      <c r="P53" s="258"/>
      <c r="Q53" s="658">
        <f t="shared" si="3"/>
        <v>1000000</v>
      </c>
      <c r="R53" s="214"/>
      <c r="S53" s="3"/>
      <c r="T53" s="192"/>
      <c r="U53" s="3"/>
      <c r="V53" s="3"/>
      <c r="W53" s="3"/>
      <c r="X53" s="3"/>
      <c r="Y53" s="3"/>
      <c r="Z53" s="3"/>
      <c r="AA53" s="3"/>
      <c r="AB53" s="3"/>
      <c r="AC53" s="3"/>
      <c r="AD53" s="3"/>
      <c r="AE53" s="3"/>
      <c r="AF53" s="3"/>
      <c r="AG53" s="3"/>
      <c r="AH53" s="3"/>
    </row>
    <row r="54" spans="1:34" ht="12" customHeight="1" x14ac:dyDescent="0.2">
      <c r="A54" s="3"/>
      <c r="B54" s="212"/>
      <c r="C54" s="280" t="s">
        <v>860</v>
      </c>
      <c r="D54" s="276"/>
      <c r="E54" s="276"/>
      <c r="F54" s="277"/>
      <c r="G54" s="258">
        <v>318668</v>
      </c>
      <c r="H54" s="258">
        <v>560698</v>
      </c>
      <c r="I54" s="258">
        <v>665701</v>
      </c>
      <c r="J54" s="258">
        <v>643709</v>
      </c>
      <c r="K54" s="258">
        <v>427720</v>
      </c>
      <c r="L54" s="258">
        <v>427720</v>
      </c>
      <c r="M54" s="258">
        <v>427720</v>
      </c>
      <c r="N54" s="258">
        <v>427720</v>
      </c>
      <c r="O54" s="258">
        <v>427720</v>
      </c>
      <c r="P54" s="258">
        <v>427720</v>
      </c>
      <c r="Q54" s="658">
        <f t="shared" si="3"/>
        <v>4755096</v>
      </c>
      <c r="R54" s="214"/>
      <c r="S54" s="3"/>
      <c r="T54" s="192"/>
      <c r="U54" s="3"/>
      <c r="V54" s="3"/>
      <c r="W54" s="3"/>
      <c r="X54" s="3"/>
      <c r="Y54" s="3"/>
      <c r="Z54" s="3"/>
      <c r="AA54" s="3"/>
      <c r="AB54" s="3"/>
      <c r="AC54" s="3"/>
      <c r="AD54" s="3"/>
      <c r="AE54" s="3"/>
      <c r="AF54" s="3"/>
      <c r="AG54" s="3"/>
      <c r="AH54" s="3"/>
    </row>
    <row r="55" spans="1:34" ht="12" customHeight="1" x14ac:dyDescent="0.2">
      <c r="A55" s="3"/>
      <c r="B55" s="212"/>
      <c r="C55" s="280" t="s">
        <v>861</v>
      </c>
      <c r="D55" s="276"/>
      <c r="E55" s="276"/>
      <c r="F55" s="277"/>
      <c r="G55" s="258">
        <v>750000</v>
      </c>
      <c r="H55" s="258">
        <v>787500</v>
      </c>
      <c r="I55" s="258">
        <v>826875</v>
      </c>
      <c r="J55" s="258">
        <v>868218.75</v>
      </c>
      <c r="K55" s="258">
        <v>911629.6875</v>
      </c>
      <c r="L55" s="258">
        <v>957211.171875</v>
      </c>
      <c r="M55" s="258">
        <v>1005071.73046875</v>
      </c>
      <c r="N55" s="258">
        <v>1055325.3169921876</v>
      </c>
      <c r="O55" s="258">
        <v>1108091.582841797</v>
      </c>
      <c r="P55" s="258">
        <v>1163496.161983887</v>
      </c>
      <c r="Q55" s="658">
        <f t="shared" si="3"/>
        <v>9433419.4016616214</v>
      </c>
      <c r="R55" s="214"/>
      <c r="S55" s="3"/>
      <c r="T55" s="192"/>
      <c r="U55" s="3"/>
      <c r="V55" s="3"/>
      <c r="W55" s="3"/>
      <c r="X55" s="3"/>
      <c r="Y55" s="3"/>
      <c r="Z55" s="3"/>
      <c r="AA55" s="3"/>
      <c r="AB55" s="3"/>
      <c r="AC55" s="3"/>
      <c r="AD55" s="3"/>
      <c r="AE55" s="3"/>
      <c r="AF55" s="3"/>
      <c r="AG55" s="3"/>
      <c r="AH55" s="3"/>
    </row>
    <row r="56" spans="1:34" ht="12" customHeight="1" x14ac:dyDescent="0.2">
      <c r="A56" s="3"/>
      <c r="B56" s="212"/>
      <c r="C56" s="280" t="s">
        <v>862</v>
      </c>
      <c r="D56" s="276"/>
      <c r="E56" s="276"/>
      <c r="F56" s="277"/>
      <c r="G56" s="258">
        <v>80000</v>
      </c>
      <c r="H56" s="258">
        <v>80000</v>
      </c>
      <c r="I56" s="258">
        <v>80000</v>
      </c>
      <c r="J56" s="258">
        <v>80000</v>
      </c>
      <c r="K56" s="258">
        <v>80000</v>
      </c>
      <c r="L56" s="258">
        <v>80000</v>
      </c>
      <c r="M56" s="258">
        <v>80000</v>
      </c>
      <c r="N56" s="258">
        <v>80000</v>
      </c>
      <c r="O56" s="258">
        <v>80000</v>
      </c>
      <c r="P56" s="258">
        <v>80000</v>
      </c>
      <c r="Q56" s="658">
        <f t="shared" si="3"/>
        <v>800000</v>
      </c>
      <c r="R56" s="214"/>
      <c r="S56" s="3"/>
      <c r="T56" s="192"/>
      <c r="U56" s="3"/>
      <c r="V56" s="3"/>
      <c r="W56" s="3"/>
      <c r="X56" s="3"/>
      <c r="Y56" s="3"/>
      <c r="Z56" s="3"/>
      <c r="AA56" s="3"/>
      <c r="AB56" s="3"/>
      <c r="AC56" s="3"/>
      <c r="AD56" s="3"/>
      <c r="AE56" s="3"/>
      <c r="AF56" s="3"/>
      <c r="AG56" s="3"/>
      <c r="AH56" s="3"/>
    </row>
    <row r="57" spans="1:34" ht="12" customHeight="1" x14ac:dyDescent="0.2">
      <c r="A57" s="3"/>
      <c r="B57" s="212"/>
      <c r="C57" s="280" t="s">
        <v>1072</v>
      </c>
      <c r="D57" s="276"/>
      <c r="E57" s="276"/>
      <c r="F57" s="277"/>
      <c r="G57" s="258"/>
      <c r="H57" s="258"/>
      <c r="I57" s="258">
        <v>684113</v>
      </c>
      <c r="J57" s="258">
        <v>684113</v>
      </c>
      <c r="K57" s="258">
        <v>1531579</v>
      </c>
      <c r="L57" s="258">
        <v>1568337</v>
      </c>
      <c r="M57" s="258">
        <v>1605977</v>
      </c>
      <c r="N57" s="258">
        <v>1644520</v>
      </c>
      <c r="O57" s="258">
        <v>1685633</v>
      </c>
      <c r="P57" s="258">
        <v>1727774</v>
      </c>
      <c r="Q57" s="658">
        <f t="shared" si="3"/>
        <v>11132046</v>
      </c>
      <c r="R57" s="214"/>
      <c r="S57" s="3"/>
      <c r="T57" s="192"/>
      <c r="U57" s="3"/>
      <c r="V57" s="3"/>
      <c r="W57" s="3"/>
      <c r="X57" s="3"/>
      <c r="Y57" s="3"/>
      <c r="Z57" s="3"/>
      <c r="AA57" s="3"/>
      <c r="AB57" s="3"/>
      <c r="AC57" s="3"/>
      <c r="AD57" s="3"/>
      <c r="AE57" s="3"/>
      <c r="AF57" s="3"/>
      <c r="AG57" s="3"/>
      <c r="AH57" s="3"/>
    </row>
    <row r="58" spans="1:34" ht="12" customHeight="1" x14ac:dyDescent="0.2">
      <c r="A58" s="3"/>
      <c r="B58" s="212"/>
      <c r="C58" s="1258"/>
      <c r="D58" s="276"/>
      <c r="E58" s="276"/>
      <c r="F58" s="277"/>
      <c r="G58" s="258"/>
      <c r="H58" s="258"/>
      <c r="I58" s="258"/>
      <c r="J58" s="258"/>
      <c r="K58" s="258"/>
      <c r="L58" s="258"/>
      <c r="M58" s="258"/>
      <c r="N58" s="258"/>
      <c r="O58" s="258"/>
      <c r="P58" s="258"/>
      <c r="Q58" s="658">
        <f t="shared" si="3"/>
        <v>0</v>
      </c>
      <c r="R58" s="214"/>
      <c r="S58" s="3"/>
      <c r="T58" s="192"/>
      <c r="U58" s="3"/>
      <c r="V58" s="3"/>
      <c r="W58" s="3"/>
      <c r="X58" s="3"/>
      <c r="Y58" s="3"/>
      <c r="Z58" s="3"/>
      <c r="AA58" s="3"/>
      <c r="AB58" s="3"/>
      <c r="AC58" s="3"/>
      <c r="AD58" s="3"/>
      <c r="AE58" s="3"/>
      <c r="AF58" s="3"/>
      <c r="AG58" s="3"/>
      <c r="AH58" s="3"/>
    </row>
    <row r="59" spans="1:34" ht="12" customHeight="1" x14ac:dyDescent="0.2">
      <c r="A59" s="3"/>
      <c r="B59" s="212"/>
      <c r="C59" s="280"/>
      <c r="D59" s="276"/>
      <c r="E59" s="276"/>
      <c r="F59" s="277"/>
      <c r="G59" s="258"/>
      <c r="H59" s="258"/>
      <c r="I59" s="258"/>
      <c r="J59" s="258"/>
      <c r="K59" s="258"/>
      <c r="L59" s="258"/>
      <c r="M59" s="258"/>
      <c r="N59" s="258"/>
      <c r="O59" s="258"/>
      <c r="P59" s="258"/>
      <c r="Q59" s="658">
        <f t="shared" si="3"/>
        <v>0</v>
      </c>
      <c r="R59" s="214"/>
      <c r="S59" s="3"/>
      <c r="T59" s="192"/>
      <c r="U59" s="3"/>
      <c r="V59" s="3"/>
      <c r="W59" s="3"/>
      <c r="X59" s="3"/>
      <c r="Y59" s="3"/>
      <c r="Z59" s="3"/>
      <c r="AA59" s="3"/>
      <c r="AB59" s="3"/>
      <c r="AC59" s="3"/>
      <c r="AD59" s="3"/>
      <c r="AE59" s="3"/>
      <c r="AF59" s="3"/>
      <c r="AG59" s="3"/>
      <c r="AH59" s="3"/>
    </row>
    <row r="60" spans="1:34" ht="12" customHeight="1" x14ac:dyDescent="0.2">
      <c r="A60" s="3"/>
      <c r="B60" s="212"/>
      <c r="C60" s="280"/>
      <c r="D60" s="276"/>
      <c r="E60" s="276"/>
      <c r="F60" s="277"/>
      <c r="G60" s="258"/>
      <c r="H60" s="258"/>
      <c r="I60" s="258"/>
      <c r="J60" s="258"/>
      <c r="K60" s="258"/>
      <c r="L60" s="258"/>
      <c r="M60" s="258"/>
      <c r="N60" s="258"/>
      <c r="O60" s="258"/>
      <c r="P60" s="258"/>
      <c r="Q60" s="658">
        <f t="shared" si="3"/>
        <v>0</v>
      </c>
      <c r="R60" s="214"/>
      <c r="S60" s="3"/>
      <c r="T60" s="192"/>
      <c r="U60" s="3"/>
      <c r="V60" s="3"/>
      <c r="W60" s="3"/>
      <c r="X60" s="3"/>
      <c r="Y60" s="3"/>
      <c r="Z60" s="3"/>
      <c r="AA60" s="3"/>
      <c r="AB60" s="3"/>
      <c r="AC60" s="3"/>
      <c r="AD60" s="3"/>
      <c r="AE60" s="3"/>
      <c r="AF60" s="3"/>
      <c r="AG60" s="3"/>
      <c r="AH60" s="3"/>
    </row>
    <row r="61" spans="1:34" ht="12" customHeight="1" x14ac:dyDescent="0.2">
      <c r="A61" s="3"/>
      <c r="B61" s="212"/>
      <c r="C61" s="280"/>
      <c r="D61" s="276"/>
      <c r="E61" s="276"/>
      <c r="F61" s="277"/>
      <c r="G61" s="258"/>
      <c r="H61" s="258"/>
      <c r="I61" s="258"/>
      <c r="J61" s="258"/>
      <c r="K61" s="258"/>
      <c r="L61" s="258"/>
      <c r="M61" s="258"/>
      <c r="N61" s="258"/>
      <c r="O61" s="258"/>
      <c r="P61" s="258"/>
      <c r="Q61" s="658">
        <f t="shared" si="3"/>
        <v>0</v>
      </c>
      <c r="R61" s="214"/>
      <c r="S61" s="3"/>
      <c r="T61" s="192"/>
      <c r="U61" s="3"/>
      <c r="V61" s="3"/>
      <c r="W61" s="3"/>
      <c r="X61" s="3"/>
      <c r="Y61" s="3"/>
      <c r="Z61" s="3"/>
      <c r="AA61" s="3"/>
      <c r="AB61" s="3"/>
      <c r="AC61" s="3"/>
      <c r="AD61" s="3"/>
      <c r="AE61" s="3"/>
      <c r="AF61" s="3"/>
      <c r="AG61" s="3"/>
      <c r="AH61" s="3"/>
    </row>
    <row r="62" spans="1:34" ht="12" customHeight="1" x14ac:dyDescent="0.2">
      <c r="A62" s="3"/>
      <c r="B62" s="212"/>
      <c r="C62" s="280"/>
      <c r="D62" s="276"/>
      <c r="E62" s="276"/>
      <c r="F62" s="277"/>
      <c r="G62" s="258"/>
      <c r="H62" s="258"/>
      <c r="I62" s="258"/>
      <c r="J62" s="258"/>
      <c r="K62" s="258"/>
      <c r="L62" s="258"/>
      <c r="M62" s="258"/>
      <c r="N62" s="258"/>
      <c r="O62" s="258"/>
      <c r="P62" s="258"/>
      <c r="Q62" s="658">
        <f t="shared" si="3"/>
        <v>0</v>
      </c>
      <c r="R62" s="214"/>
      <c r="S62" s="3"/>
      <c r="T62" s="192"/>
      <c r="U62" s="3"/>
      <c r="V62" s="3"/>
      <c r="W62" s="3"/>
      <c r="X62" s="3"/>
      <c r="Y62" s="3"/>
      <c r="Z62" s="3"/>
      <c r="AA62" s="3"/>
      <c r="AB62" s="3"/>
      <c r="AC62" s="3"/>
      <c r="AD62" s="3"/>
      <c r="AE62" s="3"/>
      <c r="AF62" s="3"/>
      <c r="AG62" s="3"/>
      <c r="AH62" s="3"/>
    </row>
    <row r="63" spans="1:34" ht="12" customHeight="1" x14ac:dyDescent="0.2">
      <c r="A63" s="3"/>
      <c r="B63" s="212"/>
      <c r="C63" s="280"/>
      <c r="D63" s="276"/>
      <c r="E63" s="276"/>
      <c r="F63" s="277"/>
      <c r="G63" s="258"/>
      <c r="H63" s="258"/>
      <c r="I63" s="258"/>
      <c r="J63" s="258"/>
      <c r="K63" s="258"/>
      <c r="L63" s="258"/>
      <c r="M63" s="258"/>
      <c r="N63" s="258"/>
      <c r="O63" s="258"/>
      <c r="P63" s="258"/>
      <c r="Q63" s="658">
        <f t="shared" si="3"/>
        <v>0</v>
      </c>
      <c r="R63" s="214"/>
      <c r="S63" s="3"/>
      <c r="T63" s="192"/>
      <c r="U63" s="3"/>
      <c r="V63" s="3"/>
      <c r="W63" s="3"/>
      <c r="X63" s="3"/>
      <c r="Y63" s="3"/>
      <c r="Z63" s="3"/>
      <c r="AA63" s="3"/>
      <c r="AB63" s="3"/>
      <c r="AC63" s="3"/>
      <c r="AD63" s="3"/>
      <c r="AE63" s="3"/>
      <c r="AF63" s="3"/>
      <c r="AG63" s="3"/>
      <c r="AH63" s="3"/>
    </row>
    <row r="64" spans="1:34" ht="12" customHeight="1" x14ac:dyDescent="0.2">
      <c r="A64" s="3"/>
      <c r="B64" s="212"/>
      <c r="C64" s="280"/>
      <c r="D64" s="276"/>
      <c r="E64" s="276"/>
      <c r="F64" s="277"/>
      <c r="G64" s="258"/>
      <c r="H64" s="258"/>
      <c r="I64" s="258"/>
      <c r="J64" s="258"/>
      <c r="K64" s="258"/>
      <c r="L64" s="258"/>
      <c r="M64" s="258"/>
      <c r="N64" s="258"/>
      <c r="O64" s="258"/>
      <c r="P64" s="258"/>
      <c r="Q64" s="658">
        <f t="shared" si="3"/>
        <v>0</v>
      </c>
      <c r="R64" s="214"/>
      <c r="S64" s="3"/>
      <c r="T64" s="192"/>
      <c r="U64" s="3"/>
      <c r="V64" s="3"/>
      <c r="W64" s="3"/>
      <c r="X64" s="3"/>
      <c r="Y64" s="3"/>
      <c r="Z64" s="3"/>
      <c r="AA64" s="3"/>
      <c r="AB64" s="3"/>
      <c r="AC64" s="3"/>
      <c r="AD64" s="3"/>
      <c r="AE64" s="3"/>
      <c r="AF64" s="3"/>
      <c r="AG64" s="3"/>
      <c r="AH64" s="3"/>
    </row>
    <row r="65" spans="1:34" x14ac:dyDescent="0.2">
      <c r="A65" s="3"/>
      <c r="B65" s="212"/>
      <c r="C65" s="135" t="s">
        <v>863</v>
      </c>
      <c r="D65" s="3"/>
      <c r="E65" s="3"/>
      <c r="F65" s="96"/>
      <c r="G65" s="207">
        <f>IF(G$27=".",".",SUM(G34:G48,G50:G64))</f>
        <v>2014168</v>
      </c>
      <c r="H65" s="207">
        <f t="shared" ref="H65:P65" si="4">IF(H$27=".",".",SUM(H34:H48,H50:H64))</f>
        <v>1774823</v>
      </c>
      <c r="I65" s="207">
        <f t="shared" si="4"/>
        <v>3614595.25</v>
      </c>
      <c r="J65" s="207">
        <f t="shared" si="4"/>
        <v>4212392.3125</v>
      </c>
      <c r="K65" s="207">
        <f t="shared" si="4"/>
        <v>5913897.828125</v>
      </c>
      <c r="L65" s="207">
        <f t="shared" si="4"/>
        <v>6132035.76953125</v>
      </c>
      <c r="M65" s="207">
        <f t="shared" si="4"/>
        <v>4924524.7080078125</v>
      </c>
      <c r="N65" s="207">
        <f t="shared" si="4"/>
        <v>4874509.0934082028</v>
      </c>
      <c r="O65" s="207">
        <f t="shared" si="4"/>
        <v>4971785.5480786134</v>
      </c>
      <c r="P65" s="207">
        <f t="shared" si="4"/>
        <v>5123948.1754825441</v>
      </c>
      <c r="Q65" s="658">
        <f t="shared" si="3"/>
        <v>43556679.68513342</v>
      </c>
      <c r="R65" s="792">
        <f>SUM(Q34:Q64)-Q65</f>
        <v>0</v>
      </c>
      <c r="S65" s="3"/>
      <c r="T65" s="3"/>
      <c r="U65" s="3"/>
      <c r="V65" s="3"/>
      <c r="W65" s="3"/>
      <c r="X65" s="3"/>
      <c r="Y65" s="3"/>
      <c r="Z65" s="3"/>
      <c r="AA65" s="3"/>
      <c r="AB65" s="3"/>
      <c r="AC65" s="3"/>
      <c r="AD65" s="3"/>
      <c r="AE65" s="3"/>
      <c r="AF65" s="3"/>
      <c r="AG65" s="3"/>
      <c r="AH65" s="3"/>
    </row>
    <row r="66" spans="1:34" x14ac:dyDescent="0.2">
      <c r="A66" s="3"/>
      <c r="B66" s="212"/>
      <c r="C66" s="97" t="s">
        <v>864</v>
      </c>
      <c r="D66" s="93"/>
      <c r="E66" s="93"/>
      <c r="F66" s="98"/>
      <c r="G66" s="152">
        <f>IF(G$27=".",".",SUM($G65:G65))</f>
        <v>2014168</v>
      </c>
      <c r="H66" s="152">
        <f>IF(H$27=".",".",SUM($G65:H65))</f>
        <v>3788991</v>
      </c>
      <c r="I66" s="152">
        <f>IF(I$27=".",".",SUM($G65:I65))</f>
        <v>7403586.25</v>
      </c>
      <c r="J66" s="152">
        <f>IF(J$27=".",".",SUM($G65:J65))</f>
        <v>11615978.5625</v>
      </c>
      <c r="K66" s="152">
        <f>IF(K$27=".",".",SUM($G65:K65))</f>
        <v>17529876.390625</v>
      </c>
      <c r="L66" s="152">
        <f>IF(L$27=".",".",SUM($G65:L65))</f>
        <v>23661912.16015625</v>
      </c>
      <c r="M66" s="152">
        <f>IF(M$27=".",".",SUM($G65:M65))</f>
        <v>28586436.868164063</v>
      </c>
      <c r="N66" s="152">
        <f>IF(N$27=".",".",SUM($G65:N65))</f>
        <v>33460945.961572267</v>
      </c>
      <c r="O66" s="152">
        <f>IF(O$27=".",".",SUM($G65:O65))</f>
        <v>38432731.509650879</v>
      </c>
      <c r="P66" s="152">
        <f>IF(P$27=".",".",SUM($G65:P65))</f>
        <v>43556679.68513342</v>
      </c>
      <c r="Q66" s="275"/>
      <c r="R66" s="214"/>
      <c r="S66" s="3"/>
      <c r="T66" s="3"/>
      <c r="U66" s="3"/>
      <c r="V66" s="3"/>
      <c r="W66" s="3"/>
      <c r="X66" s="3"/>
      <c r="Y66" s="3"/>
      <c r="Z66" s="3"/>
      <c r="AA66" s="3"/>
      <c r="AB66" s="3"/>
      <c r="AC66" s="3"/>
      <c r="AD66" s="3"/>
      <c r="AE66" s="3"/>
      <c r="AF66" s="3"/>
      <c r="AG66" s="3"/>
      <c r="AH66" s="3"/>
    </row>
    <row r="67" spans="1:34" ht="12" customHeight="1" x14ac:dyDescent="0.2">
      <c r="A67" s="3"/>
      <c r="B67" s="212"/>
      <c r="C67" s="3"/>
      <c r="D67" s="3"/>
      <c r="E67" s="3"/>
      <c r="F67" s="3"/>
      <c r="G67" s="3"/>
      <c r="H67" s="3"/>
      <c r="I67" s="3"/>
      <c r="J67" s="3"/>
      <c r="K67" s="3"/>
      <c r="L67" s="3"/>
      <c r="M67" s="3"/>
      <c r="N67" s="3"/>
      <c r="O67" s="3"/>
      <c r="P67" s="3"/>
      <c r="Q67" s="3"/>
      <c r="R67" s="214"/>
      <c r="S67" s="3"/>
      <c r="T67" s="3"/>
      <c r="U67" s="3"/>
      <c r="V67" s="3"/>
      <c r="W67" s="3"/>
      <c r="X67" s="3"/>
      <c r="Y67" s="3"/>
      <c r="Z67" s="3"/>
      <c r="AA67" s="3"/>
      <c r="AB67" s="3"/>
      <c r="AC67" s="3"/>
      <c r="AD67" s="3"/>
      <c r="AE67" s="3"/>
      <c r="AF67" s="3"/>
      <c r="AG67" s="3"/>
      <c r="AH67" s="3"/>
    </row>
    <row r="68" spans="1:34" ht="21" customHeight="1" x14ac:dyDescent="0.25">
      <c r="A68" s="3"/>
      <c r="B68" s="212"/>
      <c r="C68" s="1251" t="s">
        <v>865</v>
      </c>
      <c r="D68" s="1184"/>
      <c r="E68" s="1184"/>
      <c r="F68" s="1184"/>
      <c r="G68" s="1178" t="str">
        <f>$G$26</f>
        <v>$ nominal per year</v>
      </c>
      <c r="H68" s="1185"/>
      <c r="I68" s="848"/>
      <c r="J68" s="1185"/>
      <c r="K68" s="1185"/>
      <c r="L68" s="1185"/>
      <c r="M68" s="1185"/>
      <c r="N68" s="1185"/>
      <c r="O68" s="1185"/>
      <c r="P68" s="1185"/>
      <c r="Q68" s="1186"/>
      <c r="R68" s="214"/>
      <c r="S68" s="3"/>
      <c r="T68" s="3"/>
      <c r="U68" s="3"/>
      <c r="V68" s="3"/>
      <c r="W68" s="3"/>
      <c r="X68" s="3"/>
      <c r="Y68" s="3"/>
      <c r="Z68" s="3"/>
      <c r="AA68" s="3"/>
      <c r="AB68" s="3"/>
      <c r="AC68" s="3"/>
      <c r="AD68" s="3"/>
      <c r="AE68" s="3"/>
      <c r="AF68" s="3"/>
      <c r="AG68" s="3"/>
      <c r="AH68" s="3"/>
    </row>
    <row r="69" spans="1:34" ht="10.95" customHeight="1" x14ac:dyDescent="0.2">
      <c r="A69" s="3"/>
      <c r="B69" s="212"/>
      <c r="C69" s="794"/>
      <c r="D69" s="789"/>
      <c r="E69" s="789"/>
      <c r="F69" s="796"/>
      <c r="G69" s="797" t="str">
        <f t="shared" ref="G69:I69" si="5">G$33</f>
        <v>.</v>
      </c>
      <c r="H69" s="797" t="str">
        <f t="shared" si="5"/>
        <v>.</v>
      </c>
      <c r="I69" s="797" t="str">
        <f t="shared" si="5"/>
        <v>.</v>
      </c>
      <c r="J69" s="797" t="str">
        <f>J$33</f>
        <v>.</v>
      </c>
      <c r="K69" s="797" t="str">
        <f t="shared" ref="K69:P69" si="6">K$33</f>
        <v>.</v>
      </c>
      <c r="L69" s="797" t="str">
        <f t="shared" si="6"/>
        <v>.</v>
      </c>
      <c r="M69" s="797" t="str">
        <f t="shared" si="6"/>
        <v>.</v>
      </c>
      <c r="N69" s="797" t="str">
        <f t="shared" si="6"/>
        <v>.</v>
      </c>
      <c r="O69" s="797" t="str">
        <f t="shared" si="6"/>
        <v>.</v>
      </c>
      <c r="P69" s="797" t="str">
        <f t="shared" si="6"/>
        <v>.</v>
      </c>
      <c r="Q69" s="567"/>
      <c r="R69" s="214"/>
      <c r="S69" s="3"/>
      <c r="T69" s="192"/>
      <c r="U69" s="3"/>
      <c r="V69" s="3"/>
      <c r="W69" s="3"/>
      <c r="X69" s="3"/>
      <c r="Y69" s="3"/>
      <c r="Z69" s="3"/>
      <c r="AA69" s="3"/>
      <c r="AB69" s="3"/>
      <c r="AC69" s="3"/>
      <c r="AD69" s="3"/>
      <c r="AE69" s="3"/>
      <c r="AF69" s="3"/>
      <c r="AG69" s="3"/>
      <c r="AH69" s="3"/>
    </row>
    <row r="70" spans="1:34" ht="12" x14ac:dyDescent="0.2">
      <c r="A70" s="3"/>
      <c r="B70" s="212"/>
      <c r="C70" s="794" t="s">
        <v>866</v>
      </c>
      <c r="D70" s="789"/>
      <c r="E70" s="789"/>
      <c r="F70" s="789"/>
      <c r="G70" s="192"/>
      <c r="H70" s="795"/>
      <c r="I70" s="795"/>
      <c r="J70" s="795"/>
      <c r="K70" s="795"/>
      <c r="L70" s="795"/>
      <c r="M70" s="795"/>
      <c r="N70" s="795"/>
      <c r="O70" s="795"/>
      <c r="P70" s="795"/>
      <c r="Q70" s="658"/>
      <c r="R70" s="214"/>
      <c r="S70" s="3"/>
      <c r="T70" s="3"/>
      <c r="U70" s="3"/>
      <c r="V70" s="3"/>
      <c r="W70" s="3"/>
      <c r="X70" s="3"/>
      <c r="Y70" s="3"/>
      <c r="Z70" s="3"/>
      <c r="AA70" s="3"/>
      <c r="AB70" s="3"/>
      <c r="AC70" s="3"/>
      <c r="AD70" s="3"/>
      <c r="AE70" s="3"/>
      <c r="AF70" s="3"/>
      <c r="AG70" s="3"/>
      <c r="AH70" s="3"/>
    </row>
    <row r="71" spans="1:34" x14ac:dyDescent="0.2">
      <c r="A71" s="3"/>
      <c r="B71" s="212"/>
      <c r="C71" s="773" t="s">
        <v>867</v>
      </c>
      <c r="D71" s="940"/>
      <c r="E71" s="940"/>
      <c r="F71" s="941"/>
      <c r="G71" s="258">
        <v>1000000</v>
      </c>
      <c r="H71" s="258">
        <v>1000000</v>
      </c>
      <c r="I71" s="258">
        <v>1000000</v>
      </c>
      <c r="J71" s="258">
        <v>1000000</v>
      </c>
      <c r="K71" s="258">
        <v>1000000</v>
      </c>
      <c r="L71" s="258">
        <v>1000000</v>
      </c>
      <c r="M71" s="258">
        <v>1000000</v>
      </c>
      <c r="N71" s="258">
        <v>1000000</v>
      </c>
      <c r="O71" s="258">
        <v>1000000</v>
      </c>
      <c r="P71" s="258">
        <v>1000000</v>
      </c>
      <c r="Q71" s="658">
        <f t="shared" ref="Q71:Q112" si="7">SUM(G71:P71)-SUMIF($G$21:$P$21,$V$20,G71:P71)</f>
        <v>10000000</v>
      </c>
      <c r="R71" s="214"/>
      <c r="S71" s="3"/>
      <c r="T71" s="3"/>
      <c r="U71" s="3"/>
      <c r="V71" s="3"/>
      <c r="W71" s="3"/>
      <c r="X71" s="3"/>
      <c r="Y71" s="3"/>
      <c r="Z71" s="3"/>
      <c r="AA71" s="3"/>
      <c r="AB71" s="3"/>
      <c r="AC71" s="3"/>
      <c r="AD71" s="3"/>
      <c r="AE71" s="3"/>
      <c r="AF71" s="3"/>
      <c r="AG71" s="3"/>
      <c r="AH71" s="3"/>
    </row>
    <row r="72" spans="1:34" x14ac:dyDescent="0.2">
      <c r="A72" s="3"/>
      <c r="B72" s="212"/>
      <c r="C72" s="773" t="s">
        <v>868</v>
      </c>
      <c r="D72" s="940"/>
      <c r="E72" s="940"/>
      <c r="F72" s="941"/>
      <c r="G72" s="258">
        <v>650000</v>
      </c>
      <c r="H72" s="258">
        <v>650000</v>
      </c>
      <c r="I72" s="258">
        <v>650000</v>
      </c>
      <c r="J72" s="258">
        <v>650000</v>
      </c>
      <c r="K72" s="258">
        <v>650000</v>
      </c>
      <c r="L72" s="258">
        <v>650000</v>
      </c>
      <c r="M72" s="258">
        <v>650000</v>
      </c>
      <c r="N72" s="258">
        <v>650000</v>
      </c>
      <c r="O72" s="258">
        <v>650000</v>
      </c>
      <c r="P72" s="258">
        <v>650000</v>
      </c>
      <c r="Q72" s="658">
        <f t="shared" si="7"/>
        <v>6500000</v>
      </c>
      <c r="R72" s="214"/>
      <c r="S72" s="3"/>
      <c r="T72" s="3"/>
      <c r="U72" s="3"/>
      <c r="V72" s="3"/>
      <c r="W72" s="3"/>
      <c r="X72" s="3"/>
      <c r="Y72" s="3"/>
      <c r="Z72" s="3"/>
      <c r="AA72" s="3"/>
      <c r="AB72" s="3"/>
      <c r="AC72" s="3"/>
      <c r="AD72" s="3"/>
      <c r="AE72" s="3"/>
      <c r="AF72" s="3"/>
      <c r="AG72" s="3"/>
      <c r="AH72" s="3"/>
    </row>
    <row r="73" spans="1:34" x14ac:dyDescent="0.2">
      <c r="A73" s="3"/>
      <c r="B73" s="212"/>
      <c r="C73" s="773" t="s">
        <v>1073</v>
      </c>
      <c r="D73" s="940"/>
      <c r="E73" s="940"/>
      <c r="F73" s="941"/>
      <c r="G73" s="258"/>
      <c r="H73" s="258"/>
      <c r="I73" s="258">
        <v>715887</v>
      </c>
      <c r="J73" s="258">
        <v>715887</v>
      </c>
      <c r="K73" s="258">
        <v>1602713</v>
      </c>
      <c r="L73" s="258">
        <v>1641178</v>
      </c>
      <c r="M73" s="258">
        <v>1680566</v>
      </c>
      <c r="N73" s="258">
        <v>1720900</v>
      </c>
      <c r="O73" s="258">
        <v>1763922</v>
      </c>
      <c r="P73" s="258">
        <v>1808020</v>
      </c>
      <c r="Q73" s="658">
        <f t="shared" si="7"/>
        <v>11649073</v>
      </c>
      <c r="R73" s="214"/>
      <c r="S73" s="3"/>
      <c r="T73" s="3"/>
      <c r="U73" s="3"/>
      <c r="V73" s="3"/>
      <c r="W73" s="3"/>
      <c r="X73" s="3"/>
      <c r="Y73" s="3"/>
      <c r="Z73" s="3"/>
      <c r="AA73" s="3"/>
      <c r="AB73" s="3"/>
      <c r="AC73" s="3"/>
      <c r="AD73" s="3"/>
      <c r="AE73" s="3"/>
      <c r="AF73" s="3"/>
      <c r="AG73" s="3"/>
      <c r="AH73" s="3"/>
    </row>
    <row r="74" spans="1:34" x14ac:dyDescent="0.2">
      <c r="A74" s="3"/>
      <c r="B74" s="212"/>
      <c r="C74" s="1258" t="s">
        <v>1075</v>
      </c>
      <c r="D74" s="1263"/>
      <c r="E74" s="1263"/>
      <c r="F74" s="1264"/>
      <c r="G74" s="1265">
        <v>1625000</v>
      </c>
      <c r="H74" s="1265">
        <v>1757000</v>
      </c>
      <c r="I74" s="1265">
        <v>2190000</v>
      </c>
      <c r="J74" s="1265">
        <v>1951000</v>
      </c>
      <c r="K74" s="1265">
        <v>4764000</v>
      </c>
      <c r="L74" s="1265">
        <v>2316000</v>
      </c>
      <c r="M74" s="1265">
        <v>1902000</v>
      </c>
      <c r="N74" s="1265">
        <v>1948000</v>
      </c>
      <c r="O74" s="1265">
        <v>2300000</v>
      </c>
      <c r="P74" s="1265">
        <v>2383000</v>
      </c>
      <c r="Q74" s="658">
        <f t="shared" si="7"/>
        <v>23136000</v>
      </c>
      <c r="R74" s="214"/>
      <c r="S74" s="3"/>
      <c r="T74" s="3"/>
      <c r="U74" s="3"/>
      <c r="V74" s="3"/>
      <c r="W74" s="3"/>
      <c r="X74" s="3"/>
      <c r="Y74" s="3"/>
      <c r="Z74" s="3"/>
      <c r="AA74" s="3"/>
      <c r="AB74" s="3"/>
      <c r="AC74" s="3"/>
      <c r="AD74" s="3"/>
      <c r="AE74" s="3"/>
      <c r="AF74" s="3"/>
      <c r="AG74" s="3"/>
      <c r="AH74" s="3"/>
    </row>
    <row r="75" spans="1:34" x14ac:dyDescent="0.2">
      <c r="A75" s="3"/>
      <c r="B75" s="212"/>
      <c r="C75" s="773"/>
      <c r="D75" s="940"/>
      <c r="E75" s="940"/>
      <c r="F75" s="941"/>
      <c r="G75" s="258"/>
      <c r="H75" s="258"/>
      <c r="I75" s="258"/>
      <c r="J75" s="258"/>
      <c r="K75" s="258"/>
      <c r="L75" s="258"/>
      <c r="M75" s="258"/>
      <c r="N75" s="258"/>
      <c r="O75" s="258"/>
      <c r="P75" s="258"/>
      <c r="Q75" s="658">
        <f t="shared" si="7"/>
        <v>0</v>
      </c>
      <c r="R75" s="214"/>
      <c r="S75" s="3"/>
      <c r="T75" s="3"/>
      <c r="U75" s="3"/>
      <c r="V75" s="3"/>
      <c r="W75" s="3"/>
      <c r="X75" s="3"/>
      <c r="Y75" s="3"/>
      <c r="Z75" s="3"/>
      <c r="AA75" s="3"/>
      <c r="AB75" s="3"/>
      <c r="AC75" s="3"/>
      <c r="AD75" s="3"/>
      <c r="AE75" s="3"/>
      <c r="AF75" s="3"/>
      <c r="AG75" s="3"/>
      <c r="AH75" s="3"/>
    </row>
    <row r="76" spans="1:34" x14ac:dyDescent="0.2">
      <c r="A76" s="3"/>
      <c r="B76" s="212"/>
      <c r="C76" s="773"/>
      <c r="D76" s="940"/>
      <c r="E76" s="940"/>
      <c r="F76" s="941"/>
      <c r="G76" s="258"/>
      <c r="H76" s="258"/>
      <c r="I76" s="258"/>
      <c r="J76" s="258"/>
      <c r="K76" s="258"/>
      <c r="L76" s="258"/>
      <c r="M76" s="258"/>
      <c r="N76" s="258"/>
      <c r="O76" s="258"/>
      <c r="P76" s="258"/>
      <c r="Q76" s="658">
        <f t="shared" si="7"/>
        <v>0</v>
      </c>
      <c r="R76" s="214"/>
      <c r="S76" s="3"/>
      <c r="T76" s="3"/>
      <c r="U76" s="3"/>
      <c r="V76" s="3"/>
      <c r="W76" s="3"/>
      <c r="X76" s="3"/>
      <c r="Y76" s="3"/>
      <c r="Z76" s="3"/>
      <c r="AA76" s="3"/>
      <c r="AB76" s="3"/>
      <c r="AC76" s="3"/>
      <c r="AD76" s="3"/>
      <c r="AE76" s="3"/>
      <c r="AF76" s="3"/>
      <c r="AG76" s="3"/>
      <c r="AH76" s="3"/>
    </row>
    <row r="77" spans="1:34" x14ac:dyDescent="0.2">
      <c r="A77" s="3"/>
      <c r="B77" s="212"/>
      <c r="C77" s="773"/>
      <c r="D77" s="940"/>
      <c r="E77" s="940"/>
      <c r="F77" s="941"/>
      <c r="G77" s="258"/>
      <c r="H77" s="258"/>
      <c r="I77" s="258"/>
      <c r="J77" s="258"/>
      <c r="K77" s="258"/>
      <c r="L77" s="258"/>
      <c r="M77" s="258"/>
      <c r="N77" s="258"/>
      <c r="O77" s="258"/>
      <c r="P77" s="258"/>
      <c r="Q77" s="658">
        <f t="shared" si="7"/>
        <v>0</v>
      </c>
      <c r="R77" s="214"/>
      <c r="S77" s="192"/>
      <c r="T77" s="3"/>
      <c r="U77" s="3"/>
      <c r="V77" s="3"/>
      <c r="W77" s="3"/>
      <c r="X77" s="3"/>
      <c r="Y77" s="3"/>
      <c r="Z77" s="3"/>
      <c r="AA77" s="3"/>
      <c r="AB77" s="3"/>
      <c r="AC77" s="3"/>
      <c r="AD77" s="3"/>
      <c r="AE77" s="3"/>
      <c r="AF77" s="3"/>
      <c r="AG77" s="3"/>
      <c r="AH77" s="3"/>
    </row>
    <row r="78" spans="1:34" x14ac:dyDescent="0.2">
      <c r="A78" s="3"/>
      <c r="B78" s="212"/>
      <c r="C78" s="540"/>
      <c r="D78" s="940"/>
      <c r="E78" s="940"/>
      <c r="F78" s="941"/>
      <c r="G78" s="258"/>
      <c r="H78" s="258"/>
      <c r="I78" s="258"/>
      <c r="J78" s="258"/>
      <c r="K78" s="258"/>
      <c r="L78" s="258"/>
      <c r="M78" s="258"/>
      <c r="N78" s="258"/>
      <c r="O78" s="258"/>
      <c r="P78" s="258"/>
      <c r="Q78" s="658">
        <f t="shared" si="7"/>
        <v>0</v>
      </c>
      <c r="R78" s="214"/>
      <c r="S78" s="3"/>
      <c r="T78" s="3"/>
      <c r="U78" s="3"/>
      <c r="V78" s="3"/>
      <c r="W78" s="3"/>
      <c r="X78" s="3"/>
      <c r="Y78" s="3"/>
      <c r="Z78" s="3"/>
      <c r="AA78" s="3"/>
      <c r="AB78" s="3"/>
      <c r="AC78" s="3"/>
      <c r="AD78" s="3"/>
      <c r="AE78" s="3"/>
      <c r="AF78" s="3"/>
      <c r="AG78" s="3"/>
      <c r="AH78" s="3"/>
    </row>
    <row r="79" spans="1:34" x14ac:dyDescent="0.2">
      <c r="A79" s="3"/>
      <c r="B79" s="212"/>
      <c r="C79" s="540"/>
      <c r="D79" s="940"/>
      <c r="E79" s="940"/>
      <c r="F79" s="941"/>
      <c r="G79" s="258"/>
      <c r="H79" s="258"/>
      <c r="I79" s="258"/>
      <c r="J79" s="258"/>
      <c r="K79" s="258"/>
      <c r="L79" s="258"/>
      <c r="M79" s="258"/>
      <c r="N79" s="258"/>
      <c r="O79" s="258"/>
      <c r="P79" s="258"/>
      <c r="Q79" s="658">
        <f t="shared" si="7"/>
        <v>0</v>
      </c>
      <c r="R79" s="214"/>
      <c r="S79" s="3"/>
      <c r="T79" s="3"/>
      <c r="U79" s="3"/>
      <c r="V79" s="3"/>
      <c r="W79" s="3"/>
      <c r="X79" s="3"/>
      <c r="Y79" s="3"/>
      <c r="Z79" s="3"/>
      <c r="AA79" s="3"/>
      <c r="AB79" s="3"/>
      <c r="AC79" s="3"/>
      <c r="AD79" s="3"/>
      <c r="AE79" s="3"/>
      <c r="AF79" s="3"/>
      <c r="AG79" s="3"/>
      <c r="AH79" s="3"/>
    </row>
    <row r="80" spans="1:34" x14ac:dyDescent="0.2">
      <c r="A80" s="3"/>
      <c r="B80" s="212"/>
      <c r="C80" s="540"/>
      <c r="D80" s="940"/>
      <c r="E80" s="940"/>
      <c r="F80" s="941"/>
      <c r="G80" s="258"/>
      <c r="H80" s="258"/>
      <c r="I80" s="258"/>
      <c r="J80" s="258"/>
      <c r="K80" s="258"/>
      <c r="L80" s="258"/>
      <c r="M80" s="258"/>
      <c r="N80" s="258"/>
      <c r="O80" s="258"/>
      <c r="P80" s="258"/>
      <c r="Q80" s="658">
        <f t="shared" si="7"/>
        <v>0</v>
      </c>
      <c r="R80" s="214"/>
      <c r="S80" s="3"/>
      <c r="T80" s="3"/>
      <c r="U80" s="3"/>
      <c r="V80" s="3"/>
      <c r="W80" s="3"/>
      <c r="X80" s="3"/>
      <c r="Y80" s="3"/>
      <c r="Z80" s="3"/>
      <c r="AA80" s="3"/>
      <c r="AB80" s="3"/>
      <c r="AC80" s="3"/>
      <c r="AD80" s="3"/>
      <c r="AE80" s="3"/>
      <c r="AF80" s="3"/>
      <c r="AG80" s="3"/>
      <c r="AH80" s="3"/>
    </row>
    <row r="81" spans="1:34" x14ac:dyDescent="0.2">
      <c r="A81" s="3"/>
      <c r="B81" s="212"/>
      <c r="C81" s="540"/>
      <c r="D81" s="940"/>
      <c r="E81" s="940"/>
      <c r="F81" s="941"/>
      <c r="G81" s="258"/>
      <c r="H81" s="258"/>
      <c r="I81" s="258"/>
      <c r="J81" s="258"/>
      <c r="K81" s="258"/>
      <c r="L81" s="258"/>
      <c r="M81" s="258"/>
      <c r="N81" s="258"/>
      <c r="O81" s="258"/>
      <c r="P81" s="258"/>
      <c r="Q81" s="658">
        <f t="shared" si="7"/>
        <v>0</v>
      </c>
      <c r="R81" s="214"/>
      <c r="S81" s="3"/>
      <c r="T81" s="3"/>
      <c r="U81" s="3"/>
      <c r="V81" s="3"/>
      <c r="W81" s="3"/>
      <c r="X81" s="3"/>
      <c r="Y81" s="3"/>
      <c r="Z81" s="3"/>
      <c r="AA81" s="3"/>
      <c r="AB81" s="3"/>
      <c r="AC81" s="3"/>
      <c r="AD81" s="3"/>
      <c r="AE81" s="3"/>
      <c r="AF81" s="3"/>
      <c r="AG81" s="3"/>
      <c r="AH81" s="3"/>
    </row>
    <row r="82" spans="1:34" x14ac:dyDescent="0.2">
      <c r="A82" s="3"/>
      <c r="B82" s="212"/>
      <c r="C82" s="540"/>
      <c r="D82" s="940"/>
      <c r="E82" s="940"/>
      <c r="F82" s="941"/>
      <c r="G82" s="258"/>
      <c r="H82" s="258"/>
      <c r="I82" s="258"/>
      <c r="J82" s="258"/>
      <c r="K82" s="258"/>
      <c r="L82" s="258"/>
      <c r="M82" s="258"/>
      <c r="N82" s="258"/>
      <c r="O82" s="258"/>
      <c r="P82" s="258"/>
      <c r="Q82" s="658">
        <f t="shared" si="7"/>
        <v>0</v>
      </c>
      <c r="R82" s="214"/>
      <c r="S82" s="3"/>
      <c r="T82" s="3"/>
      <c r="U82" s="3"/>
      <c r="V82" s="3"/>
      <c r="W82" s="3"/>
      <c r="X82" s="3"/>
      <c r="Y82" s="3"/>
      <c r="Z82" s="3"/>
      <c r="AA82" s="3"/>
      <c r="AB82" s="3"/>
      <c r="AC82" s="3"/>
      <c r="AD82" s="3"/>
      <c r="AE82" s="3"/>
      <c r="AF82" s="3"/>
      <c r="AG82" s="3"/>
      <c r="AH82" s="3"/>
    </row>
    <row r="83" spans="1:34" x14ac:dyDescent="0.2">
      <c r="A83" s="3"/>
      <c r="B83" s="212"/>
      <c r="C83" s="540"/>
      <c r="D83" s="940"/>
      <c r="E83" s="940"/>
      <c r="F83" s="941"/>
      <c r="G83" s="258"/>
      <c r="H83" s="258"/>
      <c r="I83" s="258"/>
      <c r="J83" s="258"/>
      <c r="K83" s="258"/>
      <c r="L83" s="258"/>
      <c r="M83" s="258"/>
      <c r="N83" s="258"/>
      <c r="O83" s="258"/>
      <c r="P83" s="258"/>
      <c r="Q83" s="658">
        <f t="shared" si="7"/>
        <v>0</v>
      </c>
      <c r="R83" s="214"/>
      <c r="S83" s="3"/>
      <c r="T83" s="3"/>
      <c r="U83" s="3"/>
      <c r="V83" s="3"/>
      <c r="W83" s="3"/>
      <c r="X83" s="3"/>
      <c r="Y83" s="3"/>
      <c r="Z83" s="3"/>
      <c r="AA83" s="3"/>
      <c r="AB83" s="3"/>
      <c r="AC83" s="3"/>
      <c r="AD83" s="3"/>
      <c r="AE83" s="3"/>
      <c r="AF83" s="3"/>
      <c r="AG83" s="3"/>
      <c r="AH83" s="3"/>
    </row>
    <row r="84" spans="1:34" x14ac:dyDescent="0.2">
      <c r="A84" s="3"/>
      <c r="B84" s="212"/>
      <c r="C84" s="540"/>
      <c r="D84" s="940"/>
      <c r="E84" s="940"/>
      <c r="F84" s="941"/>
      <c r="G84" s="258"/>
      <c r="H84" s="258"/>
      <c r="I84" s="258"/>
      <c r="J84" s="258"/>
      <c r="K84" s="258"/>
      <c r="L84" s="258"/>
      <c r="M84" s="258"/>
      <c r="N84" s="258"/>
      <c r="O84" s="258"/>
      <c r="P84" s="258"/>
      <c r="Q84" s="658">
        <f t="shared" si="7"/>
        <v>0</v>
      </c>
      <c r="R84" s="214"/>
      <c r="S84" s="3"/>
      <c r="T84" s="3"/>
      <c r="U84" s="3"/>
      <c r="V84" s="3"/>
      <c r="W84" s="3"/>
      <c r="X84" s="3"/>
      <c r="Y84" s="3"/>
      <c r="Z84" s="3"/>
      <c r="AA84" s="3"/>
      <c r="AB84" s="3"/>
      <c r="AC84" s="3"/>
      <c r="AD84" s="3"/>
      <c r="AE84" s="3"/>
      <c r="AF84" s="3"/>
      <c r="AG84" s="3"/>
      <c r="AH84" s="3"/>
    </row>
    <row r="85" spans="1:34" x14ac:dyDescent="0.2">
      <c r="A85" s="3"/>
      <c r="B85" s="212"/>
      <c r="C85" s="540"/>
      <c r="D85" s="940"/>
      <c r="E85" s="940"/>
      <c r="F85" s="941"/>
      <c r="G85" s="258"/>
      <c r="H85" s="258"/>
      <c r="I85" s="258"/>
      <c r="J85" s="258"/>
      <c r="K85" s="258"/>
      <c r="L85" s="258"/>
      <c r="M85" s="258"/>
      <c r="N85" s="258"/>
      <c r="O85" s="258"/>
      <c r="P85" s="258"/>
      <c r="Q85" s="658">
        <f t="shared" si="7"/>
        <v>0</v>
      </c>
      <c r="R85" s="214"/>
      <c r="S85" s="3"/>
      <c r="T85" s="3"/>
      <c r="U85" s="3"/>
      <c r="V85" s="3"/>
      <c r="W85" s="3"/>
      <c r="X85" s="3"/>
      <c r="Y85" s="3"/>
      <c r="Z85" s="3"/>
      <c r="AA85" s="3"/>
      <c r="AB85" s="3"/>
      <c r="AC85" s="3"/>
      <c r="AD85" s="3"/>
      <c r="AE85" s="3"/>
      <c r="AF85" s="3"/>
      <c r="AG85" s="3"/>
      <c r="AH85" s="3"/>
    </row>
    <row r="86" spans="1:34" x14ac:dyDescent="0.2">
      <c r="A86" s="3"/>
      <c r="B86" s="212"/>
      <c r="C86" s="540"/>
      <c r="D86" s="940"/>
      <c r="E86" s="940"/>
      <c r="F86" s="941"/>
      <c r="G86" s="258"/>
      <c r="H86" s="258"/>
      <c r="I86" s="258"/>
      <c r="J86" s="258"/>
      <c r="K86" s="258"/>
      <c r="L86" s="258"/>
      <c r="M86" s="258"/>
      <c r="N86" s="258"/>
      <c r="O86" s="258"/>
      <c r="P86" s="258"/>
      <c r="Q86" s="658">
        <f t="shared" si="7"/>
        <v>0</v>
      </c>
      <c r="R86" s="214"/>
      <c r="S86" s="3"/>
      <c r="T86" s="3"/>
      <c r="U86" s="3"/>
      <c r="V86" s="3"/>
      <c r="W86" s="3"/>
      <c r="X86" s="3"/>
      <c r="Y86" s="3"/>
      <c r="Z86" s="3"/>
      <c r="AA86" s="3"/>
      <c r="AB86" s="3"/>
      <c r="AC86" s="3"/>
      <c r="AD86" s="3"/>
      <c r="AE86" s="3"/>
      <c r="AF86" s="3"/>
      <c r="AG86" s="3"/>
      <c r="AH86" s="3"/>
    </row>
    <row r="87" spans="1:34" x14ac:dyDescent="0.2">
      <c r="A87" s="3"/>
      <c r="B87" s="212"/>
      <c r="C87" s="540"/>
      <c r="D87" s="940"/>
      <c r="E87" s="940"/>
      <c r="F87" s="941"/>
      <c r="G87" s="258"/>
      <c r="H87" s="258"/>
      <c r="I87" s="258"/>
      <c r="J87" s="258"/>
      <c r="K87" s="258"/>
      <c r="L87" s="258"/>
      <c r="M87" s="258"/>
      <c r="N87" s="258"/>
      <c r="O87" s="258"/>
      <c r="P87" s="258"/>
      <c r="Q87" s="658">
        <f t="shared" si="7"/>
        <v>0</v>
      </c>
      <c r="R87" s="214"/>
      <c r="S87" s="3"/>
      <c r="T87" s="3"/>
      <c r="U87" s="3"/>
      <c r="V87" s="3"/>
      <c r="W87" s="3"/>
      <c r="X87" s="3"/>
      <c r="Y87" s="3"/>
      <c r="Z87" s="3"/>
      <c r="AA87" s="3"/>
      <c r="AB87" s="3"/>
      <c r="AC87" s="3"/>
      <c r="AD87" s="3"/>
      <c r="AE87" s="3"/>
      <c r="AF87" s="3"/>
      <c r="AG87" s="3"/>
      <c r="AH87" s="3"/>
    </row>
    <row r="88" spans="1:34" x14ac:dyDescent="0.2">
      <c r="A88" s="3"/>
      <c r="B88" s="212"/>
      <c r="C88" s="540"/>
      <c r="D88" s="940"/>
      <c r="E88" s="940"/>
      <c r="F88" s="941"/>
      <c r="G88" s="258"/>
      <c r="H88" s="258"/>
      <c r="I88" s="258"/>
      <c r="J88" s="258"/>
      <c r="K88" s="258"/>
      <c r="L88" s="258"/>
      <c r="M88" s="258"/>
      <c r="N88" s="258"/>
      <c r="O88" s="258"/>
      <c r="P88" s="258"/>
      <c r="Q88" s="658">
        <f t="shared" si="7"/>
        <v>0</v>
      </c>
      <c r="R88" s="214"/>
      <c r="S88" s="3"/>
      <c r="T88" s="3"/>
      <c r="U88" s="3"/>
      <c r="V88" s="3"/>
      <c r="W88" s="3"/>
      <c r="X88" s="3"/>
      <c r="Y88" s="3"/>
      <c r="Z88" s="3"/>
      <c r="AA88" s="3"/>
      <c r="AB88" s="3"/>
      <c r="AC88" s="3"/>
      <c r="AD88" s="3"/>
      <c r="AE88" s="3"/>
      <c r="AF88" s="3"/>
      <c r="AG88" s="3"/>
      <c r="AH88" s="3"/>
    </row>
    <row r="89" spans="1:34" x14ac:dyDescent="0.2">
      <c r="A89" s="3"/>
      <c r="B89" s="212"/>
      <c r="C89" s="540"/>
      <c r="D89" s="940"/>
      <c r="E89" s="940"/>
      <c r="F89" s="941"/>
      <c r="G89" s="258"/>
      <c r="H89" s="258"/>
      <c r="I89" s="258"/>
      <c r="J89" s="258"/>
      <c r="K89" s="258"/>
      <c r="L89" s="258"/>
      <c r="M89" s="258"/>
      <c r="N89" s="258"/>
      <c r="O89" s="258"/>
      <c r="P89" s="258"/>
      <c r="Q89" s="658">
        <f t="shared" si="7"/>
        <v>0</v>
      </c>
      <c r="R89" s="214"/>
      <c r="S89" s="3"/>
      <c r="T89" s="3"/>
      <c r="U89" s="3"/>
      <c r="V89" s="3"/>
      <c r="W89" s="3"/>
      <c r="X89" s="3"/>
      <c r="Y89" s="3"/>
      <c r="Z89" s="3"/>
      <c r="AA89" s="3"/>
      <c r="AB89" s="3"/>
      <c r="AC89" s="3"/>
      <c r="AD89" s="3"/>
      <c r="AE89" s="3"/>
      <c r="AF89" s="3"/>
      <c r="AG89" s="3"/>
      <c r="AH89" s="3"/>
    </row>
    <row r="90" spans="1:34" x14ac:dyDescent="0.2">
      <c r="A90" s="3"/>
      <c r="B90" s="212"/>
      <c r="C90" s="540"/>
      <c r="D90" s="940"/>
      <c r="E90" s="940"/>
      <c r="F90" s="941"/>
      <c r="G90" s="258"/>
      <c r="H90" s="258"/>
      <c r="I90" s="258"/>
      <c r="J90" s="258"/>
      <c r="K90" s="258"/>
      <c r="L90" s="258"/>
      <c r="M90" s="258"/>
      <c r="N90" s="258"/>
      <c r="O90" s="258"/>
      <c r="P90" s="258"/>
      <c r="Q90" s="658">
        <f t="shared" si="7"/>
        <v>0</v>
      </c>
      <c r="R90" s="214"/>
      <c r="S90" s="3"/>
      <c r="T90" s="3"/>
      <c r="U90" s="3"/>
      <c r="V90" s="3"/>
      <c r="W90" s="3"/>
      <c r="X90" s="3"/>
      <c r="Y90" s="3"/>
      <c r="Z90" s="3"/>
      <c r="AA90" s="3"/>
      <c r="AB90" s="3"/>
      <c r="AC90" s="3"/>
      <c r="AD90" s="3"/>
      <c r="AE90" s="3"/>
      <c r="AF90" s="3"/>
      <c r="AG90" s="3"/>
      <c r="AH90" s="3"/>
    </row>
    <row r="91" spans="1:34" x14ac:dyDescent="0.2">
      <c r="A91" s="3"/>
      <c r="B91" s="212"/>
      <c r="C91" s="540"/>
      <c r="D91" s="940"/>
      <c r="E91" s="940"/>
      <c r="F91" s="941"/>
      <c r="G91" s="258"/>
      <c r="H91" s="258"/>
      <c r="I91" s="258"/>
      <c r="J91" s="258"/>
      <c r="K91" s="258"/>
      <c r="L91" s="258"/>
      <c r="M91" s="258"/>
      <c r="N91" s="258"/>
      <c r="O91" s="258"/>
      <c r="P91" s="258"/>
      <c r="Q91" s="658">
        <f t="shared" si="7"/>
        <v>0</v>
      </c>
      <c r="R91" s="214"/>
      <c r="S91" s="3"/>
      <c r="T91" s="3"/>
      <c r="U91" s="3"/>
      <c r="V91" s="3"/>
      <c r="W91" s="3"/>
      <c r="X91" s="3"/>
      <c r="Y91" s="3"/>
      <c r="Z91" s="3"/>
      <c r="AA91" s="3"/>
      <c r="AB91" s="3"/>
      <c r="AC91" s="3"/>
      <c r="AD91" s="3"/>
      <c r="AE91" s="3"/>
      <c r="AF91" s="3"/>
      <c r="AG91" s="3"/>
      <c r="AH91" s="3"/>
    </row>
    <row r="92" spans="1:34" x14ac:dyDescent="0.2">
      <c r="A92" s="3"/>
      <c r="B92" s="212"/>
      <c r="C92" s="540"/>
      <c r="D92" s="940"/>
      <c r="E92" s="940"/>
      <c r="F92" s="941"/>
      <c r="G92" s="258"/>
      <c r="H92" s="258"/>
      <c r="I92" s="258"/>
      <c r="J92" s="258"/>
      <c r="K92" s="258"/>
      <c r="L92" s="258"/>
      <c r="M92" s="258"/>
      <c r="N92" s="258"/>
      <c r="O92" s="258"/>
      <c r="P92" s="258"/>
      <c r="Q92" s="658">
        <f t="shared" si="7"/>
        <v>0</v>
      </c>
      <c r="R92" s="214"/>
      <c r="S92" s="3"/>
      <c r="T92" s="3"/>
      <c r="U92" s="3"/>
      <c r="V92" s="3"/>
      <c r="W92" s="3"/>
      <c r="X92" s="3"/>
      <c r="Y92" s="3"/>
      <c r="Z92" s="3"/>
      <c r="AA92" s="3"/>
      <c r="AB92" s="3"/>
      <c r="AC92" s="3"/>
      <c r="AD92" s="3"/>
      <c r="AE92" s="3"/>
      <c r="AF92" s="3"/>
      <c r="AG92" s="3"/>
      <c r="AH92" s="3"/>
    </row>
    <row r="93" spans="1:34" x14ac:dyDescent="0.2">
      <c r="A93" s="3"/>
      <c r="B93" s="212"/>
      <c r="C93" s="540"/>
      <c r="D93" s="940"/>
      <c r="E93" s="940"/>
      <c r="F93" s="941"/>
      <c r="G93" s="258"/>
      <c r="H93" s="258"/>
      <c r="I93" s="258"/>
      <c r="J93" s="258"/>
      <c r="K93" s="258"/>
      <c r="L93" s="258"/>
      <c r="M93" s="258"/>
      <c r="N93" s="258"/>
      <c r="O93" s="258"/>
      <c r="P93" s="258"/>
      <c r="Q93" s="658">
        <f t="shared" si="7"/>
        <v>0</v>
      </c>
      <c r="R93" s="214"/>
      <c r="S93" s="3"/>
      <c r="T93" s="3"/>
      <c r="U93" s="3"/>
      <c r="V93" s="3"/>
      <c r="W93" s="3"/>
      <c r="X93" s="3"/>
      <c r="Y93" s="3"/>
      <c r="Z93" s="3"/>
      <c r="AA93" s="3"/>
      <c r="AB93" s="3"/>
      <c r="AC93" s="3"/>
      <c r="AD93" s="3"/>
      <c r="AE93" s="3"/>
      <c r="AF93" s="3"/>
      <c r="AG93" s="3"/>
      <c r="AH93" s="3"/>
    </row>
    <row r="94" spans="1:34" x14ac:dyDescent="0.2">
      <c r="A94" s="3"/>
      <c r="B94" s="212"/>
      <c r="C94" s="540"/>
      <c r="D94" s="940"/>
      <c r="E94" s="940"/>
      <c r="F94" s="941"/>
      <c r="G94" s="258"/>
      <c r="H94" s="258"/>
      <c r="I94" s="258"/>
      <c r="J94" s="258"/>
      <c r="K94" s="258"/>
      <c r="L94" s="258"/>
      <c r="M94" s="258"/>
      <c r="N94" s="258"/>
      <c r="O94" s="258"/>
      <c r="P94" s="258"/>
      <c r="Q94" s="658">
        <f t="shared" si="7"/>
        <v>0</v>
      </c>
      <c r="R94" s="214"/>
      <c r="S94" s="3"/>
      <c r="T94" s="3"/>
      <c r="U94" s="3"/>
      <c r="V94" s="3"/>
      <c r="W94" s="3"/>
      <c r="X94" s="3"/>
      <c r="Y94" s="3"/>
      <c r="Z94" s="3"/>
      <c r="AA94" s="3"/>
      <c r="AB94" s="3"/>
      <c r="AC94" s="3"/>
      <c r="AD94" s="3"/>
      <c r="AE94" s="3"/>
      <c r="AF94" s="3"/>
      <c r="AG94" s="3"/>
      <c r="AH94" s="3"/>
    </row>
    <row r="95" spans="1:34" x14ac:dyDescent="0.2">
      <c r="A95" s="3"/>
      <c r="B95" s="212"/>
      <c r="C95" s="540"/>
      <c r="D95" s="940"/>
      <c r="E95" s="940"/>
      <c r="F95" s="941"/>
      <c r="G95" s="258"/>
      <c r="H95" s="258"/>
      <c r="I95" s="258"/>
      <c r="J95" s="258"/>
      <c r="K95" s="258"/>
      <c r="L95" s="258"/>
      <c r="M95" s="258"/>
      <c r="N95" s="258"/>
      <c r="O95" s="258"/>
      <c r="P95" s="258"/>
      <c r="Q95" s="658">
        <f t="shared" si="7"/>
        <v>0</v>
      </c>
      <c r="R95" s="214"/>
      <c r="S95" s="3"/>
      <c r="T95" s="3"/>
      <c r="U95" s="3"/>
      <c r="V95" s="3"/>
      <c r="W95" s="3"/>
      <c r="X95" s="3"/>
      <c r="Y95" s="3"/>
      <c r="Z95" s="3"/>
      <c r="AA95" s="3"/>
      <c r="AB95" s="3"/>
      <c r="AC95" s="3"/>
      <c r="AD95" s="3"/>
      <c r="AE95" s="3"/>
      <c r="AF95" s="3"/>
      <c r="AG95" s="3"/>
      <c r="AH95" s="3"/>
    </row>
    <row r="96" spans="1:34" x14ac:dyDescent="0.2">
      <c r="A96" s="3"/>
      <c r="B96" s="212"/>
      <c r="C96" s="540"/>
      <c r="D96" s="940"/>
      <c r="E96" s="940"/>
      <c r="F96" s="941"/>
      <c r="G96" s="258"/>
      <c r="H96" s="258"/>
      <c r="I96" s="258"/>
      <c r="J96" s="258"/>
      <c r="K96" s="258"/>
      <c r="L96" s="258"/>
      <c r="M96" s="258"/>
      <c r="N96" s="258"/>
      <c r="O96" s="258"/>
      <c r="P96" s="258"/>
      <c r="Q96" s="658">
        <f t="shared" si="7"/>
        <v>0</v>
      </c>
      <c r="R96" s="214"/>
      <c r="S96" s="3"/>
      <c r="T96" s="3"/>
      <c r="U96" s="3"/>
      <c r="V96" s="3"/>
      <c r="W96" s="3"/>
      <c r="X96" s="3"/>
      <c r="Y96" s="3"/>
      <c r="Z96" s="3"/>
      <c r="AA96" s="3"/>
      <c r="AB96" s="3"/>
      <c r="AC96" s="3"/>
      <c r="AD96" s="3"/>
      <c r="AE96" s="3"/>
      <c r="AF96" s="3"/>
      <c r="AG96" s="3"/>
      <c r="AH96" s="3"/>
    </row>
    <row r="97" spans="1:34" x14ac:dyDescent="0.2">
      <c r="A97" s="3"/>
      <c r="B97" s="212"/>
      <c r="C97" s="540"/>
      <c r="D97" s="940"/>
      <c r="E97" s="940"/>
      <c r="F97" s="941"/>
      <c r="G97" s="258"/>
      <c r="H97" s="258"/>
      <c r="I97" s="258"/>
      <c r="J97" s="258"/>
      <c r="K97" s="258"/>
      <c r="L97" s="258"/>
      <c r="M97" s="258"/>
      <c r="N97" s="258"/>
      <c r="O97" s="258"/>
      <c r="P97" s="258"/>
      <c r="Q97" s="658">
        <f t="shared" si="7"/>
        <v>0</v>
      </c>
      <c r="R97" s="214"/>
      <c r="S97" s="3"/>
      <c r="T97" s="3"/>
      <c r="U97" s="3"/>
      <c r="V97" s="3"/>
      <c r="W97" s="3"/>
      <c r="X97" s="3"/>
      <c r="Y97" s="3"/>
      <c r="Z97" s="3"/>
      <c r="AA97" s="3"/>
      <c r="AB97" s="3"/>
      <c r="AC97" s="3"/>
      <c r="AD97" s="3"/>
      <c r="AE97" s="3"/>
      <c r="AF97" s="3"/>
      <c r="AG97" s="3"/>
      <c r="AH97" s="3"/>
    </row>
    <row r="98" spans="1:34" x14ac:dyDescent="0.2">
      <c r="A98" s="3"/>
      <c r="B98" s="212"/>
      <c r="C98" s="540"/>
      <c r="D98" s="940"/>
      <c r="E98" s="940"/>
      <c r="F98" s="941"/>
      <c r="G98" s="258"/>
      <c r="H98" s="258"/>
      <c r="I98" s="258"/>
      <c r="J98" s="258"/>
      <c r="K98" s="258"/>
      <c r="L98" s="258"/>
      <c r="M98" s="258"/>
      <c r="N98" s="258"/>
      <c r="O98" s="258"/>
      <c r="P98" s="258"/>
      <c r="Q98" s="658">
        <f t="shared" si="7"/>
        <v>0</v>
      </c>
      <c r="R98" s="214"/>
      <c r="S98" s="3"/>
      <c r="T98" s="3"/>
      <c r="U98" s="3"/>
      <c r="V98" s="3"/>
      <c r="W98" s="3"/>
      <c r="X98" s="3"/>
      <c r="Y98" s="3"/>
      <c r="Z98" s="3"/>
      <c r="AA98" s="3"/>
      <c r="AB98" s="3"/>
      <c r="AC98" s="3"/>
      <c r="AD98" s="3"/>
      <c r="AE98" s="3"/>
      <c r="AF98" s="3"/>
      <c r="AG98" s="3"/>
      <c r="AH98" s="3"/>
    </row>
    <row r="99" spans="1:34" x14ac:dyDescent="0.2">
      <c r="A99" s="3"/>
      <c r="B99" s="212"/>
      <c r="C99" s="540"/>
      <c r="D99" s="940"/>
      <c r="E99" s="940"/>
      <c r="F99" s="941"/>
      <c r="G99" s="258"/>
      <c r="H99" s="258"/>
      <c r="I99" s="258"/>
      <c r="J99" s="258"/>
      <c r="K99" s="258"/>
      <c r="L99" s="258"/>
      <c r="M99" s="258"/>
      <c r="N99" s="258"/>
      <c r="O99" s="258"/>
      <c r="P99" s="258"/>
      <c r="Q99" s="658">
        <f t="shared" si="7"/>
        <v>0</v>
      </c>
      <c r="R99" s="214"/>
      <c r="S99" s="3"/>
      <c r="T99" s="3"/>
      <c r="U99" s="3"/>
      <c r="V99" s="3"/>
      <c r="W99" s="3"/>
      <c r="X99" s="3"/>
      <c r="Y99" s="3"/>
      <c r="Z99" s="3"/>
      <c r="AA99" s="3"/>
      <c r="AB99" s="3"/>
      <c r="AC99" s="3"/>
      <c r="AD99" s="3"/>
      <c r="AE99" s="3"/>
      <c r="AF99" s="3"/>
      <c r="AG99" s="3"/>
      <c r="AH99" s="3"/>
    </row>
    <row r="100" spans="1:34" x14ac:dyDescent="0.2">
      <c r="A100" s="3"/>
      <c r="B100" s="212"/>
      <c r="C100" s="540"/>
      <c r="D100" s="940"/>
      <c r="E100" s="940"/>
      <c r="F100" s="941"/>
      <c r="G100" s="258"/>
      <c r="H100" s="258"/>
      <c r="I100" s="258"/>
      <c r="J100" s="258"/>
      <c r="K100" s="258"/>
      <c r="L100" s="258"/>
      <c r="M100" s="258"/>
      <c r="N100" s="258"/>
      <c r="O100" s="258"/>
      <c r="P100" s="258"/>
      <c r="Q100" s="658">
        <f t="shared" si="7"/>
        <v>0</v>
      </c>
      <c r="R100" s="214"/>
      <c r="S100" s="3"/>
      <c r="T100" s="3"/>
      <c r="U100" s="3"/>
      <c r="V100" s="3"/>
      <c r="W100" s="3"/>
      <c r="X100" s="3"/>
      <c r="Y100" s="3"/>
      <c r="Z100" s="3"/>
      <c r="AA100" s="3"/>
      <c r="AB100" s="3"/>
      <c r="AC100" s="3"/>
      <c r="AD100" s="3"/>
      <c r="AE100" s="3"/>
      <c r="AF100" s="3"/>
      <c r="AG100" s="3"/>
      <c r="AH100" s="3"/>
    </row>
    <row r="101" spans="1:34" x14ac:dyDescent="0.2">
      <c r="A101" s="3"/>
      <c r="B101" s="212"/>
      <c r="C101" s="540"/>
      <c r="D101" s="940"/>
      <c r="E101" s="940"/>
      <c r="F101" s="941"/>
      <c r="G101" s="258"/>
      <c r="H101" s="258"/>
      <c r="I101" s="258"/>
      <c r="J101" s="258"/>
      <c r="K101" s="258"/>
      <c r="L101" s="258"/>
      <c r="M101" s="258"/>
      <c r="N101" s="258"/>
      <c r="O101" s="258"/>
      <c r="P101" s="258"/>
      <c r="Q101" s="658">
        <f t="shared" si="7"/>
        <v>0</v>
      </c>
      <c r="R101" s="214"/>
      <c r="S101" s="3"/>
      <c r="T101" s="3"/>
      <c r="U101" s="3"/>
      <c r="V101" s="3"/>
      <c r="W101" s="3"/>
      <c r="X101" s="3"/>
      <c r="Y101" s="3"/>
      <c r="Z101" s="3"/>
      <c r="AA101" s="3"/>
      <c r="AB101" s="3"/>
      <c r="AC101" s="3"/>
      <c r="AD101" s="3"/>
      <c r="AE101" s="3"/>
      <c r="AF101" s="3"/>
      <c r="AG101" s="3"/>
      <c r="AH101" s="3"/>
    </row>
    <row r="102" spans="1:34" x14ac:dyDescent="0.2">
      <c r="A102" s="3"/>
      <c r="B102" s="212"/>
      <c r="C102" s="540"/>
      <c r="D102" s="940"/>
      <c r="E102" s="940"/>
      <c r="F102" s="941"/>
      <c r="G102" s="258"/>
      <c r="H102" s="258"/>
      <c r="I102" s="258"/>
      <c r="J102" s="258"/>
      <c r="K102" s="258"/>
      <c r="L102" s="258"/>
      <c r="M102" s="258"/>
      <c r="N102" s="258"/>
      <c r="O102" s="258"/>
      <c r="P102" s="258"/>
      <c r="Q102" s="658">
        <f t="shared" si="7"/>
        <v>0</v>
      </c>
      <c r="R102" s="214"/>
      <c r="S102" s="3"/>
      <c r="T102" s="3"/>
      <c r="U102" s="3"/>
      <c r="V102" s="3"/>
      <c r="W102" s="3"/>
      <c r="X102" s="3"/>
      <c r="Y102" s="3"/>
      <c r="Z102" s="3"/>
      <c r="AA102" s="3"/>
      <c r="AB102" s="3"/>
      <c r="AC102" s="3"/>
      <c r="AD102" s="3"/>
      <c r="AE102" s="3"/>
      <c r="AF102" s="3"/>
      <c r="AG102" s="3"/>
      <c r="AH102" s="3"/>
    </row>
    <row r="103" spans="1:34" x14ac:dyDescent="0.2">
      <c r="A103" s="3"/>
      <c r="B103" s="212"/>
      <c r="C103" s="540"/>
      <c r="D103" s="940"/>
      <c r="E103" s="940"/>
      <c r="F103" s="941"/>
      <c r="G103" s="258"/>
      <c r="H103" s="258"/>
      <c r="I103" s="258"/>
      <c r="J103" s="258"/>
      <c r="K103" s="258"/>
      <c r="L103" s="258"/>
      <c r="M103" s="258"/>
      <c r="N103" s="258"/>
      <c r="O103" s="258"/>
      <c r="P103" s="258"/>
      <c r="Q103" s="658">
        <f t="shared" si="7"/>
        <v>0</v>
      </c>
      <c r="R103" s="214"/>
      <c r="S103" s="3"/>
      <c r="T103" s="3"/>
      <c r="U103" s="3"/>
      <c r="V103" s="3"/>
      <c r="W103" s="3"/>
      <c r="X103" s="3"/>
      <c r="Y103" s="3"/>
      <c r="Z103" s="3"/>
      <c r="AA103" s="3"/>
      <c r="AB103" s="3"/>
      <c r="AC103" s="3"/>
      <c r="AD103" s="3"/>
      <c r="AE103" s="3"/>
      <c r="AF103" s="3"/>
      <c r="AG103" s="3"/>
      <c r="AH103" s="3"/>
    </row>
    <row r="104" spans="1:34" x14ac:dyDescent="0.2">
      <c r="A104" s="3"/>
      <c r="B104" s="212"/>
      <c r="C104" s="540"/>
      <c r="D104" s="940"/>
      <c r="E104" s="940"/>
      <c r="F104" s="941"/>
      <c r="G104" s="258"/>
      <c r="H104" s="258"/>
      <c r="I104" s="258"/>
      <c r="J104" s="258"/>
      <c r="K104" s="258"/>
      <c r="L104" s="258"/>
      <c r="M104" s="258"/>
      <c r="N104" s="258"/>
      <c r="O104" s="258"/>
      <c r="P104" s="258"/>
      <c r="Q104" s="658">
        <f t="shared" si="7"/>
        <v>0</v>
      </c>
      <c r="R104" s="214"/>
      <c r="S104" s="3"/>
      <c r="T104" s="3"/>
      <c r="U104" s="3"/>
      <c r="V104" s="3"/>
      <c r="W104" s="3"/>
      <c r="X104" s="3"/>
      <c r="Y104" s="3"/>
      <c r="Z104" s="3"/>
      <c r="AA104" s="3"/>
      <c r="AB104" s="3"/>
      <c r="AC104" s="3"/>
      <c r="AD104" s="3"/>
      <c r="AE104" s="3"/>
      <c r="AF104" s="3"/>
      <c r="AG104" s="3"/>
      <c r="AH104" s="3"/>
    </row>
    <row r="105" spans="1:34" x14ac:dyDescent="0.2">
      <c r="A105" s="3"/>
      <c r="B105" s="212"/>
      <c r="C105" s="540"/>
      <c r="D105" s="940"/>
      <c r="E105" s="940"/>
      <c r="F105" s="941"/>
      <c r="G105" s="258"/>
      <c r="H105" s="258"/>
      <c r="I105" s="258"/>
      <c r="J105" s="258"/>
      <c r="K105" s="258"/>
      <c r="L105" s="258"/>
      <c r="M105" s="258"/>
      <c r="N105" s="258"/>
      <c r="O105" s="258"/>
      <c r="P105" s="258"/>
      <c r="Q105" s="658">
        <f t="shared" si="7"/>
        <v>0</v>
      </c>
      <c r="R105" s="214"/>
      <c r="S105" s="3"/>
      <c r="T105" s="3"/>
      <c r="U105" s="3"/>
      <c r="V105" s="3"/>
      <c r="W105" s="3"/>
      <c r="X105" s="3"/>
      <c r="Y105" s="3"/>
      <c r="Z105" s="3"/>
      <c r="AA105" s="3"/>
      <c r="AB105" s="3"/>
      <c r="AC105" s="3"/>
      <c r="AD105" s="3"/>
      <c r="AE105" s="3"/>
      <c r="AF105" s="3"/>
      <c r="AG105" s="3"/>
      <c r="AH105" s="3"/>
    </row>
    <row r="106" spans="1:34" x14ac:dyDescent="0.2">
      <c r="A106" s="3"/>
      <c r="B106" s="212"/>
      <c r="C106" s="540"/>
      <c r="D106" s="940"/>
      <c r="E106" s="940"/>
      <c r="F106" s="941"/>
      <c r="G106" s="258"/>
      <c r="H106" s="258"/>
      <c r="I106" s="258"/>
      <c r="J106" s="258"/>
      <c r="K106" s="258"/>
      <c r="L106" s="258"/>
      <c r="M106" s="258"/>
      <c r="N106" s="258"/>
      <c r="O106" s="258"/>
      <c r="P106" s="258"/>
      <c r="Q106" s="658">
        <f t="shared" si="7"/>
        <v>0</v>
      </c>
      <c r="R106" s="214"/>
      <c r="S106" s="3"/>
      <c r="T106" s="3"/>
      <c r="U106" s="3"/>
      <c r="V106" s="3"/>
      <c r="W106" s="3"/>
      <c r="X106" s="3"/>
      <c r="Y106" s="3"/>
      <c r="Z106" s="3"/>
      <c r="AA106" s="3"/>
      <c r="AB106" s="3"/>
      <c r="AC106" s="3"/>
      <c r="AD106" s="3"/>
      <c r="AE106" s="3"/>
      <c r="AF106" s="3"/>
      <c r="AG106" s="3"/>
      <c r="AH106" s="3"/>
    </row>
    <row r="107" spans="1:34" x14ac:dyDescent="0.2">
      <c r="A107" s="3"/>
      <c r="B107" s="212"/>
      <c r="C107" s="540"/>
      <c r="D107" s="940"/>
      <c r="E107" s="940"/>
      <c r="F107" s="941"/>
      <c r="G107" s="258"/>
      <c r="H107" s="258"/>
      <c r="I107" s="258"/>
      <c r="J107" s="258"/>
      <c r="K107" s="258"/>
      <c r="L107" s="258"/>
      <c r="M107" s="258"/>
      <c r="N107" s="258"/>
      <c r="O107" s="258"/>
      <c r="P107" s="258"/>
      <c r="Q107" s="658">
        <f t="shared" si="7"/>
        <v>0</v>
      </c>
      <c r="R107" s="214"/>
      <c r="S107" s="3"/>
      <c r="T107" s="3"/>
      <c r="U107" s="3"/>
      <c r="V107" s="3"/>
      <c r="W107" s="3"/>
      <c r="X107" s="3"/>
      <c r="Y107" s="3"/>
      <c r="Z107" s="3"/>
      <c r="AA107" s="3"/>
      <c r="AB107" s="3"/>
      <c r="AC107" s="3"/>
      <c r="AD107" s="3"/>
      <c r="AE107" s="3"/>
      <c r="AF107" s="3"/>
      <c r="AG107" s="3"/>
      <c r="AH107" s="3"/>
    </row>
    <row r="108" spans="1:34" x14ac:dyDescent="0.2">
      <c r="A108" s="3"/>
      <c r="B108" s="212"/>
      <c r="C108" s="540"/>
      <c r="D108" s="940"/>
      <c r="E108" s="940"/>
      <c r="F108" s="941"/>
      <c r="G108" s="258"/>
      <c r="H108" s="258"/>
      <c r="I108" s="258"/>
      <c r="J108" s="258"/>
      <c r="K108" s="258"/>
      <c r="L108" s="258"/>
      <c r="M108" s="258"/>
      <c r="N108" s="258"/>
      <c r="O108" s="258"/>
      <c r="P108" s="258"/>
      <c r="Q108" s="658">
        <f t="shared" si="7"/>
        <v>0</v>
      </c>
      <c r="R108" s="214"/>
      <c r="S108" s="3"/>
      <c r="T108" s="3"/>
      <c r="U108" s="3"/>
      <c r="V108" s="3"/>
      <c r="W108" s="3"/>
      <c r="X108" s="3"/>
      <c r="Y108" s="3"/>
      <c r="Z108" s="3"/>
      <c r="AA108" s="3"/>
      <c r="AB108" s="3"/>
      <c r="AC108" s="3"/>
      <c r="AD108" s="3"/>
      <c r="AE108" s="3"/>
      <c r="AF108" s="3"/>
      <c r="AG108" s="3"/>
      <c r="AH108" s="3"/>
    </row>
    <row r="109" spans="1:34" x14ac:dyDescent="0.2">
      <c r="A109" s="3"/>
      <c r="B109" s="212"/>
      <c r="C109" s="540"/>
      <c r="D109" s="940"/>
      <c r="E109" s="940"/>
      <c r="F109" s="941"/>
      <c r="G109" s="258"/>
      <c r="H109" s="258"/>
      <c r="I109" s="258"/>
      <c r="J109" s="258"/>
      <c r="K109" s="258"/>
      <c r="L109" s="258"/>
      <c r="M109" s="258"/>
      <c r="N109" s="258"/>
      <c r="O109" s="258"/>
      <c r="P109" s="258"/>
      <c r="Q109" s="658">
        <f t="shared" si="7"/>
        <v>0</v>
      </c>
      <c r="R109" s="214"/>
      <c r="S109" s="3"/>
      <c r="T109" s="3"/>
      <c r="U109" s="3"/>
      <c r="V109" s="3"/>
      <c r="W109" s="3"/>
      <c r="X109" s="3"/>
      <c r="Y109" s="3"/>
      <c r="Z109" s="3"/>
      <c r="AA109" s="3"/>
      <c r="AB109" s="3"/>
      <c r="AC109" s="3"/>
      <c r="AD109" s="3"/>
      <c r="AE109" s="3"/>
      <c r="AF109" s="3"/>
      <c r="AG109" s="3"/>
      <c r="AH109" s="3"/>
    </row>
    <row r="110" spans="1:34" x14ac:dyDescent="0.2">
      <c r="A110" s="3"/>
      <c r="B110" s="212"/>
      <c r="C110" s="540"/>
      <c r="D110" s="940"/>
      <c r="E110" s="940"/>
      <c r="F110" s="941"/>
      <c r="G110" s="258"/>
      <c r="H110" s="258"/>
      <c r="I110" s="258"/>
      <c r="J110" s="258"/>
      <c r="K110" s="258"/>
      <c r="L110" s="258"/>
      <c r="M110" s="258"/>
      <c r="N110" s="258"/>
      <c r="O110" s="258"/>
      <c r="P110" s="258"/>
      <c r="Q110" s="658">
        <f t="shared" si="7"/>
        <v>0</v>
      </c>
      <c r="R110" s="214"/>
      <c r="S110" s="3"/>
      <c r="T110" s="3"/>
      <c r="U110" s="3"/>
      <c r="V110" s="3"/>
      <c r="W110" s="3"/>
      <c r="X110" s="3"/>
      <c r="Y110" s="3"/>
      <c r="Z110" s="3"/>
      <c r="AA110" s="3"/>
      <c r="AB110" s="3"/>
      <c r="AC110" s="3"/>
      <c r="AD110" s="3"/>
      <c r="AE110" s="3"/>
      <c r="AF110" s="3"/>
      <c r="AG110" s="3"/>
      <c r="AH110" s="3"/>
    </row>
    <row r="111" spans="1:34" x14ac:dyDescent="0.2">
      <c r="A111" s="3"/>
      <c r="B111" s="212"/>
      <c r="C111" s="540"/>
      <c r="D111" s="940"/>
      <c r="E111" s="940"/>
      <c r="F111" s="941"/>
      <c r="G111" s="258"/>
      <c r="H111" s="258"/>
      <c r="I111" s="258"/>
      <c r="J111" s="258"/>
      <c r="K111" s="258"/>
      <c r="L111" s="258"/>
      <c r="M111" s="258"/>
      <c r="N111" s="258"/>
      <c r="O111" s="258"/>
      <c r="P111" s="258"/>
      <c r="Q111" s="658">
        <f t="shared" si="7"/>
        <v>0</v>
      </c>
      <c r="R111" s="214"/>
      <c r="S111" s="3"/>
      <c r="T111" s="3"/>
      <c r="U111" s="3"/>
      <c r="V111" s="3"/>
      <c r="W111" s="3"/>
      <c r="X111" s="3"/>
      <c r="Y111" s="3"/>
      <c r="Z111" s="3"/>
      <c r="AA111" s="3"/>
      <c r="AB111" s="3"/>
      <c r="AC111" s="3"/>
      <c r="AD111" s="3"/>
      <c r="AE111" s="3"/>
      <c r="AF111" s="3"/>
      <c r="AG111" s="3"/>
      <c r="AH111" s="3"/>
    </row>
    <row r="112" spans="1:34" x14ac:dyDescent="0.2">
      <c r="A112" s="3"/>
      <c r="B112" s="212"/>
      <c r="C112" s="280"/>
      <c r="D112" s="276"/>
      <c r="E112" s="276"/>
      <c r="F112" s="277"/>
      <c r="G112" s="258"/>
      <c r="H112" s="258"/>
      <c r="I112" s="258"/>
      <c r="J112" s="258"/>
      <c r="K112" s="258"/>
      <c r="L112" s="258"/>
      <c r="M112" s="258"/>
      <c r="N112" s="258"/>
      <c r="O112" s="258"/>
      <c r="P112" s="258"/>
      <c r="Q112" s="658">
        <f t="shared" si="7"/>
        <v>0</v>
      </c>
      <c r="R112" s="214"/>
      <c r="S112" s="3"/>
      <c r="T112" s="3"/>
      <c r="U112" s="3"/>
      <c r="V112" s="3"/>
      <c r="W112" s="3"/>
      <c r="X112" s="3"/>
      <c r="Y112" s="3"/>
      <c r="Z112" s="3"/>
      <c r="AA112" s="3"/>
      <c r="AB112" s="3"/>
      <c r="AC112" s="3"/>
      <c r="AD112" s="3"/>
      <c r="AE112" s="3"/>
      <c r="AF112" s="3"/>
      <c r="AG112" s="3"/>
      <c r="AH112" s="3"/>
    </row>
    <row r="113" spans="1:34" ht="12" x14ac:dyDescent="0.2">
      <c r="A113" s="3"/>
      <c r="B113" s="212"/>
      <c r="C113" s="794" t="s">
        <v>869</v>
      </c>
      <c r="D113" s="789"/>
      <c r="E113" s="789"/>
      <c r="F113" s="789"/>
      <c r="G113" s="192"/>
      <c r="H113" s="795"/>
      <c r="I113" s="795"/>
      <c r="J113" s="795"/>
      <c r="K113" s="795"/>
      <c r="L113" s="795"/>
      <c r="M113" s="795"/>
      <c r="N113" s="795"/>
      <c r="O113" s="795"/>
      <c r="P113" s="795"/>
      <c r="Q113" s="658"/>
      <c r="R113" s="214"/>
      <c r="S113" s="3"/>
      <c r="T113" s="3"/>
      <c r="U113" s="3"/>
      <c r="V113" s="3"/>
      <c r="W113" s="3"/>
      <c r="X113" s="3"/>
      <c r="Y113" s="3"/>
      <c r="Z113" s="3"/>
      <c r="AA113" s="3"/>
      <c r="AB113" s="3"/>
      <c r="AC113" s="3"/>
      <c r="AD113" s="3"/>
      <c r="AE113" s="3"/>
      <c r="AF113" s="3"/>
      <c r="AG113" s="3"/>
      <c r="AH113" s="3"/>
    </row>
    <row r="114" spans="1:34" x14ac:dyDescent="0.2">
      <c r="A114" s="3"/>
      <c r="B114" s="212"/>
      <c r="C114" s="773" t="s">
        <v>870</v>
      </c>
      <c r="D114" s="940"/>
      <c r="E114" s="940"/>
      <c r="F114" s="941"/>
      <c r="G114" s="258">
        <v>260000</v>
      </c>
      <c r="H114" s="258">
        <v>273000</v>
      </c>
      <c r="I114" s="258">
        <v>286650</v>
      </c>
      <c r="J114" s="258">
        <v>300982.5</v>
      </c>
      <c r="K114" s="258">
        <v>316031.625</v>
      </c>
      <c r="L114" s="258">
        <v>331833.20624999999</v>
      </c>
      <c r="M114" s="258">
        <v>348424.86656250001</v>
      </c>
      <c r="N114" s="258">
        <v>365846.10989062506</v>
      </c>
      <c r="O114" s="258">
        <v>384138.41538515635</v>
      </c>
      <c r="P114" s="258">
        <v>403345.33615441417</v>
      </c>
      <c r="Q114" s="658">
        <f t="shared" ref="Q114:Q135" si="8">SUM(G114:P114)-SUMIF($G$21:$P$21,$V$20,G114:P114)</f>
        <v>3270252.0592426956</v>
      </c>
      <c r="R114" s="214"/>
      <c r="S114" s="3"/>
      <c r="T114" s="3"/>
      <c r="U114" s="3"/>
      <c r="V114" s="3"/>
      <c r="W114" s="3"/>
      <c r="X114" s="3"/>
      <c r="Y114" s="3"/>
      <c r="Z114" s="3"/>
      <c r="AA114" s="3"/>
      <c r="AB114" s="3"/>
      <c r="AC114" s="3"/>
      <c r="AD114" s="3"/>
      <c r="AE114" s="3"/>
      <c r="AF114" s="3"/>
      <c r="AG114" s="3"/>
      <c r="AH114" s="3"/>
    </row>
    <row r="115" spans="1:34" x14ac:dyDescent="0.2">
      <c r="A115" s="3"/>
      <c r="B115" s="212"/>
      <c r="C115" s="773" t="s">
        <v>871</v>
      </c>
      <c r="D115" s="940"/>
      <c r="E115" s="940"/>
      <c r="F115" s="941"/>
      <c r="G115" s="258">
        <v>1392600</v>
      </c>
      <c r="H115" s="258">
        <v>1392600</v>
      </c>
      <c r="I115" s="258">
        <v>1392600</v>
      </c>
      <c r="J115" s="258">
        <v>1392600</v>
      </c>
      <c r="K115" s="258">
        <v>1392600</v>
      </c>
      <c r="L115" s="258">
        <v>1392600</v>
      </c>
      <c r="M115" s="258">
        <v>1392600</v>
      </c>
      <c r="N115" s="258">
        <v>1392600</v>
      </c>
      <c r="O115" s="258">
        <v>1392600</v>
      </c>
      <c r="P115" s="258">
        <v>1392600</v>
      </c>
      <c r="Q115" s="658">
        <f t="shared" si="8"/>
        <v>13926000</v>
      </c>
      <c r="R115" s="214"/>
      <c r="S115" s="3"/>
      <c r="T115" s="3"/>
      <c r="U115" s="3"/>
      <c r="V115" s="3"/>
      <c r="W115" s="3"/>
      <c r="X115" s="3"/>
      <c r="Y115" s="3"/>
      <c r="Z115" s="3"/>
      <c r="AA115" s="3"/>
      <c r="AB115" s="3"/>
      <c r="AC115" s="3"/>
      <c r="AD115" s="3"/>
      <c r="AE115" s="3"/>
      <c r="AF115" s="3"/>
      <c r="AG115" s="3"/>
      <c r="AH115" s="3"/>
    </row>
    <row r="116" spans="1:34" x14ac:dyDescent="0.2">
      <c r="A116" s="3"/>
      <c r="B116" s="212"/>
      <c r="C116" s="773" t="s">
        <v>872</v>
      </c>
      <c r="D116" s="940"/>
      <c r="E116" s="940"/>
      <c r="F116" s="941"/>
      <c r="G116" s="258">
        <v>430700</v>
      </c>
      <c r="H116" s="258">
        <v>430700</v>
      </c>
      <c r="I116" s="258">
        <v>430700</v>
      </c>
      <c r="J116" s="258">
        <v>430700</v>
      </c>
      <c r="K116" s="258">
        <v>430700</v>
      </c>
      <c r="L116" s="258">
        <v>430700</v>
      </c>
      <c r="M116" s="258">
        <v>430700</v>
      </c>
      <c r="N116" s="258">
        <v>430700</v>
      </c>
      <c r="O116" s="258">
        <v>430700</v>
      </c>
      <c r="P116" s="258">
        <v>430700</v>
      </c>
      <c r="Q116" s="658">
        <f t="shared" si="8"/>
        <v>4307000</v>
      </c>
      <c r="R116" s="214"/>
      <c r="S116" s="3"/>
      <c r="T116" s="3"/>
      <c r="U116" s="3"/>
      <c r="V116" s="3"/>
      <c r="W116" s="3"/>
      <c r="X116" s="3"/>
      <c r="Y116" s="3"/>
      <c r="Z116" s="3"/>
      <c r="AA116" s="3"/>
      <c r="AB116" s="3"/>
      <c r="AC116" s="3"/>
      <c r="AD116" s="3"/>
      <c r="AE116" s="3"/>
      <c r="AF116" s="3"/>
      <c r="AG116" s="3"/>
      <c r="AH116" s="3"/>
    </row>
    <row r="117" spans="1:34" x14ac:dyDescent="0.2">
      <c r="A117" s="3"/>
      <c r="B117" s="212"/>
      <c r="C117" s="773" t="s">
        <v>873</v>
      </c>
      <c r="D117" s="940"/>
      <c r="E117" s="940"/>
      <c r="F117" s="941"/>
      <c r="G117" s="258">
        <v>1000000</v>
      </c>
      <c r="H117" s="258">
        <v>1000000</v>
      </c>
      <c r="I117" s="258">
        <v>1000000</v>
      </c>
      <c r="J117" s="258">
        <v>1000000</v>
      </c>
      <c r="K117" s="258">
        <v>1000000</v>
      </c>
      <c r="L117" s="258">
        <v>1000000</v>
      </c>
      <c r="M117" s="258">
        <v>1000000</v>
      </c>
      <c r="N117" s="258">
        <v>1000000</v>
      </c>
      <c r="O117" s="258">
        <v>1000000</v>
      </c>
      <c r="P117" s="258">
        <v>1000000</v>
      </c>
      <c r="Q117" s="658">
        <f t="shared" si="8"/>
        <v>10000000</v>
      </c>
      <c r="R117" s="214"/>
      <c r="S117" s="3"/>
      <c r="T117" s="3"/>
      <c r="U117" s="3"/>
      <c r="V117" s="3"/>
      <c r="W117" s="3"/>
      <c r="X117" s="3"/>
      <c r="Y117" s="3"/>
      <c r="Z117" s="3"/>
      <c r="AA117" s="3"/>
      <c r="AB117" s="3"/>
      <c r="AC117" s="3"/>
      <c r="AD117" s="3"/>
      <c r="AE117" s="3"/>
      <c r="AF117" s="3"/>
      <c r="AG117" s="3"/>
      <c r="AH117" s="3"/>
    </row>
    <row r="118" spans="1:34" x14ac:dyDescent="0.2">
      <c r="A118" s="3"/>
      <c r="B118" s="212"/>
      <c r="C118" s="773" t="s">
        <v>874</v>
      </c>
      <c r="D118" s="940"/>
      <c r="E118" s="940"/>
      <c r="F118" s="941"/>
      <c r="G118" s="258">
        <v>85000</v>
      </c>
      <c r="H118" s="258">
        <v>85000</v>
      </c>
      <c r="I118" s="258">
        <v>85000</v>
      </c>
      <c r="J118" s="258">
        <v>85000</v>
      </c>
      <c r="K118" s="258">
        <v>85000</v>
      </c>
      <c r="L118" s="258">
        <v>85000</v>
      </c>
      <c r="M118" s="258">
        <v>85000</v>
      </c>
      <c r="N118" s="258">
        <v>85000</v>
      </c>
      <c r="O118" s="258">
        <v>85000</v>
      </c>
      <c r="P118" s="258">
        <v>85000</v>
      </c>
      <c r="Q118" s="658">
        <f t="shared" si="8"/>
        <v>850000</v>
      </c>
      <c r="R118" s="214"/>
      <c r="S118" s="3"/>
      <c r="T118" s="3"/>
      <c r="U118" s="3"/>
      <c r="V118" s="3"/>
      <c r="W118" s="3"/>
      <c r="X118" s="3"/>
      <c r="Y118" s="3"/>
      <c r="Z118" s="3"/>
      <c r="AA118" s="3"/>
      <c r="AB118" s="3"/>
      <c r="AC118" s="3"/>
      <c r="AD118" s="3"/>
      <c r="AE118" s="3"/>
      <c r="AF118" s="3"/>
      <c r="AG118" s="3"/>
      <c r="AH118" s="3"/>
    </row>
    <row r="119" spans="1:34" x14ac:dyDescent="0.2">
      <c r="A119" s="3"/>
      <c r="B119" s="212"/>
      <c r="C119" s="773" t="s">
        <v>1074</v>
      </c>
      <c r="D119" s="940"/>
      <c r="E119" s="940"/>
      <c r="F119" s="941"/>
      <c r="G119" s="258">
        <v>331000</v>
      </c>
      <c r="H119" s="258">
        <v>330000</v>
      </c>
      <c r="I119" s="258">
        <v>339000</v>
      </c>
      <c r="J119" s="258">
        <v>359000</v>
      </c>
      <c r="K119" s="258">
        <v>390000</v>
      </c>
      <c r="L119" s="258">
        <v>388000</v>
      </c>
      <c r="M119" s="258">
        <v>373000</v>
      </c>
      <c r="N119" s="258">
        <v>382000</v>
      </c>
      <c r="O119" s="258">
        <v>392000</v>
      </c>
      <c r="P119" s="258">
        <v>401000</v>
      </c>
      <c r="Q119" s="658">
        <f t="shared" si="8"/>
        <v>3685000</v>
      </c>
      <c r="R119" s="214"/>
      <c r="S119" s="3"/>
      <c r="T119" s="3"/>
      <c r="U119" s="3"/>
      <c r="V119" s="3"/>
      <c r="W119" s="3"/>
      <c r="X119" s="3"/>
      <c r="Y119" s="3"/>
      <c r="Z119" s="3"/>
      <c r="AA119" s="3"/>
      <c r="AB119" s="3"/>
      <c r="AC119" s="3"/>
      <c r="AD119" s="3"/>
      <c r="AE119" s="3"/>
      <c r="AF119" s="3"/>
      <c r="AG119" s="3"/>
      <c r="AH119" s="3"/>
    </row>
    <row r="120" spans="1:34" x14ac:dyDescent="0.2">
      <c r="A120" s="3"/>
      <c r="B120" s="212"/>
      <c r="C120" s="773"/>
      <c r="D120" s="940"/>
      <c r="E120" s="940"/>
      <c r="F120" s="941"/>
      <c r="G120" s="258"/>
      <c r="H120" s="258"/>
      <c r="I120" s="258"/>
      <c r="J120" s="258"/>
      <c r="K120" s="258"/>
      <c r="L120" s="258"/>
      <c r="M120" s="258"/>
      <c r="N120" s="258"/>
      <c r="O120" s="258"/>
      <c r="P120" s="258"/>
      <c r="Q120" s="658">
        <f t="shared" si="8"/>
        <v>0</v>
      </c>
      <c r="R120" s="214"/>
      <c r="S120" s="3"/>
      <c r="T120" s="3"/>
      <c r="U120" s="3"/>
      <c r="V120" s="3"/>
      <c r="W120" s="3"/>
      <c r="X120" s="3"/>
      <c r="Y120" s="3"/>
      <c r="Z120" s="3"/>
      <c r="AA120" s="3"/>
      <c r="AB120" s="3"/>
      <c r="AC120" s="3"/>
      <c r="AD120" s="3"/>
      <c r="AE120" s="3"/>
      <c r="AF120" s="3"/>
      <c r="AG120" s="3"/>
      <c r="AH120" s="3"/>
    </row>
    <row r="121" spans="1:34" x14ac:dyDescent="0.2">
      <c r="A121" s="3"/>
      <c r="B121" s="212"/>
      <c r="C121" s="773"/>
      <c r="D121" s="940"/>
      <c r="E121" s="940"/>
      <c r="F121" s="941"/>
      <c r="G121" s="258"/>
      <c r="H121" s="258"/>
      <c r="I121" s="258"/>
      <c r="J121" s="258"/>
      <c r="K121" s="258"/>
      <c r="L121" s="258"/>
      <c r="M121" s="258"/>
      <c r="N121" s="258"/>
      <c r="O121" s="258"/>
      <c r="P121" s="258"/>
      <c r="Q121" s="658">
        <f t="shared" si="8"/>
        <v>0</v>
      </c>
      <c r="R121" s="214"/>
      <c r="S121" s="3"/>
      <c r="T121" s="3"/>
      <c r="U121" s="3"/>
      <c r="V121" s="3"/>
      <c r="W121" s="3"/>
      <c r="X121" s="3"/>
      <c r="Y121" s="3"/>
      <c r="Z121" s="3"/>
      <c r="AA121" s="3"/>
      <c r="AB121" s="3"/>
      <c r="AC121" s="3"/>
      <c r="AD121" s="3"/>
      <c r="AE121" s="3"/>
      <c r="AF121" s="3"/>
      <c r="AG121" s="3"/>
      <c r="AH121" s="3"/>
    </row>
    <row r="122" spans="1:34" x14ac:dyDescent="0.2">
      <c r="A122" s="3"/>
      <c r="B122" s="212"/>
      <c r="C122" s="773"/>
      <c r="D122" s="940"/>
      <c r="E122" s="940"/>
      <c r="F122" s="941"/>
      <c r="G122" s="258"/>
      <c r="H122" s="258"/>
      <c r="I122" s="258"/>
      <c r="J122" s="258"/>
      <c r="K122" s="258"/>
      <c r="L122" s="258"/>
      <c r="M122" s="258"/>
      <c r="N122" s="258"/>
      <c r="O122" s="258"/>
      <c r="P122" s="258"/>
      <c r="Q122" s="658">
        <f t="shared" si="8"/>
        <v>0</v>
      </c>
      <c r="R122" s="214"/>
      <c r="S122" s="3"/>
      <c r="T122" s="3"/>
      <c r="U122" s="3"/>
      <c r="V122" s="3"/>
      <c r="W122" s="3"/>
      <c r="X122" s="3"/>
      <c r="Y122" s="3"/>
      <c r="Z122" s="3"/>
      <c r="AA122" s="3"/>
      <c r="AB122" s="3"/>
      <c r="AC122" s="3"/>
      <c r="AD122" s="3"/>
      <c r="AE122" s="3"/>
      <c r="AF122" s="3"/>
      <c r="AG122" s="3"/>
      <c r="AH122" s="3"/>
    </row>
    <row r="123" spans="1:34" x14ac:dyDescent="0.2">
      <c r="A123" s="3"/>
      <c r="B123" s="212"/>
      <c r="C123" s="773"/>
      <c r="D123" s="940"/>
      <c r="E123" s="940"/>
      <c r="F123" s="941"/>
      <c r="G123" s="258"/>
      <c r="H123" s="258"/>
      <c r="I123" s="258"/>
      <c r="J123" s="258"/>
      <c r="K123" s="258"/>
      <c r="L123" s="258"/>
      <c r="M123" s="258"/>
      <c r="N123" s="258"/>
      <c r="O123" s="258"/>
      <c r="P123" s="258"/>
      <c r="Q123" s="658">
        <f t="shared" si="8"/>
        <v>0</v>
      </c>
      <c r="R123" s="214"/>
      <c r="S123" s="3"/>
      <c r="T123" s="3"/>
      <c r="U123" s="3"/>
      <c r="V123" s="3"/>
      <c r="W123" s="3"/>
      <c r="X123" s="3"/>
      <c r="Y123" s="3"/>
      <c r="Z123" s="3"/>
      <c r="AA123" s="3"/>
      <c r="AB123" s="3"/>
      <c r="AC123" s="3"/>
      <c r="AD123" s="3"/>
      <c r="AE123" s="3"/>
      <c r="AF123" s="3"/>
      <c r="AG123" s="3"/>
      <c r="AH123" s="3"/>
    </row>
    <row r="124" spans="1:34" x14ac:dyDescent="0.2">
      <c r="A124" s="3"/>
      <c r="B124" s="212"/>
      <c r="C124" s="773"/>
      <c r="D124" s="940"/>
      <c r="E124" s="940"/>
      <c r="F124" s="941"/>
      <c r="G124" s="258"/>
      <c r="H124" s="258"/>
      <c r="I124" s="258"/>
      <c r="J124" s="258"/>
      <c r="K124" s="258"/>
      <c r="L124" s="258"/>
      <c r="M124" s="258"/>
      <c r="N124" s="258"/>
      <c r="O124" s="258"/>
      <c r="P124" s="258"/>
      <c r="Q124" s="658">
        <f t="shared" si="8"/>
        <v>0</v>
      </c>
      <c r="R124" s="214"/>
      <c r="S124" s="3"/>
      <c r="T124" s="3"/>
      <c r="U124" s="3"/>
      <c r="V124" s="3"/>
      <c r="W124" s="3"/>
      <c r="X124" s="3"/>
      <c r="Y124" s="3"/>
      <c r="Z124" s="3"/>
      <c r="AA124" s="3"/>
      <c r="AB124" s="3"/>
      <c r="AC124" s="3"/>
      <c r="AD124" s="3"/>
      <c r="AE124" s="3"/>
      <c r="AF124" s="3"/>
      <c r="AG124" s="3"/>
      <c r="AH124" s="3"/>
    </row>
    <row r="125" spans="1:34" x14ac:dyDescent="0.2">
      <c r="A125" s="3"/>
      <c r="B125" s="212"/>
      <c r="C125" s="773"/>
      <c r="D125" s="940"/>
      <c r="E125" s="940"/>
      <c r="F125" s="941"/>
      <c r="G125" s="258"/>
      <c r="H125" s="258"/>
      <c r="I125" s="258"/>
      <c r="J125" s="258"/>
      <c r="K125" s="258"/>
      <c r="L125" s="258"/>
      <c r="M125" s="258"/>
      <c r="N125" s="258"/>
      <c r="O125" s="258"/>
      <c r="P125" s="258"/>
      <c r="Q125" s="658">
        <f t="shared" si="8"/>
        <v>0</v>
      </c>
      <c r="R125" s="214"/>
      <c r="S125" s="3"/>
      <c r="T125" s="3"/>
      <c r="U125" s="3"/>
      <c r="V125" s="3"/>
      <c r="W125" s="3"/>
      <c r="X125" s="3"/>
      <c r="Y125" s="3"/>
      <c r="Z125" s="3"/>
      <c r="AA125" s="3"/>
      <c r="AB125" s="3"/>
      <c r="AC125" s="3"/>
      <c r="AD125" s="3"/>
      <c r="AE125" s="3"/>
      <c r="AF125" s="3"/>
      <c r="AG125" s="3"/>
      <c r="AH125" s="3"/>
    </row>
    <row r="126" spans="1:34" x14ac:dyDescent="0.2">
      <c r="A126" s="3"/>
      <c r="B126" s="212"/>
      <c r="C126" s="773"/>
      <c r="D126" s="940"/>
      <c r="E126" s="940"/>
      <c r="F126" s="941"/>
      <c r="G126" s="258"/>
      <c r="H126" s="258"/>
      <c r="I126" s="258"/>
      <c r="J126" s="258"/>
      <c r="K126" s="258"/>
      <c r="L126" s="258"/>
      <c r="M126" s="258"/>
      <c r="N126" s="258"/>
      <c r="O126" s="258"/>
      <c r="P126" s="258"/>
      <c r="Q126" s="658">
        <f t="shared" si="8"/>
        <v>0</v>
      </c>
      <c r="R126" s="214"/>
      <c r="S126" s="3"/>
      <c r="T126" s="3"/>
      <c r="U126" s="3"/>
      <c r="V126" s="3"/>
      <c r="W126" s="3"/>
      <c r="X126" s="3"/>
      <c r="Y126" s="3"/>
      <c r="Z126" s="3"/>
      <c r="AA126" s="3"/>
      <c r="AB126" s="3"/>
      <c r="AC126" s="3"/>
      <c r="AD126" s="3"/>
      <c r="AE126" s="3"/>
      <c r="AF126" s="3"/>
      <c r="AG126" s="3"/>
      <c r="AH126" s="3"/>
    </row>
    <row r="127" spans="1:34" x14ac:dyDescent="0.2">
      <c r="A127" s="3"/>
      <c r="B127" s="212"/>
      <c r="C127" s="773"/>
      <c r="D127" s="940"/>
      <c r="E127" s="940"/>
      <c r="F127" s="941"/>
      <c r="G127" s="258"/>
      <c r="H127" s="258"/>
      <c r="I127" s="258"/>
      <c r="J127" s="258"/>
      <c r="K127" s="258"/>
      <c r="L127" s="258"/>
      <c r="M127" s="258"/>
      <c r="N127" s="258"/>
      <c r="O127" s="258"/>
      <c r="P127" s="258"/>
      <c r="Q127" s="658">
        <f t="shared" si="8"/>
        <v>0</v>
      </c>
      <c r="R127" s="214"/>
      <c r="S127" s="3"/>
      <c r="T127" s="3"/>
      <c r="U127" s="3"/>
      <c r="V127" s="3"/>
      <c r="W127" s="3"/>
      <c r="X127" s="3"/>
      <c r="Y127" s="3"/>
      <c r="Z127" s="3"/>
      <c r="AA127" s="3"/>
      <c r="AB127" s="3"/>
      <c r="AC127" s="3"/>
      <c r="AD127" s="3"/>
      <c r="AE127" s="3"/>
      <c r="AF127" s="3"/>
      <c r="AG127" s="3"/>
      <c r="AH127" s="3"/>
    </row>
    <row r="128" spans="1:34" x14ac:dyDescent="0.2">
      <c r="A128" s="3"/>
      <c r="B128" s="212"/>
      <c r="C128" s="773"/>
      <c r="D128" s="940"/>
      <c r="E128" s="940"/>
      <c r="F128" s="941"/>
      <c r="G128" s="258"/>
      <c r="H128" s="258"/>
      <c r="I128" s="258"/>
      <c r="J128" s="258"/>
      <c r="K128" s="258"/>
      <c r="L128" s="258"/>
      <c r="M128" s="258"/>
      <c r="N128" s="258"/>
      <c r="O128" s="258"/>
      <c r="P128" s="258"/>
      <c r="Q128" s="658">
        <f t="shared" si="8"/>
        <v>0</v>
      </c>
      <c r="R128" s="214"/>
      <c r="S128" s="3"/>
      <c r="T128" s="3"/>
      <c r="U128" s="3"/>
      <c r="V128" s="3"/>
      <c r="W128" s="3"/>
      <c r="X128" s="3"/>
      <c r="Y128" s="3"/>
      <c r="Z128" s="3"/>
      <c r="AA128" s="3"/>
      <c r="AB128" s="3"/>
      <c r="AC128" s="3"/>
      <c r="AD128" s="3"/>
      <c r="AE128" s="3"/>
      <c r="AF128" s="3"/>
      <c r="AG128" s="3"/>
      <c r="AH128" s="3"/>
    </row>
    <row r="129" spans="1:34" x14ac:dyDescent="0.2">
      <c r="A129" s="3"/>
      <c r="B129" s="212"/>
      <c r="C129" s="773"/>
      <c r="D129" s="940"/>
      <c r="E129" s="940"/>
      <c r="F129" s="941"/>
      <c r="G129" s="258"/>
      <c r="H129" s="258"/>
      <c r="I129" s="258"/>
      <c r="J129" s="258"/>
      <c r="K129" s="258"/>
      <c r="L129" s="258"/>
      <c r="M129" s="258"/>
      <c r="N129" s="258"/>
      <c r="O129" s="258"/>
      <c r="P129" s="258"/>
      <c r="Q129" s="658">
        <f t="shared" si="8"/>
        <v>0</v>
      </c>
      <c r="R129" s="214"/>
      <c r="S129" s="3"/>
      <c r="T129" s="3"/>
      <c r="U129" s="3"/>
      <c r="V129" s="3"/>
      <c r="W129" s="3"/>
      <c r="X129" s="3"/>
      <c r="Y129" s="3"/>
      <c r="Z129" s="3"/>
      <c r="AA129" s="3"/>
      <c r="AB129" s="3"/>
      <c r="AC129" s="3"/>
      <c r="AD129" s="3"/>
      <c r="AE129" s="3"/>
      <c r="AF129" s="3"/>
      <c r="AG129" s="3"/>
      <c r="AH129" s="3"/>
    </row>
    <row r="130" spans="1:34" x14ac:dyDescent="0.2">
      <c r="A130" s="3"/>
      <c r="B130" s="212"/>
      <c r="C130" s="773"/>
      <c r="D130" s="940"/>
      <c r="E130" s="940"/>
      <c r="F130" s="941"/>
      <c r="G130" s="258"/>
      <c r="H130" s="258"/>
      <c r="I130" s="258"/>
      <c r="J130" s="258"/>
      <c r="K130" s="258"/>
      <c r="L130" s="258"/>
      <c r="M130" s="258"/>
      <c r="N130" s="258"/>
      <c r="O130" s="258"/>
      <c r="P130" s="258"/>
      <c r="Q130" s="658">
        <f t="shared" si="8"/>
        <v>0</v>
      </c>
      <c r="R130" s="214"/>
      <c r="S130" s="3"/>
      <c r="T130" s="3"/>
      <c r="U130" s="3"/>
      <c r="V130" s="3"/>
      <c r="W130" s="3"/>
      <c r="X130" s="3"/>
      <c r="Y130" s="3"/>
      <c r="Z130" s="3"/>
      <c r="AA130" s="3"/>
      <c r="AB130" s="3"/>
      <c r="AC130" s="3"/>
      <c r="AD130" s="3"/>
      <c r="AE130" s="3"/>
      <c r="AF130" s="3"/>
      <c r="AG130" s="3"/>
      <c r="AH130" s="3"/>
    </row>
    <row r="131" spans="1:34" x14ac:dyDescent="0.2">
      <c r="A131" s="3"/>
      <c r="B131" s="212"/>
      <c r="C131" s="773"/>
      <c r="D131" s="940"/>
      <c r="E131" s="940"/>
      <c r="F131" s="941"/>
      <c r="G131" s="258"/>
      <c r="H131" s="258"/>
      <c r="I131" s="258"/>
      <c r="J131" s="258"/>
      <c r="K131" s="258"/>
      <c r="L131" s="258"/>
      <c r="M131" s="258"/>
      <c r="N131" s="258"/>
      <c r="O131" s="258"/>
      <c r="P131" s="258"/>
      <c r="Q131" s="658">
        <f t="shared" si="8"/>
        <v>0</v>
      </c>
      <c r="R131" s="214"/>
      <c r="S131" s="3"/>
      <c r="T131" s="3"/>
      <c r="U131" s="3"/>
      <c r="V131" s="3"/>
      <c r="W131" s="3"/>
      <c r="X131" s="3"/>
      <c r="Y131" s="3"/>
      <c r="Z131" s="3"/>
      <c r="AA131" s="3"/>
      <c r="AB131" s="3"/>
      <c r="AC131" s="3"/>
      <c r="AD131" s="3"/>
      <c r="AE131" s="3"/>
      <c r="AF131" s="3"/>
      <c r="AG131" s="3"/>
      <c r="AH131" s="3"/>
    </row>
    <row r="132" spans="1:34" x14ac:dyDescent="0.2">
      <c r="A132" s="3"/>
      <c r="B132" s="212"/>
      <c r="C132" s="773"/>
      <c r="D132" s="940"/>
      <c r="E132" s="940"/>
      <c r="F132" s="941"/>
      <c r="G132" s="258"/>
      <c r="H132" s="258"/>
      <c r="I132" s="258"/>
      <c r="J132" s="258"/>
      <c r="K132" s="258"/>
      <c r="L132" s="258"/>
      <c r="M132" s="258"/>
      <c r="N132" s="258"/>
      <c r="O132" s="258"/>
      <c r="P132" s="258"/>
      <c r="Q132" s="658">
        <f t="shared" si="8"/>
        <v>0</v>
      </c>
      <c r="R132" s="214"/>
      <c r="S132" s="3"/>
      <c r="T132" s="3"/>
      <c r="U132" s="3"/>
      <c r="V132" s="3"/>
      <c r="W132" s="3"/>
      <c r="X132" s="3"/>
      <c r="Y132" s="3"/>
      <c r="Z132" s="3"/>
      <c r="AA132" s="3"/>
      <c r="AB132" s="3"/>
      <c r="AC132" s="3"/>
      <c r="AD132" s="3"/>
      <c r="AE132" s="3"/>
      <c r="AF132" s="3"/>
      <c r="AG132" s="3"/>
      <c r="AH132" s="3"/>
    </row>
    <row r="133" spans="1:34" x14ac:dyDescent="0.2">
      <c r="A133" s="3"/>
      <c r="B133" s="212"/>
      <c r="C133" s="773"/>
      <c r="D133" s="940"/>
      <c r="E133" s="940"/>
      <c r="F133" s="941"/>
      <c r="G133" s="258"/>
      <c r="H133" s="258"/>
      <c r="I133" s="258"/>
      <c r="J133" s="258"/>
      <c r="K133" s="258"/>
      <c r="L133" s="258"/>
      <c r="M133" s="258"/>
      <c r="N133" s="258"/>
      <c r="O133" s="258"/>
      <c r="P133" s="258"/>
      <c r="Q133" s="658">
        <f t="shared" si="8"/>
        <v>0</v>
      </c>
      <c r="R133" s="214"/>
      <c r="S133" s="3"/>
      <c r="T133" s="3"/>
      <c r="U133" s="3"/>
      <c r="V133" s="3"/>
      <c r="W133" s="3"/>
      <c r="X133" s="3"/>
      <c r="Y133" s="3"/>
      <c r="Z133" s="3"/>
      <c r="AA133" s="3"/>
      <c r="AB133" s="3"/>
      <c r="AC133" s="3"/>
      <c r="AD133" s="3"/>
      <c r="AE133" s="3"/>
      <c r="AF133" s="3"/>
      <c r="AG133" s="3"/>
      <c r="AH133" s="3"/>
    </row>
    <row r="134" spans="1:34" x14ac:dyDescent="0.2">
      <c r="A134" s="3"/>
      <c r="B134" s="212"/>
      <c r="C134" s="280"/>
      <c r="D134" s="276"/>
      <c r="E134" s="276"/>
      <c r="F134" s="277"/>
      <c r="G134" s="258"/>
      <c r="H134" s="258"/>
      <c r="I134" s="258"/>
      <c r="J134" s="258"/>
      <c r="K134" s="258"/>
      <c r="L134" s="258"/>
      <c r="M134" s="258"/>
      <c r="N134" s="258"/>
      <c r="O134" s="258"/>
      <c r="P134" s="258"/>
      <c r="Q134" s="658">
        <f t="shared" si="8"/>
        <v>0</v>
      </c>
      <c r="R134" s="214"/>
      <c r="S134" s="3"/>
      <c r="T134" s="3"/>
      <c r="U134" s="3"/>
      <c r="V134" s="3"/>
      <c r="W134" s="3"/>
      <c r="X134" s="3"/>
      <c r="Y134" s="3"/>
      <c r="Z134" s="3"/>
      <c r="AA134" s="3"/>
      <c r="AB134" s="3"/>
      <c r="AC134" s="3"/>
      <c r="AD134" s="3"/>
      <c r="AE134" s="3"/>
      <c r="AF134" s="3"/>
      <c r="AG134" s="3"/>
      <c r="AH134" s="3"/>
    </row>
    <row r="135" spans="1:34" x14ac:dyDescent="0.2">
      <c r="A135" s="3"/>
      <c r="B135" s="212"/>
      <c r="C135" s="284" t="str">
        <f>C$65</f>
        <v>Annual total</v>
      </c>
      <c r="D135" s="205"/>
      <c r="E135" s="205"/>
      <c r="F135" s="285"/>
      <c r="G135" s="295">
        <f t="shared" ref="G135:P135" si="9">IF(G$27=".",".",SUM(G71:G112,G114:G134))</f>
        <v>6774300</v>
      </c>
      <c r="H135" s="295">
        <f t="shared" si="9"/>
        <v>6918300</v>
      </c>
      <c r="I135" s="295">
        <f t="shared" si="9"/>
        <v>8089837</v>
      </c>
      <c r="J135" s="295">
        <f t="shared" si="9"/>
        <v>7885169.5</v>
      </c>
      <c r="K135" s="295">
        <f t="shared" si="9"/>
        <v>11631044.625</v>
      </c>
      <c r="L135" s="295">
        <f t="shared" si="9"/>
        <v>9235311.2062500007</v>
      </c>
      <c r="M135" s="295">
        <f t="shared" si="9"/>
        <v>8862290.8665625006</v>
      </c>
      <c r="N135" s="295">
        <f t="shared" si="9"/>
        <v>8975046.1098906249</v>
      </c>
      <c r="O135" s="295">
        <f t="shared" si="9"/>
        <v>9398360.4153851569</v>
      </c>
      <c r="P135" s="295">
        <f t="shared" si="9"/>
        <v>9553665.3361544143</v>
      </c>
      <c r="Q135" s="658">
        <f t="shared" si="8"/>
        <v>87323325.059242696</v>
      </c>
      <c r="R135" s="792">
        <f>SUM(Q70:Q134)-Q135</f>
        <v>0</v>
      </c>
      <c r="T135" s="3"/>
      <c r="U135" s="3"/>
      <c r="V135" s="3"/>
      <c r="W135" s="3"/>
      <c r="X135" s="3"/>
      <c r="Y135" s="3"/>
      <c r="Z135" s="3"/>
      <c r="AA135" s="3"/>
      <c r="AB135" s="3"/>
      <c r="AC135" s="3"/>
      <c r="AD135" s="3"/>
      <c r="AE135" s="3"/>
      <c r="AF135" s="3"/>
      <c r="AG135" s="3"/>
      <c r="AH135" s="3"/>
    </row>
    <row r="136" spans="1:34" x14ac:dyDescent="0.2">
      <c r="A136" s="3"/>
      <c r="B136" s="212"/>
      <c r="C136" s="286" t="str">
        <f>C$66</f>
        <v>Cumulative totals by year</v>
      </c>
      <c r="D136" s="287"/>
      <c r="E136" s="287"/>
      <c r="F136" s="288"/>
      <c r="G136" s="296">
        <f>IF(G$27=".",".",SUM($G135:G135))</f>
        <v>6774300</v>
      </c>
      <c r="H136" s="296">
        <f>IF(H$27=".",".",SUM($G135:H135))</f>
        <v>13692600</v>
      </c>
      <c r="I136" s="296">
        <f>IF(I$27=".",".",SUM($G135:I135))</f>
        <v>21782437</v>
      </c>
      <c r="J136" s="296">
        <f>IF(J$27=".",".",SUM($G135:J135))</f>
        <v>29667606.5</v>
      </c>
      <c r="K136" s="296">
        <f>IF(K$27=".",".",SUM($G135:K135))</f>
        <v>41298651.125</v>
      </c>
      <c r="L136" s="296">
        <f>IF(L$27=".",".",SUM($G135:L135))</f>
        <v>50533962.331249997</v>
      </c>
      <c r="M136" s="296">
        <f>IF(M$27=".",".",SUM($G135:M135))</f>
        <v>59396253.197812498</v>
      </c>
      <c r="N136" s="296">
        <f>IF(N$27=".",".",SUM($G135:N135))</f>
        <v>68371299.307703122</v>
      </c>
      <c r="O136" s="296">
        <f>IF(O$27=".",".",SUM($G135:O135))</f>
        <v>77769659.723088279</v>
      </c>
      <c r="P136" s="296">
        <f>IF(P$27=".",".",SUM($G135:P135))</f>
        <v>87323325.059242696</v>
      </c>
      <c r="Q136" s="275"/>
      <c r="R136" s="214"/>
      <c r="S136" s="3"/>
      <c r="T136" s="3"/>
      <c r="U136" s="3"/>
      <c r="V136" s="3"/>
      <c r="W136" s="3"/>
      <c r="X136" s="3"/>
      <c r="Y136" s="3"/>
      <c r="Z136" s="3"/>
      <c r="AA136" s="3"/>
      <c r="AB136" s="3"/>
      <c r="AC136" s="3"/>
      <c r="AD136" s="3"/>
      <c r="AE136" s="3"/>
      <c r="AF136" s="3"/>
      <c r="AG136" s="3"/>
      <c r="AH136" s="3"/>
    </row>
    <row r="137" spans="1:34" ht="22.2" customHeight="1" x14ac:dyDescent="0.25">
      <c r="A137" s="3"/>
      <c r="B137" s="212"/>
      <c r="C137" s="2"/>
      <c r="D137" s="2"/>
      <c r="E137" s="2"/>
      <c r="F137" s="2"/>
      <c r="G137" s="2"/>
      <c r="H137" s="2"/>
      <c r="I137" s="2"/>
      <c r="J137" s="2"/>
      <c r="K137" s="2"/>
      <c r="L137" s="2"/>
      <c r="M137" s="2"/>
      <c r="N137" s="2"/>
      <c r="O137" s="2"/>
      <c r="P137" s="2"/>
      <c r="Q137" s="2"/>
      <c r="R137" s="214"/>
      <c r="S137" s="3"/>
      <c r="T137" s="3"/>
      <c r="U137" s="3"/>
      <c r="V137" s="3"/>
      <c r="W137" s="3"/>
      <c r="X137" s="3"/>
      <c r="Y137" s="3"/>
      <c r="Z137" s="3"/>
      <c r="AA137" s="3"/>
      <c r="AB137" s="3"/>
      <c r="AC137" s="3"/>
      <c r="AD137" s="3"/>
      <c r="AE137" s="3"/>
      <c r="AF137" s="3"/>
      <c r="AG137" s="3"/>
      <c r="AH137" s="3"/>
    </row>
    <row r="138" spans="1:34" ht="17.7" customHeight="1" x14ac:dyDescent="0.25">
      <c r="A138" s="3"/>
      <c r="B138" s="212"/>
      <c r="C138" s="1251" t="s">
        <v>875</v>
      </c>
      <c r="D138" s="1184"/>
      <c r="E138" s="1184"/>
      <c r="F138" s="1184"/>
      <c r="G138" s="1185"/>
      <c r="H138" s="1185"/>
      <c r="I138" s="1185"/>
      <c r="J138" s="1185"/>
      <c r="K138" s="1185"/>
      <c r="L138" s="1178" t="str">
        <f>$G$26</f>
        <v>$ nominal per year</v>
      </c>
      <c r="M138" s="1185"/>
      <c r="N138" s="1185"/>
      <c r="O138" s="1185"/>
      <c r="P138" s="1185"/>
      <c r="Q138" s="1186"/>
      <c r="R138" s="214"/>
      <c r="S138" s="3"/>
      <c r="T138" s="3"/>
      <c r="U138" s="3"/>
      <c r="V138" s="3"/>
      <c r="W138" s="3"/>
      <c r="X138" s="3"/>
      <c r="Y138" s="3"/>
      <c r="Z138" s="3"/>
      <c r="AA138" s="3"/>
      <c r="AB138" s="3"/>
      <c r="AC138" s="3"/>
      <c r="AD138" s="3"/>
      <c r="AE138" s="3"/>
      <c r="AF138" s="3"/>
      <c r="AG138" s="3"/>
      <c r="AH138" s="3"/>
    </row>
    <row r="139" spans="1:34" ht="12" customHeight="1" x14ac:dyDescent="0.2">
      <c r="A139" s="3"/>
      <c r="B139" s="212"/>
      <c r="C139" s="788"/>
      <c r="D139" s="789"/>
      <c r="E139" s="789"/>
      <c r="F139" s="793"/>
      <c r="G139" s="790" t="str">
        <f t="shared" ref="G139:I139" si="10">G$33</f>
        <v>.</v>
      </c>
      <c r="H139" s="790" t="str">
        <f t="shared" si="10"/>
        <v>.</v>
      </c>
      <c r="I139" s="790" t="str">
        <f t="shared" si="10"/>
        <v>.</v>
      </c>
      <c r="J139" s="790" t="str">
        <f>J$33</f>
        <v>.</v>
      </c>
      <c r="K139" s="790" t="str">
        <f t="shared" ref="K139:P139" si="11">K$33</f>
        <v>.</v>
      </c>
      <c r="L139" s="790" t="str">
        <f t="shared" si="11"/>
        <v>.</v>
      </c>
      <c r="M139" s="790" t="str">
        <f t="shared" si="11"/>
        <v>.</v>
      </c>
      <c r="N139" s="790" t="str">
        <f t="shared" si="11"/>
        <v>.</v>
      </c>
      <c r="O139" s="790" t="str">
        <f t="shared" si="11"/>
        <v>.</v>
      </c>
      <c r="P139" s="790" t="str">
        <f t="shared" si="11"/>
        <v>.</v>
      </c>
      <c r="Q139" s="791"/>
      <c r="R139" s="214"/>
      <c r="S139" s="3"/>
      <c r="T139" s="192"/>
      <c r="U139" s="3"/>
      <c r="V139" s="3"/>
      <c r="W139" s="3"/>
      <c r="X139" s="3"/>
      <c r="Y139" s="3"/>
      <c r="Z139" s="3"/>
      <c r="AA139" s="3"/>
      <c r="AB139" s="3"/>
      <c r="AC139" s="3"/>
      <c r="AD139" s="3"/>
      <c r="AE139" s="3"/>
      <c r="AF139" s="3"/>
      <c r="AG139" s="3"/>
      <c r="AH139" s="3"/>
    </row>
    <row r="140" spans="1:34" x14ac:dyDescent="0.2">
      <c r="A140" s="3"/>
      <c r="B140" s="212"/>
      <c r="C140" s="280"/>
      <c r="D140" s="276"/>
      <c r="E140" s="276"/>
      <c r="F140" s="277"/>
      <c r="G140" s="258"/>
      <c r="H140" s="258"/>
      <c r="I140" s="258"/>
      <c r="J140" s="258"/>
      <c r="K140" s="258"/>
      <c r="L140" s="258"/>
      <c r="M140" s="258"/>
      <c r="N140" s="258"/>
      <c r="O140" s="258"/>
      <c r="P140" s="258"/>
      <c r="Q140" s="658">
        <f t="shared" ref="Q140:Q150" si="12">SUM(G140:P140)-SUMIF($G$21:$P$21,$V$20,G140:P140)</f>
        <v>0</v>
      </c>
      <c r="R140" s="214"/>
      <c r="S140" s="3"/>
      <c r="T140" s="3"/>
      <c r="U140" s="3"/>
      <c r="V140" s="3"/>
      <c r="W140" s="3"/>
      <c r="X140" s="3"/>
      <c r="Y140" s="3"/>
      <c r="Z140" s="3"/>
      <c r="AA140" s="3"/>
      <c r="AB140" s="3"/>
      <c r="AC140" s="3"/>
      <c r="AD140" s="3"/>
      <c r="AE140" s="3"/>
      <c r="AF140" s="3"/>
      <c r="AG140" s="3"/>
      <c r="AH140" s="3"/>
    </row>
    <row r="141" spans="1:34" x14ac:dyDescent="0.2">
      <c r="A141" s="3"/>
      <c r="B141" s="212"/>
      <c r="C141" s="280"/>
      <c r="D141" s="276"/>
      <c r="E141" s="276"/>
      <c r="F141" s="277"/>
      <c r="G141" s="258"/>
      <c r="H141" s="258"/>
      <c r="I141" s="258"/>
      <c r="J141" s="258"/>
      <c r="K141" s="258"/>
      <c r="L141" s="258"/>
      <c r="M141" s="258"/>
      <c r="N141" s="258"/>
      <c r="O141" s="258"/>
      <c r="P141" s="258"/>
      <c r="Q141" s="658">
        <f t="shared" si="12"/>
        <v>0</v>
      </c>
      <c r="R141" s="214"/>
      <c r="S141" s="3"/>
      <c r="T141" s="3"/>
      <c r="U141" s="3"/>
      <c r="V141" s="3"/>
      <c r="W141" s="3"/>
      <c r="X141" s="3"/>
      <c r="Y141" s="3"/>
      <c r="Z141" s="3"/>
      <c r="AA141" s="3"/>
      <c r="AB141" s="3"/>
      <c r="AC141" s="3"/>
      <c r="AD141" s="3"/>
      <c r="AE141" s="3"/>
      <c r="AF141" s="3"/>
      <c r="AG141" s="3"/>
      <c r="AH141" s="3"/>
    </row>
    <row r="142" spans="1:34" x14ac:dyDescent="0.2">
      <c r="A142" s="3"/>
      <c r="B142" s="212"/>
      <c r="C142" s="280"/>
      <c r="D142" s="276"/>
      <c r="E142" s="276"/>
      <c r="F142" s="277"/>
      <c r="G142" s="258"/>
      <c r="H142" s="258"/>
      <c r="I142" s="258"/>
      <c r="J142" s="258"/>
      <c r="K142" s="258"/>
      <c r="L142" s="258"/>
      <c r="M142" s="258"/>
      <c r="N142" s="258"/>
      <c r="O142" s="258"/>
      <c r="P142" s="258"/>
      <c r="Q142" s="658">
        <f t="shared" si="12"/>
        <v>0</v>
      </c>
      <c r="R142" s="214"/>
      <c r="S142" s="3"/>
      <c r="T142" s="3"/>
      <c r="U142" s="3"/>
      <c r="V142" s="3"/>
      <c r="W142" s="3"/>
      <c r="X142" s="3"/>
      <c r="Y142" s="3"/>
      <c r="Z142" s="3"/>
      <c r="AA142" s="3"/>
      <c r="AB142" s="3"/>
      <c r="AC142" s="3"/>
      <c r="AD142" s="3"/>
      <c r="AE142" s="3"/>
      <c r="AF142" s="3"/>
      <c r="AG142" s="3"/>
      <c r="AH142" s="3"/>
    </row>
    <row r="143" spans="1:34" x14ac:dyDescent="0.2">
      <c r="A143" s="3"/>
      <c r="B143" s="212"/>
      <c r="C143" s="280"/>
      <c r="D143" s="276"/>
      <c r="E143" s="276"/>
      <c r="F143" s="277"/>
      <c r="G143" s="258"/>
      <c r="H143" s="258"/>
      <c r="I143" s="258"/>
      <c r="J143" s="258"/>
      <c r="K143" s="258"/>
      <c r="L143" s="258"/>
      <c r="M143" s="258"/>
      <c r="N143" s="258"/>
      <c r="O143" s="258"/>
      <c r="P143" s="258"/>
      <c r="Q143" s="658">
        <f t="shared" si="12"/>
        <v>0</v>
      </c>
      <c r="R143" s="214"/>
      <c r="S143" s="3"/>
      <c r="T143" s="3"/>
      <c r="U143" s="3"/>
      <c r="V143" s="3"/>
      <c r="W143" s="3"/>
      <c r="X143" s="3"/>
      <c r="Y143" s="3"/>
      <c r="Z143" s="3"/>
      <c r="AA143" s="3"/>
      <c r="AB143" s="3"/>
      <c r="AC143" s="3"/>
      <c r="AD143" s="3"/>
      <c r="AE143" s="3"/>
      <c r="AF143" s="3"/>
      <c r="AG143" s="3"/>
      <c r="AH143" s="3"/>
    </row>
    <row r="144" spans="1:34" x14ac:dyDescent="0.2">
      <c r="A144" s="3"/>
      <c r="B144" s="212"/>
      <c r="C144" s="280"/>
      <c r="D144" s="276"/>
      <c r="E144" s="276"/>
      <c r="F144" s="277"/>
      <c r="G144" s="258"/>
      <c r="H144" s="258"/>
      <c r="I144" s="258"/>
      <c r="J144" s="258"/>
      <c r="K144" s="258"/>
      <c r="L144" s="258"/>
      <c r="M144" s="258"/>
      <c r="N144" s="258"/>
      <c r="O144" s="258"/>
      <c r="P144" s="258"/>
      <c r="Q144" s="658">
        <f t="shared" si="12"/>
        <v>0</v>
      </c>
      <c r="R144" s="214"/>
      <c r="S144" s="3"/>
      <c r="T144" s="3"/>
      <c r="U144" s="3"/>
      <c r="V144" s="3"/>
      <c r="W144" s="3"/>
      <c r="X144" s="3"/>
      <c r="Y144" s="3"/>
      <c r="Z144" s="3"/>
      <c r="AA144" s="3"/>
      <c r="AB144" s="3"/>
      <c r="AC144" s="3"/>
      <c r="AD144" s="3"/>
      <c r="AE144" s="3"/>
      <c r="AF144" s="3"/>
      <c r="AG144" s="3"/>
      <c r="AH144" s="3"/>
    </row>
    <row r="145" spans="1:34" x14ac:dyDescent="0.2">
      <c r="A145" s="3"/>
      <c r="B145" s="212"/>
      <c r="C145" s="280"/>
      <c r="D145" s="276"/>
      <c r="E145" s="276"/>
      <c r="F145" s="277"/>
      <c r="G145" s="258"/>
      <c r="H145" s="258"/>
      <c r="I145" s="258"/>
      <c r="J145" s="258"/>
      <c r="K145" s="258"/>
      <c r="L145" s="258"/>
      <c r="M145" s="258"/>
      <c r="N145" s="258"/>
      <c r="O145" s="258"/>
      <c r="P145" s="258"/>
      <c r="Q145" s="658">
        <f t="shared" si="12"/>
        <v>0</v>
      </c>
      <c r="R145" s="214"/>
      <c r="S145" s="3"/>
      <c r="T145" s="3"/>
      <c r="U145" s="3"/>
      <c r="V145" s="3"/>
      <c r="W145" s="3"/>
      <c r="X145" s="3"/>
      <c r="Y145" s="3"/>
      <c r="Z145" s="3"/>
      <c r="AA145" s="3"/>
      <c r="AB145" s="3"/>
      <c r="AC145" s="3"/>
      <c r="AD145" s="3"/>
      <c r="AE145" s="3"/>
      <c r="AF145" s="3"/>
      <c r="AG145" s="3"/>
      <c r="AH145" s="3"/>
    </row>
    <row r="146" spans="1:34" x14ac:dyDescent="0.2">
      <c r="A146" s="3"/>
      <c r="B146" s="212"/>
      <c r="C146" s="280"/>
      <c r="D146" s="276"/>
      <c r="E146" s="276"/>
      <c r="F146" s="277"/>
      <c r="G146" s="258"/>
      <c r="H146" s="258"/>
      <c r="I146" s="258"/>
      <c r="J146" s="258"/>
      <c r="K146" s="258"/>
      <c r="L146" s="258"/>
      <c r="M146" s="258"/>
      <c r="N146" s="258"/>
      <c r="O146" s="258"/>
      <c r="P146" s="258"/>
      <c r="Q146" s="658">
        <f t="shared" si="12"/>
        <v>0</v>
      </c>
      <c r="R146" s="214"/>
      <c r="S146" s="3"/>
      <c r="T146" s="3"/>
      <c r="U146" s="3"/>
      <c r="V146" s="3"/>
      <c r="W146" s="3"/>
      <c r="X146" s="3"/>
      <c r="Y146" s="3"/>
      <c r="Z146" s="3"/>
      <c r="AA146" s="3"/>
      <c r="AB146" s="3"/>
      <c r="AC146" s="3"/>
      <c r="AD146" s="3"/>
      <c r="AE146" s="3"/>
      <c r="AF146" s="3"/>
      <c r="AG146" s="3"/>
      <c r="AH146" s="3"/>
    </row>
    <row r="147" spans="1:34" x14ac:dyDescent="0.2">
      <c r="A147" s="3"/>
      <c r="B147" s="212"/>
      <c r="C147" s="280"/>
      <c r="D147" s="276"/>
      <c r="E147" s="276"/>
      <c r="F147" s="277"/>
      <c r="G147" s="258"/>
      <c r="H147" s="258"/>
      <c r="I147" s="258"/>
      <c r="J147" s="258"/>
      <c r="K147" s="258"/>
      <c r="L147" s="258"/>
      <c r="M147" s="258"/>
      <c r="N147" s="258"/>
      <c r="O147" s="258"/>
      <c r="P147" s="258"/>
      <c r="Q147" s="658">
        <f>SUM(G147:P147)-SUMIF($G$21:$P$21,$V$20,G147:P147)</f>
        <v>0</v>
      </c>
      <c r="R147" s="214"/>
      <c r="S147" s="3"/>
      <c r="T147" s="3"/>
      <c r="U147" s="3"/>
      <c r="V147" s="3"/>
      <c r="W147" s="3"/>
      <c r="X147" s="3"/>
      <c r="Y147" s="3"/>
      <c r="Z147" s="3"/>
      <c r="AA147" s="3"/>
      <c r="AB147" s="3"/>
      <c r="AC147" s="3"/>
      <c r="AD147" s="3"/>
      <c r="AE147" s="3"/>
      <c r="AF147" s="3"/>
      <c r="AG147" s="3"/>
      <c r="AH147" s="3"/>
    </row>
    <row r="148" spans="1:34" x14ac:dyDescent="0.2">
      <c r="A148" s="3"/>
      <c r="B148" s="212"/>
      <c r="C148" s="280"/>
      <c r="D148" s="276"/>
      <c r="E148" s="276"/>
      <c r="F148" s="277"/>
      <c r="G148" s="258"/>
      <c r="H148" s="258"/>
      <c r="I148" s="258"/>
      <c r="J148" s="258"/>
      <c r="K148" s="258"/>
      <c r="L148" s="258"/>
      <c r="M148" s="258"/>
      <c r="N148" s="258"/>
      <c r="O148" s="258"/>
      <c r="P148" s="258"/>
      <c r="Q148" s="658">
        <f>SUM(G148:P148)-SUMIF($G$21:$P$21,$V$20,G148:P148)</f>
        <v>0</v>
      </c>
      <c r="R148" s="214"/>
      <c r="S148" s="3"/>
      <c r="T148" s="3"/>
      <c r="U148" s="3"/>
      <c r="V148" s="3"/>
      <c r="W148" s="3"/>
      <c r="X148" s="3"/>
      <c r="Y148" s="3"/>
      <c r="Z148" s="3"/>
      <c r="AA148" s="3"/>
      <c r="AB148" s="3"/>
      <c r="AC148" s="3"/>
      <c r="AD148" s="3"/>
      <c r="AE148" s="3"/>
      <c r="AF148" s="3"/>
      <c r="AG148" s="3"/>
      <c r="AH148" s="3"/>
    </row>
    <row r="149" spans="1:34" x14ac:dyDescent="0.2">
      <c r="A149" s="3"/>
      <c r="B149" s="212"/>
      <c r="C149" s="280"/>
      <c r="D149" s="276"/>
      <c r="E149" s="276"/>
      <c r="F149" s="277"/>
      <c r="G149" s="258"/>
      <c r="H149" s="258"/>
      <c r="I149" s="258"/>
      <c r="J149" s="258"/>
      <c r="K149" s="258"/>
      <c r="L149" s="258"/>
      <c r="M149" s="258"/>
      <c r="N149" s="258"/>
      <c r="O149" s="258"/>
      <c r="P149" s="258"/>
      <c r="Q149" s="658">
        <f>SUM(G149:P149)-SUMIF($G$21:$P$21,$V$20,G149:P149)</f>
        <v>0</v>
      </c>
      <c r="R149" s="214"/>
      <c r="S149" s="3"/>
      <c r="T149" s="3"/>
      <c r="U149" s="3"/>
      <c r="V149" s="3"/>
      <c r="W149" s="3"/>
      <c r="X149" s="3"/>
      <c r="Y149" s="3"/>
      <c r="Z149" s="3"/>
      <c r="AA149" s="3"/>
      <c r="AB149" s="3"/>
      <c r="AC149" s="3"/>
      <c r="AD149" s="3"/>
      <c r="AE149" s="3"/>
      <c r="AF149" s="3"/>
      <c r="AG149" s="3"/>
      <c r="AH149" s="3"/>
    </row>
    <row r="150" spans="1:34" x14ac:dyDescent="0.2">
      <c r="A150" s="3"/>
      <c r="B150" s="212"/>
      <c r="C150" s="135" t="str">
        <f>C$65</f>
        <v>Annual total</v>
      </c>
      <c r="D150" s="3"/>
      <c r="E150" s="3"/>
      <c r="F150" s="96"/>
      <c r="G150" s="207">
        <f>IF(G$27=".",".",SUM(G140:G149))</f>
        <v>0</v>
      </c>
      <c r="H150" s="207">
        <f t="shared" ref="H150:P150" si="13">IF(H$27=".",".",SUM(H140:H149))</f>
        <v>0</v>
      </c>
      <c r="I150" s="207">
        <f t="shared" si="13"/>
        <v>0</v>
      </c>
      <c r="J150" s="207">
        <f t="shared" si="13"/>
        <v>0</v>
      </c>
      <c r="K150" s="207">
        <f t="shared" si="13"/>
        <v>0</v>
      </c>
      <c r="L150" s="207">
        <f t="shared" si="13"/>
        <v>0</v>
      </c>
      <c r="M150" s="207">
        <f t="shared" si="13"/>
        <v>0</v>
      </c>
      <c r="N150" s="207">
        <f t="shared" si="13"/>
        <v>0</v>
      </c>
      <c r="O150" s="207">
        <f t="shared" si="13"/>
        <v>0</v>
      </c>
      <c r="P150" s="207">
        <f t="shared" si="13"/>
        <v>0</v>
      </c>
      <c r="Q150" s="658">
        <f t="shared" si="12"/>
        <v>0</v>
      </c>
      <c r="R150" s="792">
        <f>SUM(Q140:Q149)-Q150</f>
        <v>0</v>
      </c>
      <c r="S150" s="3"/>
      <c r="T150" s="3"/>
      <c r="U150" s="3"/>
      <c r="V150" s="3"/>
      <c r="W150" s="3"/>
      <c r="X150" s="3"/>
      <c r="Y150" s="3"/>
      <c r="Z150" s="3"/>
      <c r="AA150" s="3"/>
      <c r="AB150" s="3"/>
      <c r="AC150" s="3"/>
      <c r="AD150" s="3"/>
      <c r="AE150" s="3"/>
      <c r="AF150" s="3"/>
      <c r="AG150" s="3"/>
      <c r="AH150" s="3"/>
    </row>
    <row r="151" spans="1:34" x14ac:dyDescent="0.2">
      <c r="A151" s="3"/>
      <c r="B151" s="212"/>
      <c r="C151" s="97" t="str">
        <f>C$66</f>
        <v>Cumulative totals by year</v>
      </c>
      <c r="D151" s="93"/>
      <c r="E151" s="93"/>
      <c r="F151" s="98"/>
      <c r="G151" s="152">
        <f>IF(G$27=".",".",SUM($G150:G150))</f>
        <v>0</v>
      </c>
      <c r="H151" s="152">
        <f>IF(H$27=".",".",SUM($G150:H150))</f>
        <v>0</v>
      </c>
      <c r="I151" s="152">
        <f>IF(I$27=".",".",SUM($G150:I150))</f>
        <v>0</v>
      </c>
      <c r="J151" s="152">
        <f>IF(J$27=".",".",SUM($G150:J150))</f>
        <v>0</v>
      </c>
      <c r="K151" s="152">
        <f>IF(K$27=".",".",SUM($G150:K150))</f>
        <v>0</v>
      </c>
      <c r="L151" s="152">
        <f>IF(L$27=".",".",SUM($G150:L150))</f>
        <v>0</v>
      </c>
      <c r="M151" s="152">
        <f>IF(M$27=".",".",SUM($G150:M150))</f>
        <v>0</v>
      </c>
      <c r="N151" s="152">
        <f>IF(N$27=".",".",SUM($G150:N150))</f>
        <v>0</v>
      </c>
      <c r="O151" s="152">
        <f>IF(O$27=".",".",SUM($G150:O150))</f>
        <v>0</v>
      </c>
      <c r="P151" s="152">
        <f>IF(P$27=".",".",SUM($G150:P150))</f>
        <v>0</v>
      </c>
      <c r="Q151" s="275"/>
      <c r="R151" s="214"/>
      <c r="S151" s="3"/>
      <c r="T151" s="3"/>
      <c r="U151" s="3"/>
      <c r="V151" s="3"/>
      <c r="W151" s="3"/>
      <c r="X151" s="3"/>
      <c r="Y151" s="3"/>
      <c r="Z151" s="3"/>
      <c r="AA151" s="3"/>
      <c r="AB151" s="3"/>
      <c r="AC151" s="3"/>
      <c r="AD151" s="3"/>
      <c r="AE151" s="3"/>
      <c r="AF151" s="3"/>
      <c r="AG151" s="3"/>
      <c r="AH151" s="3"/>
    </row>
    <row r="152" spans="1:34" ht="16.2" customHeight="1" x14ac:dyDescent="0.2">
      <c r="A152" s="3"/>
      <c r="B152" s="212"/>
      <c r="C152" s="3"/>
      <c r="D152" s="3"/>
      <c r="E152" s="3"/>
      <c r="F152" s="3"/>
      <c r="G152" s="3"/>
      <c r="H152" s="3"/>
      <c r="I152" s="3"/>
      <c r="J152" s="3"/>
      <c r="K152" s="3"/>
      <c r="L152" s="3"/>
      <c r="M152" s="3"/>
      <c r="N152" s="3"/>
      <c r="O152" s="3"/>
      <c r="P152" s="3"/>
      <c r="Q152" s="3"/>
      <c r="R152" s="214"/>
      <c r="S152" s="3"/>
      <c r="T152" s="3"/>
      <c r="U152" s="3"/>
      <c r="V152" s="3"/>
      <c r="W152" s="3"/>
      <c r="X152" s="3"/>
      <c r="Y152" s="3"/>
      <c r="Z152" s="3"/>
      <c r="AA152" s="3"/>
      <c r="AB152" s="3"/>
      <c r="AC152" s="3"/>
      <c r="AD152" s="3"/>
      <c r="AE152" s="3"/>
      <c r="AF152" s="3"/>
      <c r="AG152" s="3"/>
      <c r="AH152" s="3"/>
    </row>
    <row r="153" spans="1:34" ht="17.7" customHeight="1" x14ac:dyDescent="0.25">
      <c r="A153" s="3"/>
      <c r="B153" s="212"/>
      <c r="C153" s="1251" t="s">
        <v>876</v>
      </c>
      <c r="D153" s="1184"/>
      <c r="E153" s="1184"/>
      <c r="F153" s="1184"/>
      <c r="G153" s="1178" t="str">
        <f>$G$26</f>
        <v>$ nominal per year</v>
      </c>
      <c r="H153" s="1185"/>
      <c r="I153" s="848"/>
      <c r="J153" s="1185"/>
      <c r="K153" s="1185"/>
      <c r="L153" s="1185"/>
      <c r="M153" s="1185"/>
      <c r="N153" s="1185"/>
      <c r="O153" s="1185"/>
      <c r="P153" s="1185"/>
      <c r="Q153" s="1186"/>
      <c r="R153" s="214"/>
      <c r="S153" s="3"/>
      <c r="T153" s="3"/>
      <c r="U153" s="3"/>
      <c r="V153" s="3"/>
      <c r="W153" s="3"/>
      <c r="X153" s="3"/>
      <c r="Y153" s="3"/>
      <c r="Z153" s="3"/>
      <c r="AA153" s="3"/>
      <c r="AB153" s="3"/>
      <c r="AC153" s="3"/>
      <c r="AD153" s="3"/>
      <c r="AE153" s="3"/>
      <c r="AF153" s="3"/>
      <c r="AG153" s="3"/>
      <c r="AH153" s="3"/>
    </row>
    <row r="154" spans="1:34" ht="24" customHeight="1" x14ac:dyDescent="0.2">
      <c r="A154" s="3"/>
      <c r="B154" s="212"/>
      <c r="C154" s="298" t="s">
        <v>877</v>
      </c>
      <c r="D154" s="133"/>
      <c r="E154" s="133"/>
      <c r="F154" s="299"/>
      <c r="G154" s="207">
        <f t="shared" ref="G154:P154" si="14">IF(G$21=$V$20,".",G65+G135+G150)</f>
        <v>8788468</v>
      </c>
      <c r="H154" s="207">
        <f t="shared" si="14"/>
        <v>8693123</v>
      </c>
      <c r="I154" s="207">
        <f t="shared" si="14"/>
        <v>11704432.25</v>
      </c>
      <c r="J154" s="207">
        <f t="shared" si="14"/>
        <v>12097561.8125</v>
      </c>
      <c r="K154" s="207">
        <f t="shared" si="14"/>
        <v>17544942.453125</v>
      </c>
      <c r="L154" s="207">
        <f t="shared" si="14"/>
        <v>15367346.975781251</v>
      </c>
      <c r="M154" s="207">
        <f t="shared" si="14"/>
        <v>13786815.574570313</v>
      </c>
      <c r="N154" s="207">
        <f t="shared" si="14"/>
        <v>13849555.203298828</v>
      </c>
      <c r="O154" s="207">
        <f t="shared" si="14"/>
        <v>14370145.96346377</v>
      </c>
      <c r="P154" s="207">
        <f t="shared" si="14"/>
        <v>14677613.511636958</v>
      </c>
      <c r="Q154" s="658">
        <f>Q65+Q135+Q150</f>
        <v>130880004.74437612</v>
      </c>
      <c r="R154" s="214"/>
      <c r="S154" s="3"/>
      <c r="T154" s="3"/>
      <c r="U154" s="3"/>
      <c r="V154" s="3"/>
      <c r="W154" s="3"/>
      <c r="X154" s="3"/>
      <c r="Y154" s="3"/>
      <c r="Z154" s="3"/>
      <c r="AA154" s="3"/>
      <c r="AB154" s="3"/>
      <c r="AC154" s="3"/>
      <c r="AD154" s="3"/>
      <c r="AE154" s="3"/>
      <c r="AF154" s="3"/>
      <c r="AG154" s="3"/>
      <c r="AH154" s="3"/>
    </row>
    <row r="155" spans="1:34" ht="22.8" x14ac:dyDescent="0.2">
      <c r="A155" s="3"/>
      <c r="B155" s="212"/>
      <c r="C155" s="300" t="s">
        <v>878</v>
      </c>
      <c r="D155" s="301"/>
      <c r="E155" s="301"/>
      <c r="F155" s="302"/>
      <c r="G155" s="152">
        <f t="shared" ref="G155:P155" si="15">IF(G$21=$V$20,".",G27-G154)</f>
        <v>-5145742.783316493</v>
      </c>
      <c r="H155" s="152">
        <f t="shared" si="15"/>
        <v>-842291.25696022809</v>
      </c>
      <c r="I155" s="152">
        <f t="shared" si="15"/>
        <v>-116676.69287654757</v>
      </c>
      <c r="J155" s="152">
        <f t="shared" si="15"/>
        <v>2607984.2336820513</v>
      </c>
      <c r="K155" s="152">
        <f t="shared" si="15"/>
        <v>-2471757.7557884008</v>
      </c>
      <c r="L155" s="152">
        <f t="shared" si="15"/>
        <v>82667.338988762349</v>
      </c>
      <c r="M155" s="152">
        <f t="shared" si="15"/>
        <v>2049449.0980689526</v>
      </c>
      <c r="N155" s="152">
        <f t="shared" si="15"/>
        <v>2382616.0861564185</v>
      </c>
      <c r="O155" s="152">
        <f t="shared" si="15"/>
        <v>2267829.6082278565</v>
      </c>
      <c r="P155" s="152">
        <f t="shared" si="15"/>
        <v>2376311.4493469596</v>
      </c>
      <c r="Q155" s="303">
        <f>SUM(G155:P155)</f>
        <v>3190389.3255293313</v>
      </c>
      <c r="R155" s="214"/>
      <c r="S155" s="3"/>
      <c r="T155" s="3"/>
      <c r="U155" s="3"/>
      <c r="V155" s="3"/>
      <c r="W155" s="3"/>
      <c r="X155" s="3"/>
      <c r="Y155" s="3"/>
      <c r="Z155" s="3"/>
      <c r="AA155" s="3"/>
      <c r="AB155" s="3"/>
      <c r="AC155" s="3"/>
      <c r="AD155" s="3"/>
      <c r="AE155" s="3"/>
      <c r="AF155" s="3"/>
      <c r="AG155" s="3"/>
      <c r="AH155" s="3"/>
    </row>
    <row r="156" spans="1:34" ht="12" thickBot="1" x14ac:dyDescent="0.25">
      <c r="A156" s="3"/>
      <c r="B156" s="222"/>
      <c r="C156" s="223"/>
      <c r="D156" s="245"/>
      <c r="E156" s="245"/>
      <c r="F156" s="245"/>
      <c r="G156" s="245"/>
      <c r="H156" s="245"/>
      <c r="I156" s="245"/>
      <c r="J156" s="245"/>
      <c r="K156" s="245"/>
      <c r="L156" s="245"/>
      <c r="M156" s="245"/>
      <c r="N156" s="245"/>
      <c r="O156" s="245"/>
      <c r="P156" s="245"/>
      <c r="Q156" s="245"/>
      <c r="R156" s="230"/>
      <c r="S156" s="3"/>
      <c r="T156" s="3"/>
      <c r="U156" s="3"/>
      <c r="V156" s="3"/>
      <c r="W156" s="3"/>
      <c r="X156" s="3"/>
      <c r="Y156" s="3"/>
      <c r="Z156" s="3"/>
      <c r="AA156" s="3"/>
      <c r="AB156" s="3"/>
      <c r="AC156" s="3"/>
      <c r="AD156" s="3"/>
      <c r="AE156" s="3"/>
      <c r="AF156" s="3"/>
      <c r="AG156" s="3"/>
      <c r="AH156" s="3"/>
    </row>
    <row r="157" spans="1:34" x14ac:dyDescent="0.2">
      <c r="A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row>
    <row r="158" spans="1:34" x14ac:dyDescent="0.2">
      <c r="A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row>
    <row r="159" spans="1:34" x14ac:dyDescent="0.2">
      <c r="A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row>
    <row r="160" spans="1:34" x14ac:dyDescent="0.2">
      <c r="A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row>
    <row r="161" spans="1:34" x14ac:dyDescent="0.2">
      <c r="A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row>
    <row r="162" spans="1:34" x14ac:dyDescent="0.2">
      <c r="A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row>
    <row r="163" spans="1:34" x14ac:dyDescent="0.2">
      <c r="A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row>
    <row r="164" spans="1:34" x14ac:dyDescent="0.2">
      <c r="A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row>
    <row r="165" spans="1:34" x14ac:dyDescent="0.2">
      <c r="A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row>
    <row r="166" spans="1:34" x14ac:dyDescent="0.2">
      <c r="A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x14ac:dyDescent="0.2">
      <c r="A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x14ac:dyDescent="0.2">
      <c r="A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row>
    <row r="169" spans="1:34" x14ac:dyDescent="0.2">
      <c r="A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row>
    <row r="170" spans="1:34" x14ac:dyDescent="0.2">
      <c r="A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row>
    <row r="171" spans="1:34" x14ac:dyDescent="0.2">
      <c r="A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row>
    <row r="172" spans="1:34" x14ac:dyDescent="0.2">
      <c r="A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row>
    <row r="173" spans="1:34" x14ac:dyDescent="0.2">
      <c r="A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row>
    <row r="174" spans="1:34" x14ac:dyDescent="0.2">
      <c r="A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row>
    <row r="175" spans="1:34" x14ac:dyDescent="0.2">
      <c r="A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row>
    <row r="176" spans="1:34" x14ac:dyDescent="0.2">
      <c r="A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row>
    <row r="177" spans="1:34" x14ac:dyDescent="0.2">
      <c r="A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row>
    <row r="178" spans="1:34" x14ac:dyDescent="0.2">
      <c r="A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row>
    <row r="179" spans="1:34" x14ac:dyDescent="0.2">
      <c r="A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row>
    <row r="180" spans="1:34" x14ac:dyDescent="0.2">
      <c r="A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row>
    <row r="181" spans="1:34" x14ac:dyDescent="0.2">
      <c r="A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row>
    <row r="182" spans="1:34" x14ac:dyDescent="0.2">
      <c r="A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x14ac:dyDescent="0.2">
      <c r="A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x14ac:dyDescent="0.2">
      <c r="A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row>
    <row r="185" spans="1:34" x14ac:dyDescent="0.2">
      <c r="A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row>
    <row r="186" spans="1:34" x14ac:dyDescent="0.2">
      <c r="A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row>
    <row r="187" spans="1:34" x14ac:dyDescent="0.2">
      <c r="A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row>
    <row r="188" spans="1:34" x14ac:dyDescent="0.2">
      <c r="A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row>
    <row r="189" spans="1:34" x14ac:dyDescent="0.2">
      <c r="A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row>
    <row r="190" spans="1:34" x14ac:dyDescent="0.2">
      <c r="A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x14ac:dyDescent="0.2">
      <c r="A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x14ac:dyDescent="0.2">
      <c r="A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row>
    <row r="193" spans="1:34" x14ac:dyDescent="0.2">
      <c r="A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row>
    <row r="194" spans="1:34" x14ac:dyDescent="0.2">
      <c r="A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row>
    <row r="195" spans="1:34" x14ac:dyDescent="0.2">
      <c r="A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row>
    <row r="196" spans="1:34" x14ac:dyDescent="0.2">
      <c r="A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row>
    <row r="197" spans="1:34" x14ac:dyDescent="0.2">
      <c r="A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row>
    <row r="198" spans="1:34" x14ac:dyDescent="0.2">
      <c r="A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x14ac:dyDescent="0.2">
      <c r="A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x14ac:dyDescent="0.2">
      <c r="A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row>
    <row r="201" spans="1:34" x14ac:dyDescent="0.2">
      <c r="A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row>
    <row r="202" spans="1:34" x14ac:dyDescent="0.2">
      <c r="A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row>
    <row r="203" spans="1:34" x14ac:dyDescent="0.2">
      <c r="A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row>
    <row r="204" spans="1:34" x14ac:dyDescent="0.2">
      <c r="A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row>
    <row r="205" spans="1:34" x14ac:dyDescent="0.2">
      <c r="A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row>
    <row r="206" spans="1:34" x14ac:dyDescent="0.2">
      <c r="A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row>
    <row r="207" spans="1:34" x14ac:dyDescent="0.2">
      <c r="A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row>
    <row r="208" spans="1:34" x14ac:dyDescent="0.2">
      <c r="A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row>
    <row r="209" spans="1:34" x14ac:dyDescent="0.2">
      <c r="A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row>
    <row r="210" spans="1:34" x14ac:dyDescent="0.2">
      <c r="A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row>
    <row r="211" spans="1:34" x14ac:dyDescent="0.2">
      <c r="A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row>
    <row r="212" spans="1:34" x14ac:dyDescent="0.2">
      <c r="A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row>
    <row r="213" spans="1:34" x14ac:dyDescent="0.2">
      <c r="A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row>
    <row r="214" spans="1:34" x14ac:dyDescent="0.2">
      <c r="A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row>
    <row r="215" spans="1:34" x14ac:dyDescent="0.2">
      <c r="A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row>
    <row r="216" spans="1:34" x14ac:dyDescent="0.2">
      <c r="A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row>
    <row r="217" spans="1:34" x14ac:dyDescent="0.2">
      <c r="A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row>
    <row r="218" spans="1:34" x14ac:dyDescent="0.2">
      <c r="A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row>
    <row r="219" spans="1:34" x14ac:dyDescent="0.2">
      <c r="A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row>
    <row r="220" spans="1:34" x14ac:dyDescent="0.2">
      <c r="A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row>
    <row r="221" spans="1:34" x14ac:dyDescent="0.2">
      <c r="A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row>
    <row r="222" spans="1:34" x14ac:dyDescent="0.2">
      <c r="A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row>
    <row r="223" spans="1:34" x14ac:dyDescent="0.2">
      <c r="A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row>
    <row r="224" spans="1:34" x14ac:dyDescent="0.2">
      <c r="A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row>
    <row r="225" spans="1:34" x14ac:dyDescent="0.2">
      <c r="A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row>
    <row r="226" spans="1:34" x14ac:dyDescent="0.2">
      <c r="A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row>
    <row r="227" spans="1:34" x14ac:dyDescent="0.2">
      <c r="A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row>
    <row r="228" spans="1:34" x14ac:dyDescent="0.2">
      <c r="A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row>
    <row r="229" spans="1:34" x14ac:dyDescent="0.2">
      <c r="A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row>
    <row r="230" spans="1:34" x14ac:dyDescent="0.2">
      <c r="A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row>
    <row r="231" spans="1:34" x14ac:dyDescent="0.2">
      <c r="A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row>
    <row r="232" spans="1:34" x14ac:dyDescent="0.2">
      <c r="A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row>
    <row r="233" spans="1:34" x14ac:dyDescent="0.2">
      <c r="A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row>
    <row r="234" spans="1:34" x14ac:dyDescent="0.2">
      <c r="A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row>
    <row r="235" spans="1:34" x14ac:dyDescent="0.2">
      <c r="A235" s="3"/>
    </row>
    <row r="236" spans="1:34" x14ac:dyDescent="0.2">
      <c r="A236" s="3"/>
    </row>
    <row r="237" spans="1:34" x14ac:dyDescent="0.2">
      <c r="A237" s="3"/>
    </row>
  </sheetData>
  <sheetProtection algorithmName="SHA-512" hashValue="3Iv43/OLRr9+9AP8GRQ/l7/65gcVFRSZJ0gzbNvuSRbfdUy57kU3esu5+cjT0cwWjfxYd/ePmrSLVTiZbNVztA==" saltValue="pkxZMV5Yx8E9t88T9eRA/g==" spinCount="100000" sheet="1" formatColumns="0" formatRows="0"/>
  <phoneticPr fontId="16" type="noConversion"/>
  <conditionalFormatting sqref="G114:P133 G42:P48 G50:P64 K134:P134">
    <cfRule type="expression" dxfId="12" priority="12">
      <formula>G$21="No"</formula>
    </cfRule>
  </conditionalFormatting>
  <conditionalFormatting sqref="G71:P73 K112:P112 G75:P111">
    <cfRule type="expression" dxfId="11" priority="11">
      <formula>G$21="No"</formula>
    </cfRule>
  </conditionalFormatting>
  <conditionalFormatting sqref="K140:P149">
    <cfRule type="expression" dxfId="10" priority="10">
      <formula>K$21="No"</formula>
    </cfRule>
  </conditionalFormatting>
  <conditionalFormatting sqref="G24:P25">
    <cfRule type="expression" dxfId="9" priority="13">
      <formula>G$21=$V$20</formula>
    </cfRule>
  </conditionalFormatting>
  <conditionalFormatting sqref="C3">
    <cfRule type="cellIs" dxfId="8" priority="6" operator="equal">
      <formula>0</formula>
    </cfRule>
  </conditionalFormatting>
  <conditionalFormatting sqref="G112:J112">
    <cfRule type="expression" dxfId="7" priority="5">
      <formula>G$21="No"</formula>
    </cfRule>
  </conditionalFormatting>
  <conditionalFormatting sqref="G134:J134">
    <cfRule type="expression" dxfId="6" priority="4">
      <formula>G$21="No"</formula>
    </cfRule>
  </conditionalFormatting>
  <conditionalFormatting sqref="G140:J149">
    <cfRule type="expression" dxfId="5" priority="3">
      <formula>G$21="No"</formula>
    </cfRule>
  </conditionalFormatting>
  <conditionalFormatting sqref="G34:P41">
    <cfRule type="expression" dxfId="4" priority="2">
      <formula>G$21="No"</formula>
    </cfRule>
  </conditionalFormatting>
  <conditionalFormatting sqref="G74:P74">
    <cfRule type="expression" dxfId="3" priority="1">
      <formula>G$21="No"</formula>
    </cfRule>
  </conditionalFormatting>
  <dataValidations xWindow="1097" yWindow="672" count="5">
    <dataValidation allowBlank="1" showInputMessage="1" showErrorMessage="1" promptTitle="Sum of total spending" prompt="All individual spending allocations should be summed for each of the 10 years to calculate the council's total proposed spending for each year._x000a_" sqref="C154:F154" xr:uid="{00000000-0002-0000-0A00-000000000000}"/>
    <dataValidation allowBlank="1" showInputMessage="1" showErrorMessage="1" prompt="This shows the difference between the council's total proposed spending program and the total additional funding available to the council from the SV._x000a__x000a_It may not = 0 if a council seeks an SV partly or wholly to enhance its financial sustainability." sqref="C155:F155" xr:uid="{00000000-0002-0000-0A00-000001000000}"/>
    <dataValidation allowBlank="1" showInputMessage="1" showErrorMessage="1" promptTitle="New projects/services" prompt="Include new projects or services to be funded by the additional SV income eg, city centre upgrade, new sports centre._x000a__x000a_Include additional rows if needed._x000a__x000a_Delete this heading and associated rows if this is not part of the council's application." sqref="C68:F69" xr:uid="{00000000-0002-0000-0A00-000002000000}"/>
    <dataValidation allowBlank="1" showInputMessage="1" showErrorMessage="1" promptTitle="Maintenance of current services" sqref="C30:F31" xr:uid="{00000000-0002-0000-0A00-000003000000}"/>
    <dataValidation allowBlank="1" showErrorMessage="1" sqref="C33:P64" xr:uid="{00000000-0002-0000-0A00-000004000000}"/>
  </dataValidations>
  <printOptions horizontalCentered="1"/>
  <pageMargins left="0.11811023622047245" right="0.11811023622047245" top="0.19685039370078741" bottom="0.19685039370078741" header="0.11811023622047245" footer="0.19685039370078741"/>
  <pageSetup paperSize="9" scale="86" fitToWidth="0" fitToHeight="0"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AX391"/>
  <sheetViews>
    <sheetView showGridLines="0" topLeftCell="A11" zoomScale="115" zoomScaleNormal="115" workbookViewId="0">
      <selection activeCell="R32" sqref="R32"/>
    </sheetView>
  </sheetViews>
  <sheetFormatPr defaultRowHeight="11.4" x14ac:dyDescent="0.2"/>
  <cols>
    <col min="1" max="1" width="1.875" customWidth="1"/>
    <col min="2" max="2" width="2.375" customWidth="1"/>
    <col min="3" max="3" width="15.875" customWidth="1"/>
    <col min="4" max="4" width="13.125" customWidth="1"/>
    <col min="5" max="5" width="14.875" customWidth="1"/>
    <col min="6" max="6" width="12.125" customWidth="1"/>
    <col min="7" max="9" width="16" customWidth="1"/>
    <col min="10" max="20" width="11.875" customWidth="1"/>
    <col min="21" max="21" width="8.125" bestFit="1" customWidth="1"/>
  </cols>
  <sheetData>
    <row r="1" spans="1:44" ht="14.4" thickBot="1" x14ac:dyDescent="0.3">
      <c r="A1" s="3"/>
      <c r="B1" s="3"/>
      <c r="C1" s="3"/>
      <c r="D1" s="3"/>
      <c r="E1" s="3"/>
      <c r="F1" s="3"/>
      <c r="G1" s="62"/>
      <c r="H1" s="62"/>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4" s="142" customFormat="1" ht="15" x14ac:dyDescent="0.25">
      <c r="A2" s="129"/>
      <c r="B2" s="363"/>
      <c r="C2" s="778"/>
      <c r="D2" s="778"/>
      <c r="E2" s="778"/>
      <c r="F2" s="778"/>
      <c r="G2" s="778"/>
      <c r="H2" s="778"/>
      <c r="I2" s="778"/>
      <c r="J2" s="778"/>
      <c r="K2" s="778"/>
      <c r="L2" s="778"/>
      <c r="M2" s="778"/>
      <c r="N2" s="778"/>
      <c r="O2" s="778"/>
      <c r="P2" s="778"/>
      <c r="Q2" s="778"/>
      <c r="R2" s="778"/>
      <c r="S2" s="778"/>
      <c r="T2" s="778"/>
      <c r="U2" s="779"/>
      <c r="V2" s="3"/>
      <c r="W2" s="129"/>
      <c r="X2" s="129"/>
      <c r="Y2" s="129"/>
      <c r="Z2" s="129"/>
      <c r="AA2" s="129"/>
      <c r="AB2" s="129"/>
      <c r="AC2" s="129"/>
      <c r="AD2" s="129"/>
      <c r="AE2" s="129"/>
      <c r="AF2" s="129"/>
      <c r="AG2" s="129"/>
      <c r="AH2" s="129"/>
      <c r="AI2" s="129"/>
      <c r="AJ2" s="129"/>
      <c r="AK2" s="129"/>
      <c r="AL2" s="129"/>
      <c r="AM2" s="129"/>
      <c r="AN2" s="129"/>
      <c r="AO2" s="129"/>
      <c r="AP2" s="129"/>
    </row>
    <row r="3" spans="1:44" s="142" customFormat="1" ht="15.6" x14ac:dyDescent="0.3">
      <c r="A3" s="129"/>
      <c r="B3" s="215"/>
      <c r="C3" s="695" t="str">
        <f>'WK2 - Notional General Income'!$C$3</f>
        <v>Hornsby, The Council of the Shire of</v>
      </c>
      <c r="D3" s="226"/>
      <c r="E3" s="226"/>
      <c r="F3" s="226"/>
      <c r="G3" s="226"/>
      <c r="H3" s="227"/>
      <c r="I3" s="3"/>
      <c r="J3" s="3"/>
      <c r="K3" s="129"/>
      <c r="L3" s="780"/>
      <c r="M3" s="781"/>
      <c r="N3" s="3"/>
      <c r="O3" s="138"/>
      <c r="P3" s="138"/>
      <c r="Q3" s="165"/>
      <c r="R3" s="165"/>
      <c r="S3" s="129"/>
      <c r="T3" s="129"/>
      <c r="U3" s="217"/>
      <c r="V3" s="3"/>
      <c r="W3" s="129"/>
      <c r="X3" s="129"/>
      <c r="Y3" s="129"/>
      <c r="Z3" s="129"/>
      <c r="AA3" s="129"/>
      <c r="AB3" s="129"/>
      <c r="AC3" s="129"/>
      <c r="AD3" s="129"/>
      <c r="AE3" s="129"/>
      <c r="AF3" s="129"/>
      <c r="AG3" s="129"/>
      <c r="AH3" s="129"/>
      <c r="AI3" s="129"/>
      <c r="AJ3" s="129"/>
      <c r="AK3" s="129"/>
      <c r="AL3" s="129"/>
      <c r="AM3" s="129"/>
      <c r="AN3" s="129"/>
      <c r="AO3" s="129"/>
      <c r="AP3" s="129"/>
    </row>
    <row r="4" spans="1:44" s="142" customFormat="1" ht="3.6" customHeight="1" x14ac:dyDescent="0.25">
      <c r="A4" s="129"/>
      <c r="B4" s="215"/>
      <c r="C4" s="129"/>
      <c r="D4" s="129"/>
      <c r="E4" s="129"/>
      <c r="F4" s="129"/>
      <c r="G4" s="129"/>
      <c r="H4" s="129"/>
      <c r="I4" s="129"/>
      <c r="J4" s="129"/>
      <c r="K4" s="129"/>
      <c r="L4" s="129"/>
      <c r="M4" s="129"/>
      <c r="N4" s="165"/>
      <c r="O4" s="165"/>
      <c r="P4" s="165"/>
      <c r="Q4" s="165"/>
      <c r="R4" s="165"/>
      <c r="S4" s="129"/>
      <c r="T4" s="129"/>
      <c r="U4" s="217"/>
      <c r="V4" s="3"/>
      <c r="W4" s="129"/>
      <c r="X4" s="129"/>
      <c r="Y4" s="129"/>
      <c r="Z4" s="129"/>
      <c r="AA4" s="129"/>
      <c r="AB4" s="129"/>
      <c r="AC4" s="129"/>
      <c r="AD4" s="129"/>
      <c r="AE4" s="129"/>
      <c r="AF4" s="129"/>
      <c r="AG4" s="129"/>
      <c r="AH4" s="129"/>
      <c r="AI4" s="129"/>
      <c r="AJ4" s="129"/>
      <c r="AK4" s="129"/>
      <c r="AL4" s="129"/>
      <c r="AM4" s="129"/>
      <c r="AN4" s="129"/>
      <c r="AO4" s="129"/>
      <c r="AP4" s="129"/>
    </row>
    <row r="5" spans="1:44" s="142" customFormat="1" ht="28.95" customHeight="1" x14ac:dyDescent="0.3">
      <c r="A5" s="129"/>
      <c r="B5" s="215"/>
      <c r="C5" s="129"/>
      <c r="D5" s="129"/>
      <c r="E5" s="129"/>
      <c r="F5" s="85" t="s">
        <v>879</v>
      </c>
      <c r="G5" s="129"/>
      <c r="H5" s="129"/>
      <c r="I5" s="85"/>
      <c r="J5" s="129"/>
      <c r="K5" s="129"/>
      <c r="L5" s="85"/>
      <c r="M5" s="85"/>
      <c r="N5" s="164"/>
      <c r="O5" s="164"/>
      <c r="P5" s="129"/>
      <c r="Q5" s="164"/>
      <c r="R5" s="164"/>
      <c r="S5" s="129"/>
      <c r="T5" s="129"/>
      <c r="U5" s="216"/>
      <c r="V5" s="3"/>
      <c r="W5" s="129"/>
      <c r="X5" s="129"/>
      <c r="Y5" s="129"/>
      <c r="Z5" s="129"/>
      <c r="AA5" s="129"/>
      <c r="AB5" s="129"/>
      <c r="AC5" s="129"/>
      <c r="AD5" s="129"/>
      <c r="AE5" s="129"/>
      <c r="AF5" s="129"/>
      <c r="AG5" s="129"/>
      <c r="AH5" s="129"/>
      <c r="AI5" s="129"/>
      <c r="AJ5" s="129"/>
      <c r="AK5" s="129"/>
      <c r="AL5" s="129"/>
      <c r="AM5" s="129"/>
      <c r="AN5" s="129"/>
      <c r="AO5" s="129"/>
      <c r="AP5" s="129"/>
    </row>
    <row r="6" spans="1:44" s="142" customFormat="1" ht="11.25" customHeight="1" x14ac:dyDescent="0.25">
      <c r="A6" s="129"/>
      <c r="B6" s="215"/>
      <c r="C6" s="129"/>
      <c r="D6" s="129"/>
      <c r="E6" s="129"/>
      <c r="F6" s="129"/>
      <c r="G6" s="129"/>
      <c r="H6" s="129"/>
      <c r="I6" s="129"/>
      <c r="J6" s="129"/>
      <c r="K6" s="129"/>
      <c r="L6" s="129"/>
      <c r="M6" s="129"/>
      <c r="N6" s="165"/>
      <c r="O6" s="165"/>
      <c r="P6" s="129"/>
      <c r="Q6" s="165"/>
      <c r="R6" s="165"/>
      <c r="S6" s="129"/>
      <c r="T6" s="129"/>
      <c r="U6" s="217"/>
      <c r="V6" s="3"/>
      <c r="W6" s="129"/>
      <c r="X6" s="129"/>
      <c r="Y6" s="129"/>
      <c r="Z6" s="129"/>
      <c r="AA6" s="129"/>
      <c r="AB6" s="129"/>
      <c r="AC6" s="129"/>
      <c r="AD6" s="129"/>
      <c r="AE6" s="129"/>
      <c r="AF6" s="129"/>
      <c r="AG6" s="129"/>
      <c r="AH6" s="129"/>
      <c r="AI6" s="129"/>
      <c r="AJ6" s="129"/>
      <c r="AK6" s="129"/>
      <c r="AL6" s="129"/>
      <c r="AM6" s="129"/>
      <c r="AN6" s="129"/>
      <c r="AO6" s="129"/>
      <c r="AP6" s="129"/>
    </row>
    <row r="7" spans="1:44" s="142" customFormat="1" ht="17.25" customHeight="1" x14ac:dyDescent="0.3">
      <c r="A7" s="129"/>
      <c r="B7" s="215"/>
      <c r="C7" s="129"/>
      <c r="D7" s="129"/>
      <c r="E7" s="129"/>
      <c r="F7" s="134" t="s">
        <v>880</v>
      </c>
      <c r="G7" s="129"/>
      <c r="H7" s="129"/>
      <c r="I7" s="4"/>
      <c r="J7" s="129"/>
      <c r="K7" s="129"/>
      <c r="L7" s="134"/>
      <c r="M7" s="134"/>
      <c r="N7" s="134"/>
      <c r="O7" s="134"/>
      <c r="P7" s="129"/>
      <c r="Q7" s="134"/>
      <c r="R7" s="166"/>
      <c r="S7" s="129"/>
      <c r="T7" s="129"/>
      <c r="U7" s="441"/>
      <c r="V7" s="3"/>
      <c r="W7" s="129"/>
      <c r="X7" s="129"/>
      <c r="Y7" s="129"/>
      <c r="Z7" s="129"/>
      <c r="AA7" s="129"/>
      <c r="AB7" s="129"/>
      <c r="AC7" s="129"/>
      <c r="AD7" s="129"/>
      <c r="AE7" s="129"/>
      <c r="AF7" s="129"/>
      <c r="AG7" s="129"/>
      <c r="AH7" s="129"/>
      <c r="AI7" s="129"/>
      <c r="AJ7" s="129"/>
      <c r="AK7" s="129"/>
      <c r="AL7" s="129"/>
      <c r="AM7" s="129"/>
      <c r="AN7" s="129"/>
      <c r="AO7" s="129"/>
      <c r="AP7" s="129"/>
    </row>
    <row r="8" spans="1:44" s="142" customFormat="1" ht="25.5" customHeight="1" x14ac:dyDescent="0.25">
      <c r="A8" s="129"/>
      <c r="B8" s="215"/>
      <c r="C8" s="129"/>
      <c r="D8" s="129"/>
      <c r="E8" s="129"/>
      <c r="F8" s="171" t="s">
        <v>881</v>
      </c>
      <c r="G8" s="129"/>
      <c r="H8" s="129"/>
      <c r="I8" s="129"/>
      <c r="J8" s="129"/>
      <c r="K8" s="129"/>
      <c r="L8" s="129"/>
      <c r="M8" s="129"/>
      <c r="N8" s="165"/>
      <c r="O8" s="165"/>
      <c r="P8" s="129"/>
      <c r="Q8" s="165"/>
      <c r="R8" s="165"/>
      <c r="S8" s="129"/>
      <c r="T8" s="129"/>
      <c r="U8" s="217"/>
      <c r="V8" s="3"/>
      <c r="W8" s="129"/>
      <c r="X8" s="129"/>
      <c r="Y8" s="129"/>
      <c r="Z8" s="129"/>
      <c r="AA8" s="129"/>
      <c r="AB8" s="129"/>
      <c r="AC8" s="129"/>
      <c r="AD8" s="129"/>
      <c r="AE8" s="129"/>
      <c r="AF8" s="129"/>
      <c r="AG8" s="129"/>
      <c r="AH8" s="129"/>
      <c r="AI8" s="129"/>
      <c r="AJ8" s="129"/>
      <c r="AK8" s="129"/>
      <c r="AL8" s="129"/>
      <c r="AM8" s="129"/>
      <c r="AN8" s="129"/>
      <c r="AO8" s="129"/>
      <c r="AP8" s="129"/>
    </row>
    <row r="9" spans="1:44" s="142" customFormat="1" ht="15.6" x14ac:dyDescent="0.3">
      <c r="A9" s="129"/>
      <c r="B9" s="215"/>
      <c r="C9" s="129"/>
      <c r="D9" s="129"/>
      <c r="E9" s="129"/>
      <c r="F9" s="129"/>
      <c r="G9" s="129"/>
      <c r="H9" s="129"/>
      <c r="I9" s="134"/>
      <c r="J9" s="129"/>
      <c r="K9" s="129"/>
      <c r="L9" s="134"/>
      <c r="M9" s="134"/>
      <c r="N9" s="166"/>
      <c r="O9" s="166"/>
      <c r="P9" s="129"/>
      <c r="Q9" s="166"/>
      <c r="R9" s="166"/>
      <c r="S9" s="129"/>
      <c r="T9" s="129"/>
      <c r="U9" s="441"/>
      <c r="V9" s="3"/>
      <c r="W9" s="129"/>
      <c r="X9" s="129"/>
      <c r="Y9" s="129"/>
      <c r="Z9" s="129"/>
      <c r="AA9" s="129"/>
      <c r="AB9" s="129"/>
      <c r="AC9" s="129"/>
      <c r="AD9" s="129"/>
      <c r="AE9" s="129"/>
      <c r="AF9" s="129"/>
      <c r="AG9" s="129"/>
      <c r="AH9" s="129"/>
      <c r="AI9" s="129"/>
      <c r="AJ9" s="129"/>
      <c r="AK9" s="129"/>
      <c r="AL9" s="129"/>
      <c r="AM9" s="129"/>
      <c r="AN9" s="129"/>
      <c r="AO9" s="129"/>
      <c r="AP9" s="129"/>
    </row>
    <row r="10" spans="1:44" s="142" customFormat="1" ht="10.199999999999999" customHeight="1" x14ac:dyDescent="0.3">
      <c r="A10" s="129"/>
      <c r="B10" s="215"/>
      <c r="C10" s="129"/>
      <c r="D10" s="129"/>
      <c r="E10" s="129"/>
      <c r="F10" s="191" t="s">
        <v>882</v>
      </c>
      <c r="G10" s="129"/>
      <c r="H10" s="129"/>
      <c r="I10" s="129"/>
      <c r="J10" s="129"/>
      <c r="K10" s="129"/>
      <c r="L10" s="129"/>
      <c r="M10" s="134"/>
      <c r="N10" s="191"/>
      <c r="O10" s="191"/>
      <c r="P10" s="129"/>
      <c r="Q10" s="191"/>
      <c r="R10" s="191"/>
      <c r="S10" s="129"/>
      <c r="T10" s="129"/>
      <c r="U10" s="281"/>
      <c r="V10" s="3"/>
      <c r="W10" s="129"/>
      <c r="X10" s="129"/>
      <c r="Y10" s="129"/>
      <c r="Z10" s="129"/>
      <c r="AA10" s="129"/>
      <c r="AB10" s="129"/>
      <c r="AC10" s="129"/>
      <c r="AD10" s="129"/>
      <c r="AE10" s="129"/>
      <c r="AF10" s="129"/>
      <c r="AG10" s="129"/>
      <c r="AH10" s="129"/>
      <c r="AI10" s="129"/>
      <c r="AJ10" s="129"/>
      <c r="AK10" s="129"/>
      <c r="AL10" s="129"/>
      <c r="AM10" s="129"/>
      <c r="AN10" s="129"/>
      <c r="AO10" s="129"/>
      <c r="AP10" s="129"/>
    </row>
    <row r="11" spans="1:44" s="142" customFormat="1" ht="12" customHeight="1" x14ac:dyDescent="0.3">
      <c r="A11" s="129"/>
      <c r="B11" s="215"/>
      <c r="C11" s="129"/>
      <c r="D11" s="129"/>
      <c r="E11" s="129"/>
      <c r="F11" s="191" t="s">
        <v>883</v>
      </c>
      <c r="G11" s="129"/>
      <c r="H11" s="129"/>
      <c r="I11" s="129"/>
      <c r="J11" s="129"/>
      <c r="K11" s="129"/>
      <c r="L11" s="129"/>
      <c r="M11" s="134"/>
      <c r="N11" s="191"/>
      <c r="O11" s="191"/>
      <c r="P11" s="129"/>
      <c r="Q11" s="191"/>
      <c r="R11" s="191"/>
      <c r="S11" s="129"/>
      <c r="T11" s="129"/>
      <c r="U11" s="281"/>
      <c r="V11" s="3"/>
      <c r="W11" s="129"/>
      <c r="X11" s="129"/>
      <c r="Y11" s="129"/>
      <c r="Z11" s="129"/>
      <c r="AA11" s="129"/>
      <c r="AB11" s="129"/>
      <c r="AC11" s="129"/>
      <c r="AD11" s="129"/>
      <c r="AE11" s="129"/>
      <c r="AF11" s="129"/>
      <c r="AG11" s="129"/>
      <c r="AH11" s="129"/>
      <c r="AI11" s="129"/>
      <c r="AJ11" s="129"/>
      <c r="AK11" s="129"/>
      <c r="AL11" s="129"/>
      <c r="AM11" s="129"/>
      <c r="AN11" s="129"/>
      <c r="AO11" s="129"/>
      <c r="AP11" s="129"/>
    </row>
    <row r="12" spans="1:44" s="142" customFormat="1" ht="10.199999999999999" customHeight="1" x14ac:dyDescent="0.3">
      <c r="A12" s="129"/>
      <c r="B12" s="215"/>
      <c r="C12" s="129"/>
      <c r="D12" s="129"/>
      <c r="E12" s="129"/>
      <c r="F12" s="129"/>
      <c r="G12" s="191"/>
      <c r="H12" s="129"/>
      <c r="I12" s="129"/>
      <c r="J12" s="129"/>
      <c r="K12" s="129"/>
      <c r="L12" s="191"/>
      <c r="M12" s="134"/>
      <c r="N12" s="191"/>
      <c r="O12" s="191"/>
      <c r="P12" s="129"/>
      <c r="Q12" s="191"/>
      <c r="R12" s="191"/>
      <c r="S12" s="129"/>
      <c r="T12" s="129"/>
      <c r="U12" s="281"/>
      <c r="V12" s="3"/>
      <c r="W12" s="129"/>
      <c r="X12" s="129"/>
      <c r="Y12" s="129"/>
      <c r="Z12" s="129"/>
      <c r="AA12" s="129"/>
      <c r="AB12" s="129"/>
      <c r="AC12" s="129"/>
      <c r="AD12" s="129"/>
      <c r="AE12" s="129"/>
      <c r="AF12" s="129"/>
      <c r="AG12" s="129"/>
      <c r="AH12" s="129"/>
      <c r="AI12" s="129"/>
      <c r="AJ12" s="129"/>
      <c r="AK12" s="129"/>
      <c r="AL12" s="129"/>
      <c r="AM12" s="129"/>
      <c r="AN12" s="129"/>
      <c r="AO12" s="129"/>
      <c r="AP12" s="129"/>
    </row>
    <row r="13" spans="1:44" s="142" customFormat="1" ht="7.5" customHeight="1" x14ac:dyDescent="0.3">
      <c r="A13" s="129"/>
      <c r="B13" s="215"/>
      <c r="C13" s="129"/>
      <c r="D13" s="129"/>
      <c r="E13" s="129"/>
      <c r="F13" s="129"/>
      <c r="G13" s="191"/>
      <c r="H13" s="129"/>
      <c r="I13" s="129"/>
      <c r="J13" s="129"/>
      <c r="K13" s="129"/>
      <c r="L13" s="191"/>
      <c r="M13" s="134"/>
      <c r="N13" s="191"/>
      <c r="O13" s="191"/>
      <c r="P13" s="129"/>
      <c r="Q13" s="191"/>
      <c r="R13" s="191"/>
      <c r="S13" s="129"/>
      <c r="T13" s="129"/>
      <c r="U13" s="281"/>
      <c r="V13" s="3"/>
      <c r="W13" s="129"/>
      <c r="X13" s="129"/>
      <c r="Y13" s="129"/>
      <c r="Z13" s="129"/>
      <c r="AA13" s="129"/>
      <c r="AB13" s="129"/>
      <c r="AC13" s="129"/>
      <c r="AD13" s="129"/>
      <c r="AE13" s="129"/>
      <c r="AF13" s="129"/>
      <c r="AG13" s="129"/>
      <c r="AH13" s="129"/>
      <c r="AI13" s="129"/>
      <c r="AJ13" s="129"/>
      <c r="AK13" s="129"/>
      <c r="AL13" s="129"/>
      <c r="AM13" s="129"/>
      <c r="AN13" s="129"/>
      <c r="AO13" s="129"/>
      <c r="AP13" s="129"/>
    </row>
    <row r="14" spans="1:44" ht="15.6" x14ac:dyDescent="0.3">
      <c r="A14" s="3"/>
      <c r="B14" s="968"/>
      <c r="C14" s="490" t="s">
        <v>884</v>
      </c>
      <c r="D14" s="180"/>
      <c r="E14" s="180"/>
      <c r="F14" s="490"/>
      <c r="G14" s="187" t="s">
        <v>885</v>
      </c>
      <c r="H14" s="490"/>
      <c r="I14" s="187"/>
      <c r="J14" s="187"/>
      <c r="K14" s="187"/>
      <c r="L14" s="491"/>
      <c r="M14" s="3"/>
      <c r="N14" s="3"/>
      <c r="O14" s="134"/>
      <c r="P14" s="3"/>
      <c r="Q14" s="3"/>
      <c r="R14" s="129"/>
      <c r="S14" s="3"/>
      <c r="T14" s="3"/>
      <c r="U14" s="1081"/>
      <c r="V14" s="3"/>
      <c r="W14" s="3"/>
      <c r="X14" s="3"/>
      <c r="Y14" s="3"/>
      <c r="Z14" s="3"/>
      <c r="AA14" s="3"/>
      <c r="AB14" s="3"/>
      <c r="AC14" s="3"/>
      <c r="AD14" s="3"/>
      <c r="AE14" s="3"/>
      <c r="AF14" s="3"/>
      <c r="AG14" s="3"/>
      <c r="AH14" s="3"/>
      <c r="AI14" s="3"/>
      <c r="AJ14" s="3"/>
      <c r="AK14" s="3"/>
      <c r="AL14" s="3"/>
      <c r="AM14" s="3"/>
      <c r="AN14" s="3"/>
      <c r="AO14" s="3"/>
      <c r="AP14" s="3"/>
      <c r="AQ14" s="3"/>
      <c r="AR14" s="3"/>
    </row>
    <row r="15" spans="1:44" ht="15.6" x14ac:dyDescent="0.3">
      <c r="A15" s="3"/>
      <c r="B15" s="968"/>
      <c r="C15" s="815"/>
      <c r="D15" s="815"/>
      <c r="E15" s="815"/>
      <c r="F15" s="1030"/>
      <c r="G15" s="782" t="str">
        <f>'WK0 - Input data'!C$58</f>
        <v>2017-18</v>
      </c>
      <c r="H15" s="782" t="str">
        <f>'WK0 - Input data'!D$58</f>
        <v>2018-19</v>
      </c>
      <c r="I15" s="782" t="str">
        <f>'WK0 - Input data'!E$58</f>
        <v>2019-20</v>
      </c>
      <c r="J15" s="782" t="str">
        <f>'WK0 - Input data'!F$58</f>
        <v>2020-21</v>
      </c>
      <c r="K15" s="782" t="str">
        <f>'WK0 - Input data'!G$58</f>
        <v>2021-22</v>
      </c>
      <c r="L15" s="918"/>
      <c r="M15" s="3"/>
      <c r="N15" s="3"/>
      <c r="O15" s="134"/>
      <c r="P15" s="3"/>
      <c r="Q15" s="3"/>
      <c r="R15" s="3"/>
      <c r="S15" s="3"/>
      <c r="T15" s="3"/>
      <c r="U15" s="1081"/>
      <c r="V15" s="3"/>
      <c r="W15" s="3"/>
      <c r="X15" s="3"/>
      <c r="Y15" s="3"/>
      <c r="Z15" s="3"/>
      <c r="AA15" s="3"/>
      <c r="AB15" s="3"/>
      <c r="AC15" s="3"/>
      <c r="AD15" s="3"/>
      <c r="AE15" s="3"/>
      <c r="AF15" s="3"/>
      <c r="AG15" s="3"/>
      <c r="AH15" s="3"/>
      <c r="AI15" s="3"/>
      <c r="AJ15" s="3"/>
      <c r="AK15" s="3"/>
      <c r="AL15" s="3"/>
      <c r="AM15" s="3"/>
      <c r="AN15" s="3"/>
      <c r="AO15" s="3"/>
      <c r="AP15" s="3"/>
      <c r="AQ15" s="3"/>
      <c r="AR15" s="3"/>
    </row>
    <row r="16" spans="1:44" ht="15.6" x14ac:dyDescent="0.3">
      <c r="A16" s="3"/>
      <c r="B16" s="212"/>
      <c r="C16" s="253" t="s">
        <v>850</v>
      </c>
      <c r="D16" s="3"/>
      <c r="E16" s="3"/>
      <c r="F16" s="3"/>
      <c r="G16" s="278"/>
      <c r="H16" s="278"/>
      <c r="I16" s="278"/>
      <c r="J16" s="278"/>
      <c r="K16" s="278"/>
      <c r="L16" s="96"/>
      <c r="M16" s="3"/>
      <c r="N16" s="3"/>
      <c r="O16" s="134"/>
      <c r="P16" s="3"/>
      <c r="Q16" s="3"/>
      <c r="R16" s="3"/>
      <c r="S16" s="3"/>
      <c r="T16" s="3"/>
      <c r="U16" s="1081"/>
      <c r="V16" s="3"/>
      <c r="W16" s="3"/>
      <c r="X16" s="3"/>
      <c r="Y16" s="3"/>
      <c r="Z16" s="3"/>
      <c r="AA16" s="3"/>
      <c r="AB16" s="3"/>
      <c r="AC16" s="3"/>
      <c r="AD16" s="3"/>
      <c r="AE16" s="3"/>
      <c r="AF16" s="3"/>
      <c r="AG16" s="3"/>
      <c r="AH16" s="3"/>
      <c r="AI16" s="3"/>
      <c r="AJ16" s="3"/>
      <c r="AK16" s="3"/>
      <c r="AL16" s="3"/>
      <c r="AM16" s="3"/>
      <c r="AN16" s="3"/>
      <c r="AO16" s="3"/>
      <c r="AP16" s="3"/>
      <c r="AQ16" s="3"/>
      <c r="AR16" s="3"/>
    </row>
    <row r="17" spans="1:44" ht="15.6" x14ac:dyDescent="0.3">
      <c r="A17" s="3"/>
      <c r="B17" s="212"/>
      <c r="C17" s="826" t="s">
        <v>886</v>
      </c>
      <c r="D17" s="3"/>
      <c r="E17" s="3"/>
      <c r="F17" s="3"/>
      <c r="G17" s="497">
        <v>89099</v>
      </c>
      <c r="H17" s="497">
        <v>91429</v>
      </c>
      <c r="I17" s="497">
        <v>97155</v>
      </c>
      <c r="J17" s="497">
        <v>100700</v>
      </c>
      <c r="K17" s="497">
        <v>103081</v>
      </c>
      <c r="L17" s="96"/>
      <c r="M17" s="133"/>
      <c r="N17" s="3"/>
      <c r="O17" s="134"/>
      <c r="P17" s="3"/>
      <c r="Q17" s="3"/>
      <c r="R17" s="3"/>
      <c r="S17" s="3"/>
      <c r="T17" s="3"/>
      <c r="U17" s="1081"/>
      <c r="V17" s="3"/>
      <c r="W17" s="3"/>
      <c r="X17" s="3"/>
      <c r="Y17" s="3"/>
      <c r="Z17" s="3"/>
      <c r="AA17" s="3"/>
      <c r="AB17" s="3"/>
      <c r="AC17" s="3"/>
      <c r="AD17" s="3"/>
      <c r="AE17" s="3"/>
      <c r="AF17" s="3"/>
      <c r="AG17" s="3"/>
      <c r="AH17" s="3"/>
      <c r="AI17" s="3"/>
      <c r="AJ17" s="3"/>
      <c r="AK17" s="3"/>
      <c r="AL17" s="3"/>
      <c r="AM17" s="3"/>
      <c r="AN17" s="3"/>
      <c r="AO17" s="3"/>
      <c r="AP17" s="3"/>
      <c r="AQ17" s="3"/>
      <c r="AR17" s="3"/>
    </row>
    <row r="18" spans="1:44" ht="15.6" x14ac:dyDescent="0.3">
      <c r="A18" s="3"/>
      <c r="B18" s="212"/>
      <c r="C18" s="826" t="s">
        <v>887</v>
      </c>
      <c r="D18" s="3"/>
      <c r="E18" s="3"/>
      <c r="F18" s="3"/>
      <c r="G18" s="497">
        <v>13958</v>
      </c>
      <c r="H18" s="497">
        <v>15114</v>
      </c>
      <c r="I18" s="497">
        <v>12115</v>
      </c>
      <c r="J18" s="497">
        <v>14002</v>
      </c>
      <c r="K18" s="497">
        <v>11611</v>
      </c>
      <c r="L18" s="96"/>
      <c r="M18" s="133"/>
      <c r="N18" s="3"/>
      <c r="O18" s="134"/>
      <c r="P18" s="3"/>
      <c r="Q18" s="3"/>
      <c r="R18" s="3"/>
      <c r="S18" s="3"/>
      <c r="T18" s="3"/>
      <c r="U18" s="1081"/>
      <c r="V18" s="3"/>
      <c r="W18" s="3"/>
      <c r="X18" s="3"/>
      <c r="Y18" s="3"/>
      <c r="Z18" s="3"/>
      <c r="AA18" s="3"/>
      <c r="AB18" s="3"/>
      <c r="AC18" s="3"/>
      <c r="AD18" s="3"/>
      <c r="AE18" s="3"/>
      <c r="AF18" s="3"/>
      <c r="AG18" s="3"/>
      <c r="AH18" s="3"/>
      <c r="AI18" s="3"/>
      <c r="AJ18" s="3"/>
      <c r="AK18" s="3"/>
      <c r="AL18" s="3"/>
      <c r="AM18" s="3"/>
      <c r="AN18" s="3"/>
      <c r="AO18" s="3"/>
      <c r="AP18" s="3"/>
      <c r="AQ18" s="3"/>
      <c r="AR18" s="3"/>
    </row>
    <row r="19" spans="1:44" ht="15.6" x14ac:dyDescent="0.3">
      <c r="A19" s="3"/>
      <c r="B19" s="212"/>
      <c r="C19" s="826" t="s">
        <v>888</v>
      </c>
      <c r="D19" s="3"/>
      <c r="E19" s="3"/>
      <c r="F19" s="3"/>
      <c r="G19" s="497">
        <v>4858</v>
      </c>
      <c r="H19" s="497">
        <f>8261-716</f>
        <v>7545</v>
      </c>
      <c r="I19" s="497">
        <v>6016</v>
      </c>
      <c r="J19" s="497">
        <v>3626</v>
      </c>
      <c r="K19" s="497">
        <f>3064</f>
        <v>3064</v>
      </c>
      <c r="L19" s="96"/>
      <c r="M19" s="133"/>
      <c r="N19" s="3"/>
      <c r="O19" s="134"/>
      <c r="P19" s="3"/>
      <c r="Q19" s="3"/>
      <c r="R19" s="3"/>
      <c r="S19" s="3"/>
      <c r="T19" s="3"/>
      <c r="U19" s="1081"/>
      <c r="V19" s="3"/>
      <c r="W19" s="3"/>
      <c r="X19" s="3"/>
      <c r="Y19" s="3"/>
      <c r="Z19" s="3"/>
      <c r="AA19" s="3"/>
      <c r="AB19" s="3"/>
      <c r="AC19" s="3"/>
      <c r="AD19" s="3"/>
      <c r="AE19" s="3"/>
      <c r="AF19" s="3"/>
      <c r="AG19" s="3"/>
      <c r="AH19" s="3"/>
      <c r="AI19" s="3"/>
      <c r="AJ19" s="3"/>
      <c r="AK19" s="3"/>
      <c r="AL19" s="3"/>
      <c r="AM19" s="3"/>
      <c r="AN19" s="3"/>
      <c r="AO19" s="3"/>
      <c r="AP19" s="3"/>
      <c r="AQ19" s="3"/>
      <c r="AR19" s="3"/>
    </row>
    <row r="20" spans="1:44" ht="15.6" x14ac:dyDescent="0.3">
      <c r="A20" s="3"/>
      <c r="B20" s="212"/>
      <c r="C20" s="826" t="s">
        <v>889</v>
      </c>
      <c r="D20" s="3"/>
      <c r="E20" s="3"/>
      <c r="F20" s="3"/>
      <c r="G20" s="497">
        <v>7629</v>
      </c>
      <c r="H20" s="497">
        <v>7405</v>
      </c>
      <c r="I20" s="497">
        <v>3872</v>
      </c>
      <c r="J20" s="497">
        <v>4857</v>
      </c>
      <c r="K20" s="497">
        <v>4045</v>
      </c>
      <c r="L20" s="96"/>
      <c r="M20" s="133"/>
      <c r="N20" s="3"/>
      <c r="O20" s="134"/>
      <c r="P20" s="3"/>
      <c r="Q20" s="3"/>
      <c r="R20" s="3"/>
      <c r="S20" s="3"/>
      <c r="T20" s="3"/>
      <c r="U20" s="1081"/>
      <c r="V20" s="3"/>
      <c r="W20" s="3"/>
      <c r="X20" s="3"/>
      <c r="Y20" s="3"/>
      <c r="Z20" s="3"/>
      <c r="AA20" s="3"/>
      <c r="AB20" s="3"/>
      <c r="AC20" s="3"/>
      <c r="AD20" s="3"/>
      <c r="AE20" s="3"/>
      <c r="AF20" s="3"/>
      <c r="AG20" s="3"/>
      <c r="AH20" s="3"/>
      <c r="AI20" s="3"/>
      <c r="AJ20" s="3"/>
      <c r="AK20" s="3"/>
      <c r="AL20" s="3"/>
      <c r="AM20" s="3"/>
      <c r="AN20" s="3"/>
      <c r="AO20" s="3"/>
      <c r="AP20" s="3"/>
      <c r="AQ20" s="3"/>
      <c r="AR20" s="3"/>
    </row>
    <row r="21" spans="1:44" ht="15.6" x14ac:dyDescent="0.3">
      <c r="A21" s="3"/>
      <c r="B21" s="212"/>
      <c r="C21" s="826" t="s">
        <v>890</v>
      </c>
      <c r="D21" s="3"/>
      <c r="E21" s="3"/>
      <c r="F21" s="3"/>
      <c r="G21" s="497">
        <v>10760</v>
      </c>
      <c r="H21" s="497">
        <v>10263</v>
      </c>
      <c r="I21" s="497">
        <v>11301</v>
      </c>
      <c r="J21" s="497">
        <v>10862</v>
      </c>
      <c r="K21" s="497">
        <v>14814</v>
      </c>
      <c r="L21" s="96"/>
      <c r="M21" s="133"/>
      <c r="N21" s="3"/>
      <c r="O21" s="134"/>
      <c r="P21" s="3"/>
      <c r="Q21" s="3"/>
      <c r="R21" s="3"/>
      <c r="S21" s="3"/>
      <c r="T21" s="3"/>
      <c r="U21" s="1081"/>
      <c r="V21" s="3"/>
      <c r="W21" s="3"/>
      <c r="X21" s="3"/>
      <c r="Y21" s="3"/>
      <c r="Z21" s="3"/>
      <c r="AA21" s="3"/>
      <c r="AB21" s="3"/>
      <c r="AC21" s="3"/>
      <c r="AD21" s="3"/>
      <c r="AE21" s="3"/>
      <c r="AF21" s="3"/>
      <c r="AG21" s="3"/>
      <c r="AH21" s="3"/>
      <c r="AI21" s="3"/>
      <c r="AJ21" s="3"/>
      <c r="AK21" s="3"/>
      <c r="AL21" s="3"/>
      <c r="AM21" s="3"/>
      <c r="AN21" s="3"/>
      <c r="AO21" s="3"/>
      <c r="AP21" s="3"/>
      <c r="AQ21" s="3"/>
      <c r="AR21" s="3"/>
    </row>
    <row r="22" spans="1:44" ht="15.6" x14ac:dyDescent="0.3">
      <c r="A22" s="3"/>
      <c r="B22" s="212"/>
      <c r="C22" s="826" t="s">
        <v>891</v>
      </c>
      <c r="D22" s="3"/>
      <c r="E22" s="3"/>
      <c r="F22" s="3"/>
      <c r="G22" s="497">
        <v>106006</v>
      </c>
      <c r="H22" s="497">
        <v>28109</v>
      </c>
      <c r="I22" s="497">
        <v>7580</v>
      </c>
      <c r="J22" s="497">
        <v>19002</v>
      </c>
      <c r="K22" s="497">
        <v>29601</v>
      </c>
      <c r="L22" s="96"/>
      <c r="M22" s="133"/>
      <c r="N22" s="3"/>
      <c r="O22" s="134"/>
      <c r="P22" s="3"/>
      <c r="Q22" s="3"/>
      <c r="R22" s="3"/>
      <c r="S22" s="3"/>
      <c r="T22" s="3"/>
      <c r="U22" s="1081"/>
      <c r="V22" s="3"/>
      <c r="W22" s="3"/>
      <c r="X22" s="3"/>
      <c r="Y22" s="3"/>
      <c r="Z22" s="3"/>
      <c r="AA22" s="3"/>
      <c r="AB22" s="3"/>
      <c r="AC22" s="3"/>
      <c r="AD22" s="3"/>
      <c r="AE22" s="3"/>
      <c r="AF22" s="3"/>
      <c r="AG22" s="3"/>
      <c r="AH22" s="3"/>
      <c r="AI22" s="3"/>
      <c r="AJ22" s="3"/>
      <c r="AK22" s="3"/>
      <c r="AL22" s="3"/>
      <c r="AM22" s="3"/>
      <c r="AN22" s="3"/>
      <c r="AO22" s="3"/>
      <c r="AP22" s="3"/>
      <c r="AQ22" s="3"/>
      <c r="AR22" s="3"/>
    </row>
    <row r="23" spans="1:44" ht="15.6" x14ac:dyDescent="0.3">
      <c r="A23" s="3"/>
      <c r="B23" s="212"/>
      <c r="C23" s="737" t="str">
        <f>'WK8 - LTFP'!C28</f>
        <v>Other Income (items excluded from ratio analyis)</v>
      </c>
      <c r="D23" s="3"/>
      <c r="E23" s="3"/>
      <c r="F23" s="3"/>
      <c r="G23" s="497"/>
      <c r="H23" s="497"/>
      <c r="I23" s="497">
        <f>2789-I25</f>
        <v>2744</v>
      </c>
      <c r="J23" s="497">
        <f>5157-J25</f>
        <v>3257</v>
      </c>
      <c r="K23" s="497">
        <f>2209+815</f>
        <v>3024</v>
      </c>
      <c r="L23" s="96"/>
      <c r="M23" s="133"/>
      <c r="N23" s="3"/>
      <c r="O23" s="134"/>
      <c r="P23" s="3"/>
      <c r="Q23" s="3"/>
      <c r="R23" s="3"/>
      <c r="S23" s="3"/>
      <c r="T23" s="3"/>
      <c r="U23" s="1081"/>
      <c r="V23" s="3"/>
      <c r="W23" s="3"/>
      <c r="X23" s="3"/>
      <c r="Y23" s="3"/>
      <c r="Z23" s="3"/>
      <c r="AA23" s="3"/>
      <c r="AB23" s="3"/>
      <c r="AC23" s="3"/>
      <c r="AD23" s="3"/>
      <c r="AE23" s="3"/>
      <c r="AF23" s="3"/>
      <c r="AG23" s="3"/>
      <c r="AH23" s="3"/>
      <c r="AI23" s="3"/>
      <c r="AJ23" s="3"/>
      <c r="AK23" s="3"/>
      <c r="AL23" s="3"/>
      <c r="AM23" s="3"/>
      <c r="AN23" s="3"/>
      <c r="AO23" s="3"/>
      <c r="AP23" s="3"/>
      <c r="AQ23" s="3"/>
      <c r="AR23" s="3"/>
    </row>
    <row r="24" spans="1:44" ht="15.6" x14ac:dyDescent="0.3">
      <c r="A24" s="3"/>
      <c r="B24" s="212"/>
      <c r="C24" s="826" t="s">
        <v>892</v>
      </c>
      <c r="D24" s="3"/>
      <c r="E24" s="3"/>
      <c r="F24" s="3"/>
      <c r="G24" s="497">
        <v>0</v>
      </c>
      <c r="H24" s="497">
        <v>1027</v>
      </c>
      <c r="I24" s="497">
        <v>0</v>
      </c>
      <c r="J24" s="497">
        <v>0</v>
      </c>
      <c r="K24" s="497">
        <v>0</v>
      </c>
      <c r="L24" s="96"/>
      <c r="M24" s="133"/>
      <c r="N24" s="3"/>
      <c r="O24" s="134"/>
      <c r="P24" s="3"/>
      <c r="Q24" s="3"/>
      <c r="R24" s="3"/>
      <c r="S24" s="3"/>
      <c r="T24" s="3"/>
      <c r="U24" s="1081"/>
      <c r="V24" s="3"/>
      <c r="W24" s="3"/>
      <c r="X24" s="3"/>
      <c r="Y24" s="3"/>
      <c r="Z24" s="3"/>
      <c r="AA24" s="3"/>
      <c r="AB24" s="3"/>
      <c r="AC24" s="3"/>
      <c r="AD24" s="3"/>
      <c r="AE24" s="3"/>
      <c r="AF24" s="3"/>
      <c r="AG24" s="3"/>
      <c r="AH24" s="3"/>
      <c r="AI24" s="3"/>
      <c r="AJ24" s="3"/>
      <c r="AK24" s="3"/>
      <c r="AL24" s="3"/>
      <c r="AM24" s="3"/>
      <c r="AN24" s="3"/>
      <c r="AO24" s="3"/>
      <c r="AP24" s="3"/>
      <c r="AQ24" s="3"/>
      <c r="AR24" s="3"/>
    </row>
    <row r="25" spans="1:44" ht="15.6" x14ac:dyDescent="0.3">
      <c r="A25" s="3"/>
      <c r="B25" s="212"/>
      <c r="C25" s="826" t="s">
        <v>893</v>
      </c>
      <c r="D25" s="3"/>
      <c r="E25" s="3"/>
      <c r="F25" s="3"/>
      <c r="G25" s="497">
        <v>190</v>
      </c>
      <c r="H25" s="497">
        <v>150</v>
      </c>
      <c r="I25" s="497">
        <v>45</v>
      </c>
      <c r="J25" s="497">
        <f>97+1803</f>
        <v>1900</v>
      </c>
      <c r="K25" s="497">
        <v>-815</v>
      </c>
      <c r="L25" s="96"/>
      <c r="M25" s="133"/>
      <c r="N25" s="3"/>
      <c r="O25" s="134"/>
      <c r="P25" s="3"/>
      <c r="Q25" s="3"/>
      <c r="R25" s="3"/>
      <c r="S25" s="3"/>
      <c r="T25" s="3"/>
      <c r="U25" s="1081"/>
      <c r="V25" s="3"/>
      <c r="W25" s="3"/>
      <c r="X25" s="3"/>
      <c r="Y25" s="3"/>
      <c r="Z25" s="3"/>
      <c r="AA25" s="3"/>
      <c r="AB25" s="3"/>
      <c r="AC25" s="3"/>
      <c r="AD25" s="3"/>
      <c r="AE25" s="3"/>
      <c r="AF25" s="3"/>
      <c r="AG25" s="3"/>
      <c r="AH25" s="3"/>
      <c r="AI25" s="3"/>
      <c r="AJ25" s="3"/>
      <c r="AK25" s="3"/>
      <c r="AL25" s="3"/>
      <c r="AM25" s="3"/>
      <c r="AN25" s="3"/>
      <c r="AO25" s="3"/>
      <c r="AP25" s="3"/>
      <c r="AQ25" s="3"/>
      <c r="AR25" s="3"/>
    </row>
    <row r="26" spans="1:44" ht="15.6" x14ac:dyDescent="0.3">
      <c r="A26" s="3"/>
      <c r="B26" s="212"/>
      <c r="C26" s="826" t="s">
        <v>894</v>
      </c>
      <c r="D26" s="3"/>
      <c r="E26" s="3"/>
      <c r="F26" s="3"/>
      <c r="G26" s="497"/>
      <c r="H26" s="497"/>
      <c r="I26" s="497"/>
      <c r="J26" s="497"/>
      <c r="K26" s="497"/>
      <c r="L26" s="96"/>
      <c r="M26" s="133"/>
      <c r="N26" s="3"/>
      <c r="O26" s="134"/>
      <c r="P26" s="3"/>
      <c r="Q26" s="3"/>
      <c r="R26" s="3"/>
      <c r="S26" s="3"/>
      <c r="T26" s="3"/>
      <c r="U26" s="1081"/>
      <c r="V26" s="3"/>
      <c r="W26" s="3"/>
      <c r="X26" s="3"/>
      <c r="Y26" s="3"/>
      <c r="Z26" s="3"/>
      <c r="AA26" s="3"/>
      <c r="AB26" s="3"/>
      <c r="AC26" s="3"/>
      <c r="AD26" s="3"/>
      <c r="AE26" s="3"/>
      <c r="AF26" s="3"/>
      <c r="AG26" s="3"/>
      <c r="AH26" s="3"/>
      <c r="AI26" s="3"/>
      <c r="AJ26" s="3"/>
      <c r="AK26" s="3"/>
      <c r="AL26" s="3"/>
      <c r="AM26" s="3"/>
      <c r="AN26" s="3"/>
      <c r="AO26" s="3"/>
      <c r="AP26" s="3"/>
      <c r="AQ26" s="3"/>
      <c r="AR26" s="3"/>
    </row>
    <row r="27" spans="1:44" ht="15.6" x14ac:dyDescent="0.3">
      <c r="A27" s="3"/>
      <c r="B27" s="212"/>
      <c r="C27" s="253" t="s">
        <v>895</v>
      </c>
      <c r="D27" s="3"/>
      <c r="E27" s="3"/>
      <c r="F27" s="3"/>
      <c r="G27" s="498">
        <f t="shared" ref="G27:H27" si="0">SUM(G17:G26)</f>
        <v>232500</v>
      </c>
      <c r="H27" s="498">
        <f t="shared" si="0"/>
        <v>161042</v>
      </c>
      <c r="I27" s="498">
        <f>SUM(I17:I26)</f>
        <v>140828</v>
      </c>
      <c r="J27" s="498">
        <f t="shared" ref="J27:K27" si="1">SUM(J17:J26)</f>
        <v>158206</v>
      </c>
      <c r="K27" s="498">
        <f t="shared" si="1"/>
        <v>168425</v>
      </c>
      <c r="L27" s="96"/>
      <c r="M27" s="3"/>
      <c r="N27" s="3"/>
      <c r="O27" s="134"/>
      <c r="P27" s="3"/>
      <c r="Q27" s="3"/>
      <c r="R27" s="3"/>
      <c r="S27" s="3"/>
      <c r="T27" s="3"/>
      <c r="U27" s="1081"/>
      <c r="V27" s="3"/>
      <c r="W27" s="3"/>
      <c r="X27" s="3"/>
      <c r="Y27" s="3"/>
      <c r="Z27" s="3"/>
      <c r="AA27" s="3"/>
      <c r="AB27" s="3"/>
      <c r="AC27" s="3"/>
      <c r="AD27" s="3"/>
      <c r="AE27" s="3"/>
      <c r="AF27" s="3"/>
      <c r="AG27" s="3"/>
      <c r="AH27" s="3"/>
      <c r="AI27" s="3"/>
      <c r="AJ27" s="3"/>
      <c r="AK27" s="3"/>
      <c r="AL27" s="3"/>
      <c r="AM27" s="3"/>
      <c r="AN27" s="3"/>
      <c r="AO27" s="3"/>
      <c r="AP27" s="3"/>
      <c r="AQ27" s="3"/>
      <c r="AR27" s="3"/>
    </row>
    <row r="28" spans="1:44" ht="15.6" x14ac:dyDescent="0.3">
      <c r="A28" s="3"/>
      <c r="B28" s="212"/>
      <c r="C28" s="495" t="s">
        <v>896</v>
      </c>
      <c r="D28" s="76"/>
      <c r="E28" s="76"/>
      <c r="F28" s="76"/>
      <c r="G28" s="499">
        <f t="shared" ref="G28:H28" si="2">G27-G22</f>
        <v>126494</v>
      </c>
      <c r="H28" s="499">
        <f t="shared" si="2"/>
        <v>132933</v>
      </c>
      <c r="I28" s="499">
        <f>I27-I22</f>
        <v>133248</v>
      </c>
      <c r="J28" s="499">
        <f t="shared" ref="J28:K28" si="3">J27-J22</f>
        <v>139204</v>
      </c>
      <c r="K28" s="499">
        <f t="shared" si="3"/>
        <v>138824</v>
      </c>
      <c r="L28" s="96"/>
      <c r="M28" s="3"/>
      <c r="N28" s="3"/>
      <c r="O28" s="134"/>
      <c r="P28" s="3"/>
      <c r="Q28" s="3"/>
      <c r="R28" s="3"/>
      <c r="S28" s="3"/>
      <c r="T28" s="3"/>
      <c r="U28" s="1081"/>
      <c r="V28" s="3"/>
      <c r="W28" s="3"/>
      <c r="X28" s="3"/>
      <c r="Y28" s="3"/>
      <c r="Z28" s="3"/>
      <c r="AA28" s="3"/>
      <c r="AB28" s="3"/>
      <c r="AC28" s="3"/>
      <c r="AD28" s="3"/>
      <c r="AE28" s="3"/>
      <c r="AF28" s="3"/>
      <c r="AG28" s="3"/>
      <c r="AH28" s="3"/>
      <c r="AI28" s="3"/>
      <c r="AJ28" s="3"/>
      <c r="AK28" s="3"/>
      <c r="AL28" s="3"/>
      <c r="AM28" s="3"/>
      <c r="AN28" s="3"/>
      <c r="AO28" s="3"/>
      <c r="AP28" s="3"/>
      <c r="AQ28" s="3"/>
      <c r="AR28" s="3"/>
    </row>
    <row r="29" spans="1:44" ht="33" customHeight="1" x14ac:dyDescent="0.3">
      <c r="A29" s="3"/>
      <c r="B29" s="212"/>
      <c r="C29" s="1267" t="s">
        <v>897</v>
      </c>
      <c r="D29" s="1268"/>
      <c r="E29" s="1268"/>
      <c r="F29" s="1269"/>
      <c r="G29" s="499">
        <f t="shared" ref="G29:H29" si="4">G28-SUM(G24:G26)</f>
        <v>126304</v>
      </c>
      <c r="H29" s="499">
        <f t="shared" si="4"/>
        <v>131756</v>
      </c>
      <c r="I29" s="499">
        <f>I28-SUM(I24:I26)</f>
        <v>133203</v>
      </c>
      <c r="J29" s="499">
        <f t="shared" ref="J29:K29" si="5">J28-SUM(J24:J26)</f>
        <v>137304</v>
      </c>
      <c r="K29" s="499">
        <f t="shared" si="5"/>
        <v>139639</v>
      </c>
      <c r="L29" s="96"/>
      <c r="M29" s="3"/>
      <c r="N29" s="3"/>
      <c r="O29" s="134"/>
      <c r="P29" s="3"/>
      <c r="Q29" s="3"/>
      <c r="R29" s="3"/>
      <c r="S29" s="3"/>
      <c r="T29" s="3"/>
      <c r="U29" s="1081"/>
      <c r="V29" s="3"/>
      <c r="W29" s="3"/>
      <c r="X29" s="3"/>
      <c r="Y29" s="3"/>
      <c r="Z29" s="3"/>
      <c r="AA29" s="3"/>
      <c r="AB29" s="3"/>
      <c r="AC29" s="3"/>
      <c r="AD29" s="3"/>
      <c r="AE29" s="3"/>
      <c r="AF29" s="3"/>
      <c r="AG29" s="3"/>
      <c r="AH29" s="3"/>
      <c r="AI29" s="3"/>
      <c r="AJ29" s="3"/>
      <c r="AK29" s="3"/>
      <c r="AL29" s="3"/>
      <c r="AM29" s="3"/>
      <c r="AN29" s="3"/>
      <c r="AO29" s="3"/>
      <c r="AP29" s="3"/>
      <c r="AQ29" s="3"/>
      <c r="AR29" s="3"/>
    </row>
    <row r="30" spans="1:44" ht="15.6" x14ac:dyDescent="0.3">
      <c r="A30" s="3"/>
      <c r="B30" s="212"/>
      <c r="C30" s="253" t="s">
        <v>898</v>
      </c>
      <c r="D30" s="3"/>
      <c r="E30" s="3"/>
      <c r="F30" s="3"/>
      <c r="G30" s="278"/>
      <c r="H30" s="278"/>
      <c r="I30" s="278"/>
      <c r="J30" s="278"/>
      <c r="K30" s="278"/>
      <c r="L30" s="96"/>
      <c r="M30" s="3"/>
      <c r="N30" s="3"/>
      <c r="O30" s="134"/>
      <c r="P30" s="3"/>
      <c r="Q30" s="3"/>
      <c r="R30" s="3"/>
      <c r="S30" s="3"/>
      <c r="T30" s="3"/>
      <c r="U30" s="1081"/>
      <c r="V30" s="3"/>
      <c r="W30" s="3"/>
      <c r="X30" s="3"/>
      <c r="Y30" s="3"/>
      <c r="Z30" s="3"/>
      <c r="AA30" s="3"/>
      <c r="AB30" s="3"/>
      <c r="AC30" s="3"/>
      <c r="AD30" s="3"/>
      <c r="AE30" s="3"/>
      <c r="AF30" s="3"/>
      <c r="AG30" s="3"/>
      <c r="AH30" s="3"/>
      <c r="AI30" s="3"/>
      <c r="AJ30" s="3"/>
      <c r="AK30" s="3"/>
      <c r="AL30" s="3"/>
      <c r="AM30" s="3"/>
      <c r="AN30" s="3"/>
      <c r="AO30" s="3"/>
      <c r="AP30" s="3"/>
      <c r="AQ30" s="3"/>
      <c r="AR30" s="3"/>
    </row>
    <row r="31" spans="1:44" ht="15.6" x14ac:dyDescent="0.3">
      <c r="A31" s="3"/>
      <c r="B31" s="212"/>
      <c r="C31" s="826" t="s">
        <v>899</v>
      </c>
      <c r="D31" s="3"/>
      <c r="E31" s="3"/>
      <c r="F31" s="3"/>
      <c r="G31" s="497">
        <v>43818</v>
      </c>
      <c r="H31" s="497">
        <v>47392</v>
      </c>
      <c r="I31" s="497">
        <v>46378</v>
      </c>
      <c r="J31" s="497">
        <v>49504</v>
      </c>
      <c r="K31" s="497">
        <v>48302</v>
      </c>
      <c r="L31" s="96"/>
      <c r="M31" s="3"/>
      <c r="N31" s="3"/>
      <c r="O31" s="134"/>
      <c r="P31" s="3"/>
      <c r="Q31" s="3"/>
      <c r="R31" s="3"/>
      <c r="S31" s="3"/>
      <c r="T31" s="3"/>
      <c r="U31" s="1081"/>
      <c r="V31" s="3"/>
      <c r="W31" s="3"/>
      <c r="X31" s="3"/>
      <c r="Y31" s="3"/>
      <c r="Z31" s="3"/>
      <c r="AA31" s="3"/>
      <c r="AB31" s="3"/>
      <c r="AC31" s="3"/>
      <c r="AD31" s="3"/>
      <c r="AE31" s="3"/>
      <c r="AF31" s="3"/>
      <c r="AG31" s="3"/>
      <c r="AH31" s="3"/>
      <c r="AI31" s="3"/>
      <c r="AJ31" s="3"/>
      <c r="AK31" s="3"/>
      <c r="AL31" s="3"/>
      <c r="AM31" s="3"/>
      <c r="AN31" s="3"/>
      <c r="AO31" s="3"/>
      <c r="AP31" s="3"/>
      <c r="AQ31" s="3"/>
      <c r="AR31" s="3"/>
    </row>
    <row r="32" spans="1:44" ht="15.6" x14ac:dyDescent="0.3">
      <c r="A32" s="3"/>
      <c r="B32" s="212"/>
      <c r="C32" s="826" t="s">
        <v>900</v>
      </c>
      <c r="D32" s="3"/>
      <c r="E32" s="3"/>
      <c r="F32" s="3"/>
      <c r="G32" s="497">
        <v>213</v>
      </c>
      <c r="H32" s="497">
        <v>138</v>
      </c>
      <c r="I32" s="497">
        <v>100</v>
      </c>
      <c r="J32" s="497">
        <v>74</v>
      </c>
      <c r="K32" s="497">
        <v>84</v>
      </c>
      <c r="L32" s="96"/>
      <c r="M32" s="133"/>
      <c r="N32" s="3"/>
      <c r="O32" s="134"/>
      <c r="P32" s="3"/>
      <c r="Q32" s="3"/>
      <c r="R32" s="3"/>
      <c r="S32" s="3"/>
      <c r="T32" s="3"/>
      <c r="U32" s="1081"/>
      <c r="V32" s="3"/>
      <c r="W32" s="3"/>
      <c r="X32" s="3"/>
      <c r="Y32" s="3"/>
      <c r="Z32" s="3"/>
      <c r="AA32" s="3"/>
      <c r="AB32" s="3"/>
      <c r="AC32" s="3"/>
      <c r="AD32" s="3"/>
      <c r="AE32" s="3"/>
      <c r="AF32" s="3"/>
      <c r="AG32" s="3"/>
      <c r="AH32" s="3"/>
      <c r="AI32" s="3"/>
      <c r="AJ32" s="3"/>
      <c r="AK32" s="3"/>
      <c r="AL32" s="3"/>
      <c r="AM32" s="3"/>
      <c r="AN32" s="3"/>
      <c r="AO32" s="3"/>
      <c r="AP32" s="3"/>
      <c r="AQ32" s="3"/>
      <c r="AR32" s="3"/>
    </row>
    <row r="33" spans="1:44" ht="15.6" x14ac:dyDescent="0.3">
      <c r="A33" s="3"/>
      <c r="B33" s="212"/>
      <c r="C33" s="826" t="s">
        <v>901</v>
      </c>
      <c r="D33" s="3"/>
      <c r="E33" s="3"/>
      <c r="F33" s="3"/>
      <c r="G33" s="497">
        <v>42710</v>
      </c>
      <c r="H33" s="497">
        <v>46738</v>
      </c>
      <c r="I33" s="497">
        <v>47729</v>
      </c>
      <c r="J33" s="497">
        <v>59230</v>
      </c>
      <c r="K33" s="497">
        <v>70117</v>
      </c>
      <c r="L33" s="96"/>
      <c r="M33" s="133"/>
      <c r="N33" s="3"/>
      <c r="O33" s="134"/>
      <c r="P33" s="3"/>
      <c r="Q33" s="3"/>
      <c r="R33" s="3"/>
      <c r="S33" s="3"/>
      <c r="T33" s="3"/>
      <c r="U33" s="1081"/>
      <c r="V33" s="3"/>
      <c r="W33" s="3"/>
      <c r="X33" s="3"/>
      <c r="Y33" s="3"/>
      <c r="Z33" s="3"/>
      <c r="AA33" s="3"/>
      <c r="AB33" s="3"/>
      <c r="AC33" s="3"/>
      <c r="AD33" s="3"/>
      <c r="AE33" s="3"/>
      <c r="AF33" s="3"/>
      <c r="AG33" s="3"/>
      <c r="AH33" s="3"/>
      <c r="AI33" s="3"/>
      <c r="AJ33" s="3"/>
      <c r="AK33" s="3"/>
      <c r="AL33" s="3"/>
      <c r="AM33" s="3"/>
      <c r="AN33" s="3"/>
      <c r="AO33" s="3"/>
      <c r="AP33" s="3"/>
      <c r="AQ33" s="3"/>
      <c r="AR33" s="3"/>
    </row>
    <row r="34" spans="1:44" ht="15.6" x14ac:dyDescent="0.3">
      <c r="A34" s="3"/>
      <c r="B34" s="212"/>
      <c r="C34" s="826" t="s">
        <v>902</v>
      </c>
      <c r="D34" s="3"/>
      <c r="E34" s="3"/>
      <c r="F34" s="3"/>
      <c r="G34" s="497">
        <v>17944</v>
      </c>
      <c r="H34" s="497">
        <v>19124</v>
      </c>
      <c r="I34" s="497">
        <v>19668</v>
      </c>
      <c r="J34" s="497">
        <f>21911-2045</f>
        <v>19866</v>
      </c>
      <c r="K34" s="497">
        <v>20461</v>
      </c>
      <c r="L34" s="96"/>
      <c r="M34" s="133"/>
      <c r="N34" s="3"/>
      <c r="O34" s="134"/>
      <c r="P34" s="3"/>
      <c r="Q34" s="3"/>
      <c r="R34" s="3"/>
      <c r="S34" s="3"/>
      <c r="T34" s="3"/>
      <c r="U34" s="1081"/>
      <c r="V34" s="3"/>
      <c r="W34" s="3"/>
      <c r="X34" s="3"/>
      <c r="Y34" s="3"/>
      <c r="Z34" s="3"/>
      <c r="AA34" s="3"/>
      <c r="AB34" s="3"/>
      <c r="AC34" s="3"/>
      <c r="AD34" s="3"/>
      <c r="AE34" s="3"/>
      <c r="AF34" s="3"/>
      <c r="AG34" s="3"/>
      <c r="AH34" s="3"/>
      <c r="AI34" s="3"/>
      <c r="AJ34" s="3"/>
      <c r="AK34" s="3"/>
      <c r="AL34" s="3"/>
      <c r="AM34" s="3"/>
      <c r="AN34" s="3"/>
      <c r="AO34" s="3"/>
      <c r="AP34" s="3"/>
      <c r="AQ34" s="3"/>
      <c r="AR34" s="3"/>
    </row>
    <row r="35" spans="1:44" ht="15.6" x14ac:dyDescent="0.3">
      <c r="A35" s="3"/>
      <c r="B35" s="212"/>
      <c r="C35" s="826" t="s">
        <v>903</v>
      </c>
      <c r="D35" s="3"/>
      <c r="E35" s="3"/>
      <c r="F35" s="3"/>
      <c r="G35" s="497">
        <v>0</v>
      </c>
      <c r="H35" s="497">
        <v>0</v>
      </c>
      <c r="I35" s="497">
        <v>0</v>
      </c>
      <c r="J35" s="497">
        <v>0</v>
      </c>
      <c r="K35" s="497">
        <v>0</v>
      </c>
      <c r="L35" s="96"/>
      <c r="M35" s="133"/>
      <c r="N35" s="3"/>
      <c r="O35" s="134"/>
      <c r="P35" s="3"/>
      <c r="Q35" s="3"/>
      <c r="R35" s="3"/>
      <c r="S35" s="3"/>
      <c r="T35" s="3"/>
      <c r="U35" s="1081"/>
      <c r="V35" s="3"/>
      <c r="W35" s="3"/>
      <c r="X35" s="3"/>
      <c r="Y35" s="3"/>
      <c r="Z35" s="3"/>
      <c r="AA35" s="3"/>
      <c r="AB35" s="3"/>
      <c r="AC35" s="3"/>
      <c r="AD35" s="3"/>
      <c r="AE35" s="3"/>
      <c r="AF35" s="3"/>
      <c r="AG35" s="3"/>
      <c r="AH35" s="3"/>
      <c r="AI35" s="3"/>
      <c r="AJ35" s="3"/>
      <c r="AK35" s="3"/>
      <c r="AL35" s="3"/>
      <c r="AM35" s="3"/>
      <c r="AN35" s="3"/>
      <c r="AO35" s="3"/>
      <c r="AP35" s="3"/>
      <c r="AQ35" s="3"/>
      <c r="AR35" s="3"/>
    </row>
    <row r="36" spans="1:44" ht="15.6" x14ac:dyDescent="0.3">
      <c r="A36" s="3"/>
      <c r="B36" s="212"/>
      <c r="C36" s="826" t="s">
        <v>904</v>
      </c>
      <c r="D36" s="3"/>
      <c r="E36" s="3"/>
      <c r="F36" s="3"/>
      <c r="G36" s="497">
        <v>14970</v>
      </c>
      <c r="H36" s="497">
        <f>12616-H37</f>
        <v>12507</v>
      </c>
      <c r="I36" s="497">
        <f>12221+109</f>
        <v>12330</v>
      </c>
      <c r="J36" s="497">
        <f>3403-17</f>
        <v>3386</v>
      </c>
      <c r="K36" s="497">
        <f>3331-10</f>
        <v>3321</v>
      </c>
      <c r="L36" s="96"/>
      <c r="M36" s="133"/>
      <c r="N36" s="3"/>
      <c r="O36" s="134"/>
      <c r="P36" s="3"/>
      <c r="Q36" s="3"/>
      <c r="R36" s="3"/>
      <c r="S36" s="3"/>
      <c r="T36" s="3"/>
      <c r="U36" s="1081"/>
      <c r="V36" s="3"/>
      <c r="W36" s="3"/>
      <c r="X36" s="3"/>
      <c r="Y36" s="3"/>
      <c r="Z36" s="3"/>
      <c r="AA36" s="3"/>
      <c r="AB36" s="3"/>
      <c r="AC36" s="3"/>
      <c r="AD36" s="3"/>
      <c r="AE36" s="3"/>
      <c r="AF36" s="3"/>
      <c r="AG36" s="3"/>
      <c r="AH36" s="3"/>
      <c r="AI36" s="3"/>
      <c r="AJ36" s="3"/>
      <c r="AK36" s="3"/>
      <c r="AL36" s="3"/>
      <c r="AM36" s="3"/>
      <c r="AN36" s="3"/>
      <c r="AO36" s="3"/>
      <c r="AP36" s="3"/>
      <c r="AQ36" s="3"/>
      <c r="AR36" s="3"/>
    </row>
    <row r="37" spans="1:44" ht="15.6" x14ac:dyDescent="0.3">
      <c r="A37" s="3"/>
      <c r="B37" s="212"/>
      <c r="C37" s="826" t="str">
        <f>'WK8 - LTFP'!C47</f>
        <v>Other Expenses (items excluded from ratio analyis)</v>
      </c>
      <c r="D37" s="3"/>
      <c r="E37" s="3"/>
      <c r="F37" s="3"/>
      <c r="G37" s="497">
        <v>0</v>
      </c>
      <c r="H37" s="497">
        <v>109</v>
      </c>
      <c r="I37" s="497">
        <v>-109</v>
      </c>
      <c r="J37" s="497"/>
      <c r="K37" s="497">
        <v>10</v>
      </c>
      <c r="L37" s="96"/>
      <c r="M37" s="133"/>
      <c r="N37" s="3"/>
      <c r="O37" s="134"/>
      <c r="P37" s="3"/>
      <c r="Q37" s="3"/>
      <c r="R37" s="3"/>
      <c r="S37" s="3"/>
      <c r="T37" s="3"/>
      <c r="U37" s="1081"/>
      <c r="V37" s="3"/>
      <c r="W37" s="3"/>
      <c r="X37" s="3"/>
      <c r="Y37" s="3"/>
      <c r="Z37" s="3"/>
      <c r="AA37" s="3"/>
      <c r="AB37" s="3"/>
      <c r="AC37" s="3"/>
      <c r="AD37" s="3"/>
      <c r="AE37" s="3"/>
      <c r="AF37" s="3"/>
      <c r="AG37" s="3"/>
      <c r="AH37" s="3"/>
      <c r="AI37" s="3"/>
      <c r="AJ37" s="3"/>
      <c r="AK37" s="3"/>
      <c r="AL37" s="3"/>
      <c r="AM37" s="3"/>
      <c r="AN37" s="3"/>
      <c r="AO37" s="3"/>
      <c r="AP37" s="3"/>
      <c r="AQ37" s="3"/>
      <c r="AR37" s="3"/>
    </row>
    <row r="38" spans="1:44" ht="15.6" x14ac:dyDescent="0.3">
      <c r="A38" s="3"/>
      <c r="B38" s="212"/>
      <c r="C38" s="737" t="s">
        <v>905</v>
      </c>
      <c r="D38" s="3"/>
      <c r="E38" s="3"/>
      <c r="F38" s="3"/>
      <c r="G38" s="497"/>
      <c r="H38" s="497"/>
      <c r="I38" s="497"/>
      <c r="J38" s="497"/>
      <c r="K38" s="497"/>
      <c r="L38" s="96"/>
      <c r="M38" s="133"/>
      <c r="N38" s="3"/>
      <c r="O38" s="134"/>
      <c r="P38" s="3"/>
      <c r="Q38" s="3"/>
      <c r="R38" s="3"/>
      <c r="S38" s="3"/>
      <c r="T38" s="3"/>
      <c r="U38" s="1081"/>
      <c r="V38" s="3"/>
      <c r="W38" s="3"/>
      <c r="X38" s="3"/>
      <c r="Y38" s="3"/>
      <c r="Z38" s="3"/>
      <c r="AA38" s="3"/>
      <c r="AB38" s="3"/>
      <c r="AC38" s="3"/>
      <c r="AD38" s="3"/>
      <c r="AE38" s="3"/>
      <c r="AF38" s="3"/>
      <c r="AG38" s="3"/>
      <c r="AH38" s="3"/>
      <c r="AI38" s="3"/>
      <c r="AJ38" s="3"/>
      <c r="AK38" s="3"/>
      <c r="AL38" s="3"/>
      <c r="AM38" s="3"/>
      <c r="AN38" s="3"/>
      <c r="AO38" s="3"/>
      <c r="AP38" s="3"/>
      <c r="AQ38" s="3"/>
      <c r="AR38" s="3"/>
    </row>
    <row r="39" spans="1:44" ht="15.6" x14ac:dyDescent="0.3">
      <c r="A39" s="3"/>
      <c r="B39" s="212"/>
      <c r="C39" s="826" t="s">
        <v>906</v>
      </c>
      <c r="D39" s="3"/>
      <c r="E39" s="3"/>
      <c r="F39" s="3"/>
      <c r="G39" s="497">
        <v>1035</v>
      </c>
      <c r="H39" s="497">
        <v>0</v>
      </c>
      <c r="I39" s="497">
        <v>2602</v>
      </c>
      <c r="J39" s="497">
        <v>4997</v>
      </c>
      <c r="K39" s="497">
        <v>2586</v>
      </c>
      <c r="L39" s="96"/>
      <c r="M39" s="133"/>
      <c r="N39" s="3"/>
      <c r="O39" s="134"/>
      <c r="P39" s="3"/>
      <c r="Q39" s="3"/>
      <c r="R39" s="3"/>
      <c r="S39" s="3"/>
      <c r="T39" s="3"/>
      <c r="U39" s="1081"/>
      <c r="V39" s="3"/>
      <c r="W39" s="3"/>
      <c r="X39" s="3"/>
      <c r="Y39" s="3"/>
      <c r="Z39" s="3"/>
      <c r="AA39" s="3"/>
      <c r="AB39" s="3"/>
      <c r="AC39" s="3"/>
      <c r="AD39" s="3"/>
      <c r="AE39" s="3"/>
      <c r="AF39" s="3"/>
      <c r="AG39" s="3"/>
      <c r="AH39" s="3"/>
      <c r="AI39" s="3"/>
      <c r="AJ39" s="3"/>
      <c r="AK39" s="3"/>
      <c r="AL39" s="3"/>
      <c r="AM39" s="3"/>
      <c r="AN39" s="3"/>
      <c r="AO39" s="3"/>
      <c r="AP39" s="3"/>
      <c r="AQ39" s="3"/>
      <c r="AR39" s="3"/>
    </row>
    <row r="40" spans="1:44" ht="15.6" x14ac:dyDescent="0.3">
      <c r="A40" s="3"/>
      <c r="B40" s="212"/>
      <c r="C40" s="826" t="s">
        <v>907</v>
      </c>
      <c r="D40" s="3"/>
      <c r="E40" s="3"/>
      <c r="F40" s="3"/>
      <c r="G40" s="497"/>
      <c r="H40" s="497"/>
      <c r="I40" s="497"/>
      <c r="J40" s="497">
        <v>2062</v>
      </c>
      <c r="K40" s="497"/>
      <c r="L40" s="96"/>
      <c r="M40" s="133"/>
      <c r="N40" s="3"/>
      <c r="O40" s="134"/>
      <c r="P40" s="3"/>
      <c r="Q40" s="3"/>
      <c r="R40" s="3"/>
      <c r="S40" s="3"/>
      <c r="T40" s="3"/>
      <c r="U40" s="1081"/>
      <c r="V40" s="3"/>
      <c r="W40" s="3"/>
      <c r="X40" s="3"/>
      <c r="Y40" s="3"/>
      <c r="Z40" s="3"/>
      <c r="AA40" s="3"/>
      <c r="AB40" s="3"/>
      <c r="AC40" s="3"/>
      <c r="AD40" s="3"/>
      <c r="AE40" s="3"/>
      <c r="AF40" s="3"/>
      <c r="AG40" s="3"/>
      <c r="AH40" s="3"/>
      <c r="AI40" s="3"/>
      <c r="AJ40" s="3"/>
      <c r="AK40" s="3"/>
      <c r="AL40" s="3"/>
      <c r="AM40" s="3"/>
      <c r="AN40" s="3"/>
      <c r="AO40" s="3"/>
      <c r="AP40" s="3"/>
      <c r="AQ40" s="3"/>
      <c r="AR40" s="3"/>
    </row>
    <row r="41" spans="1:44" ht="15.6" x14ac:dyDescent="0.3">
      <c r="A41" s="3"/>
      <c r="B41" s="212"/>
      <c r="C41" s="826" t="s">
        <v>894</v>
      </c>
      <c r="D41" s="3"/>
      <c r="E41" s="3"/>
      <c r="F41" s="3"/>
      <c r="G41" s="497"/>
      <c r="H41" s="497"/>
      <c r="I41" s="497"/>
      <c r="J41" s="497"/>
      <c r="K41" s="497"/>
      <c r="L41" s="96"/>
      <c r="M41" s="133"/>
      <c r="N41" s="3"/>
      <c r="O41" s="134"/>
      <c r="P41" s="3"/>
      <c r="Q41" s="3"/>
      <c r="R41" s="3"/>
      <c r="S41" s="3"/>
      <c r="T41" s="3"/>
      <c r="U41" s="1081"/>
      <c r="V41" s="3"/>
      <c r="W41" s="3"/>
      <c r="X41" s="3"/>
      <c r="Y41" s="3"/>
      <c r="Z41" s="3"/>
      <c r="AA41" s="3"/>
      <c r="AB41" s="3"/>
      <c r="AC41" s="3"/>
      <c r="AD41" s="3"/>
      <c r="AE41" s="3"/>
      <c r="AF41" s="3"/>
      <c r="AG41" s="3"/>
      <c r="AH41" s="3"/>
      <c r="AI41" s="3"/>
      <c r="AJ41" s="3"/>
      <c r="AK41" s="3"/>
      <c r="AL41" s="3"/>
      <c r="AM41" s="3"/>
      <c r="AN41" s="3"/>
      <c r="AO41" s="3"/>
      <c r="AP41" s="3"/>
      <c r="AQ41" s="3"/>
      <c r="AR41" s="3"/>
    </row>
    <row r="42" spans="1:44" ht="15.6" x14ac:dyDescent="0.3">
      <c r="A42" s="3"/>
      <c r="B42" s="212"/>
      <c r="C42" s="253" t="s">
        <v>908</v>
      </c>
      <c r="D42" s="3"/>
      <c r="E42" s="3"/>
      <c r="F42" s="3"/>
      <c r="G42" s="498">
        <f>SUM(G31:G41)</f>
        <v>120690</v>
      </c>
      <c r="H42" s="498">
        <f>SUM(H31:H41)</f>
        <v>126008</v>
      </c>
      <c r="I42" s="498">
        <f>SUM(I31:I41)</f>
        <v>128698</v>
      </c>
      <c r="J42" s="498">
        <f>SUM(J31:J41)</f>
        <v>139119</v>
      </c>
      <c r="K42" s="498">
        <f>SUM(K31:K41)</f>
        <v>144881</v>
      </c>
      <c r="L42" s="96"/>
      <c r="M42" s="3"/>
      <c r="N42" s="3"/>
      <c r="O42" s="134"/>
      <c r="P42" s="3"/>
      <c r="Q42" s="3"/>
      <c r="R42" s="3"/>
      <c r="S42" s="3"/>
      <c r="T42" s="3"/>
      <c r="U42" s="1081"/>
      <c r="V42" s="3"/>
      <c r="W42" s="3"/>
      <c r="X42" s="3"/>
      <c r="Y42" s="3"/>
      <c r="Z42" s="3"/>
      <c r="AA42" s="3"/>
      <c r="AB42" s="3"/>
      <c r="AC42" s="3"/>
      <c r="AD42" s="3"/>
      <c r="AE42" s="3"/>
      <c r="AF42" s="3"/>
      <c r="AG42" s="3"/>
      <c r="AH42" s="3"/>
      <c r="AI42" s="3"/>
      <c r="AJ42" s="3"/>
      <c r="AK42" s="3"/>
      <c r="AL42" s="3"/>
      <c r="AM42" s="3"/>
      <c r="AN42" s="3"/>
      <c r="AO42" s="3"/>
      <c r="AP42" s="3"/>
      <c r="AQ42" s="3"/>
      <c r="AR42" s="3"/>
    </row>
    <row r="43" spans="1:44" ht="15.6" x14ac:dyDescent="0.3">
      <c r="A43" s="3"/>
      <c r="B43" s="212"/>
      <c r="C43" s="495" t="s">
        <v>909</v>
      </c>
      <c r="D43" s="3"/>
      <c r="E43" s="3"/>
      <c r="F43" s="3"/>
      <c r="G43" s="499">
        <f t="shared" ref="G43:H43" si="6">G42-G38</f>
        <v>120690</v>
      </c>
      <c r="H43" s="499">
        <f t="shared" si="6"/>
        <v>126008</v>
      </c>
      <c r="I43" s="499">
        <f>I42-I38</f>
        <v>128698</v>
      </c>
      <c r="J43" s="499">
        <f t="shared" ref="J43:K43" si="7">J42-J38</f>
        <v>139119</v>
      </c>
      <c r="K43" s="499">
        <f t="shared" si="7"/>
        <v>144881</v>
      </c>
      <c r="L43" s="96"/>
      <c r="M43" s="3"/>
      <c r="N43" s="3"/>
      <c r="O43" s="134"/>
      <c r="P43" s="3"/>
      <c r="Q43" s="3"/>
      <c r="R43" s="3"/>
      <c r="S43" s="3"/>
      <c r="T43" s="3"/>
      <c r="U43" s="1081"/>
      <c r="V43" s="3"/>
      <c r="W43" s="3"/>
      <c r="X43" s="3"/>
      <c r="Y43" s="3"/>
      <c r="Z43" s="3"/>
      <c r="AA43" s="3"/>
      <c r="AB43" s="3"/>
      <c r="AC43" s="3"/>
      <c r="AD43" s="3"/>
      <c r="AE43" s="3"/>
      <c r="AF43" s="3"/>
      <c r="AG43" s="3"/>
      <c r="AH43" s="3"/>
      <c r="AI43" s="3"/>
      <c r="AJ43" s="3"/>
      <c r="AK43" s="3"/>
      <c r="AL43" s="3"/>
      <c r="AM43" s="3"/>
      <c r="AN43" s="3"/>
      <c r="AO43" s="3"/>
      <c r="AP43" s="3"/>
      <c r="AQ43" s="3"/>
      <c r="AR43" s="3"/>
    </row>
    <row r="44" spans="1:44" ht="30" customHeight="1" x14ac:dyDescent="0.3">
      <c r="A44" s="3"/>
      <c r="B44" s="212"/>
      <c r="C44" s="1267" t="s">
        <v>910</v>
      </c>
      <c r="D44" s="1268"/>
      <c r="E44" s="1268"/>
      <c r="F44" s="1269"/>
      <c r="G44" s="499">
        <f t="shared" ref="G44:H44" si="8">G43-SUM(G39:G41)</f>
        <v>119655</v>
      </c>
      <c r="H44" s="499">
        <f t="shared" si="8"/>
        <v>126008</v>
      </c>
      <c r="I44" s="499">
        <f>I43-SUM(I39:I41)</f>
        <v>126096</v>
      </c>
      <c r="J44" s="499">
        <f t="shared" ref="J44:K44" si="9">J43-SUM(J39:J41)</f>
        <v>132060</v>
      </c>
      <c r="K44" s="499">
        <f t="shared" si="9"/>
        <v>142295</v>
      </c>
      <c r="L44" s="96"/>
      <c r="M44" s="3"/>
      <c r="N44" s="3"/>
      <c r="O44" s="134"/>
      <c r="P44" s="3"/>
      <c r="Q44" s="3"/>
      <c r="R44" s="3"/>
      <c r="S44" s="3"/>
      <c r="T44" s="3"/>
      <c r="U44" s="1081"/>
      <c r="V44" s="3"/>
      <c r="W44" s="3"/>
      <c r="X44" s="3"/>
      <c r="Y44" s="3"/>
      <c r="Z44" s="3"/>
      <c r="AA44" s="3"/>
      <c r="AB44" s="3"/>
      <c r="AC44" s="3"/>
      <c r="AD44" s="3"/>
      <c r="AE44" s="3"/>
      <c r="AF44" s="3"/>
      <c r="AG44" s="3"/>
      <c r="AH44" s="3"/>
      <c r="AI44" s="3"/>
      <c r="AJ44" s="3"/>
      <c r="AK44" s="3"/>
      <c r="AL44" s="3"/>
      <c r="AM44" s="3"/>
      <c r="AN44" s="3"/>
      <c r="AO44" s="3"/>
      <c r="AP44" s="3"/>
      <c r="AQ44" s="3"/>
      <c r="AR44" s="3"/>
    </row>
    <row r="45" spans="1:44" ht="15.6" x14ac:dyDescent="0.3">
      <c r="A45" s="3"/>
      <c r="B45" s="212"/>
      <c r="C45" s="135" t="s">
        <v>911</v>
      </c>
      <c r="D45" s="3"/>
      <c r="E45" s="3"/>
      <c r="F45" s="3"/>
      <c r="G45" s="500">
        <f>G27-G42</f>
        <v>111810</v>
      </c>
      <c r="H45" s="500">
        <f>H27-H42</f>
        <v>35034</v>
      </c>
      <c r="I45" s="500">
        <f>I27-I42</f>
        <v>12130</v>
      </c>
      <c r="J45" s="500">
        <f>J27-J42</f>
        <v>19087</v>
      </c>
      <c r="K45" s="500">
        <f>K27-K42</f>
        <v>23544</v>
      </c>
      <c r="L45" s="96"/>
      <c r="M45" s="3"/>
      <c r="N45" s="3"/>
      <c r="O45" s="134"/>
      <c r="P45" s="3"/>
      <c r="Q45" s="3"/>
      <c r="R45" s="3"/>
      <c r="S45" s="3"/>
      <c r="T45" s="3"/>
      <c r="U45" s="1081"/>
      <c r="V45" s="3"/>
      <c r="W45" s="3"/>
      <c r="X45" s="3"/>
      <c r="Y45" s="3"/>
      <c r="Z45" s="3"/>
      <c r="AA45" s="3"/>
      <c r="AB45" s="3"/>
      <c r="AC45" s="3"/>
      <c r="AD45" s="3"/>
      <c r="AE45" s="3"/>
      <c r="AF45" s="3"/>
      <c r="AG45" s="3"/>
      <c r="AH45" s="3"/>
      <c r="AI45" s="3"/>
      <c r="AJ45" s="3"/>
      <c r="AK45" s="3"/>
      <c r="AL45" s="3"/>
      <c r="AM45" s="3"/>
      <c r="AN45" s="3"/>
      <c r="AO45" s="3"/>
      <c r="AP45" s="3"/>
      <c r="AQ45" s="3"/>
      <c r="AR45" s="3"/>
    </row>
    <row r="46" spans="1:44" ht="15.6" x14ac:dyDescent="0.3">
      <c r="A46" s="3"/>
      <c r="B46" s="212"/>
      <c r="C46" s="135" t="s">
        <v>912</v>
      </c>
      <c r="D46" s="3"/>
      <c r="E46" s="3"/>
      <c r="F46" s="3"/>
      <c r="G46" s="500">
        <f>G28-G42</f>
        <v>5804</v>
      </c>
      <c r="H46" s="500">
        <f>H28-H42</f>
        <v>6925</v>
      </c>
      <c r="I46" s="500">
        <f>I28-I42</f>
        <v>4550</v>
      </c>
      <c r="J46" s="500">
        <f>J28-J42</f>
        <v>85</v>
      </c>
      <c r="K46" s="500">
        <f>K28-K42</f>
        <v>-6057</v>
      </c>
      <c r="L46" s="96"/>
      <c r="M46" s="3"/>
      <c r="N46" s="3"/>
      <c r="O46" s="134"/>
      <c r="P46" s="3"/>
      <c r="Q46" s="3"/>
      <c r="R46" s="3"/>
      <c r="S46" s="3"/>
      <c r="T46" s="3"/>
      <c r="U46" s="1081"/>
      <c r="V46" s="3"/>
      <c r="W46" s="3"/>
      <c r="X46" s="3"/>
      <c r="Y46" s="3"/>
      <c r="Z46" s="3"/>
      <c r="AA46" s="3"/>
      <c r="AB46" s="3"/>
      <c r="AC46" s="3"/>
      <c r="AD46" s="3"/>
      <c r="AE46" s="3"/>
      <c r="AF46" s="3"/>
      <c r="AG46" s="3"/>
      <c r="AH46" s="3"/>
      <c r="AI46" s="3"/>
      <c r="AJ46" s="3"/>
      <c r="AK46" s="3"/>
      <c r="AL46" s="3"/>
      <c r="AM46" s="3"/>
      <c r="AN46" s="3"/>
      <c r="AO46" s="3"/>
      <c r="AP46" s="3"/>
      <c r="AQ46" s="3"/>
      <c r="AR46" s="3"/>
    </row>
    <row r="47" spans="1:44" ht="25.5" customHeight="1" x14ac:dyDescent="0.3">
      <c r="A47" s="3"/>
      <c r="B47" s="212"/>
      <c r="C47" s="1267" t="s">
        <v>913</v>
      </c>
      <c r="D47" s="1268"/>
      <c r="E47" s="1268"/>
      <c r="F47" s="1269"/>
      <c r="G47" s="499">
        <f>G29-G44</f>
        <v>6649</v>
      </c>
      <c r="H47" s="499">
        <f>H29-H44</f>
        <v>5748</v>
      </c>
      <c r="I47" s="499">
        <f>I29-I44</f>
        <v>7107</v>
      </c>
      <c r="J47" s="499">
        <f>J29-J44</f>
        <v>5244</v>
      </c>
      <c r="K47" s="499">
        <f>K29-K44</f>
        <v>-2656</v>
      </c>
      <c r="L47" s="96"/>
      <c r="M47" s="3"/>
      <c r="N47" s="3"/>
      <c r="O47" s="134"/>
      <c r="P47" s="3"/>
      <c r="Q47" s="3"/>
      <c r="R47" s="3"/>
      <c r="S47" s="3"/>
      <c r="T47" s="3"/>
      <c r="U47" s="1081"/>
      <c r="V47" s="3"/>
      <c r="W47" s="3"/>
      <c r="X47" s="3"/>
      <c r="Y47" s="3"/>
      <c r="Z47" s="3"/>
      <c r="AA47" s="3"/>
      <c r="AB47" s="3"/>
      <c r="AC47" s="3"/>
      <c r="AD47" s="3"/>
      <c r="AE47" s="3"/>
      <c r="AF47" s="3"/>
      <c r="AG47" s="3"/>
      <c r="AH47" s="3"/>
      <c r="AI47" s="3"/>
      <c r="AJ47" s="3"/>
      <c r="AK47" s="3"/>
      <c r="AL47" s="3"/>
      <c r="AM47" s="3"/>
      <c r="AN47" s="3"/>
      <c r="AO47" s="3"/>
      <c r="AP47" s="3"/>
      <c r="AQ47" s="3"/>
      <c r="AR47" s="3"/>
    </row>
    <row r="48" spans="1:44" ht="7.5" customHeight="1" x14ac:dyDescent="0.3">
      <c r="A48" s="3"/>
      <c r="B48" s="212"/>
      <c r="C48" s="495"/>
      <c r="D48" s="3"/>
      <c r="E48" s="3"/>
      <c r="F48" s="3"/>
      <c r="G48" s="499"/>
      <c r="H48" s="499"/>
      <c r="I48" s="499"/>
      <c r="J48" s="499"/>
      <c r="K48" s="499"/>
      <c r="L48" s="96"/>
      <c r="M48" s="3"/>
      <c r="N48" s="3"/>
      <c r="O48" s="134"/>
      <c r="P48" s="3"/>
      <c r="Q48" s="3"/>
      <c r="R48" s="3"/>
      <c r="S48" s="3"/>
      <c r="T48" s="3"/>
      <c r="U48" s="1081"/>
      <c r="V48" s="3"/>
      <c r="W48" s="3"/>
      <c r="X48" s="3"/>
      <c r="Y48" s="3"/>
      <c r="Z48" s="3"/>
      <c r="AA48" s="3"/>
      <c r="AB48" s="3"/>
      <c r="AC48" s="3"/>
      <c r="AD48" s="3"/>
      <c r="AE48" s="3"/>
      <c r="AF48" s="3"/>
      <c r="AG48" s="3"/>
      <c r="AH48" s="3"/>
      <c r="AI48" s="3"/>
      <c r="AJ48" s="3"/>
      <c r="AK48" s="3"/>
      <c r="AL48" s="3"/>
      <c r="AM48" s="3"/>
      <c r="AN48" s="3"/>
      <c r="AO48" s="3"/>
      <c r="AP48" s="3"/>
      <c r="AQ48" s="3"/>
      <c r="AR48" s="3"/>
    </row>
    <row r="49" spans="1:44" ht="15.6" x14ac:dyDescent="0.3">
      <c r="A49" s="3"/>
      <c r="B49" s="212"/>
      <c r="C49" s="135" t="s">
        <v>914</v>
      </c>
      <c r="D49" s="3"/>
      <c r="E49" s="3"/>
      <c r="F49" s="3"/>
      <c r="G49" s="971">
        <f>IF(G29=0,0,G47/G29)</f>
        <v>5.2642829997466431E-2</v>
      </c>
      <c r="H49" s="971">
        <f>IF(H29=0,0,H47/H29)</f>
        <v>4.3626096724247852E-2</v>
      </c>
      <c r="I49" s="971">
        <f>IF(I29=0,0,I47/I29)</f>
        <v>5.3354654174455528E-2</v>
      </c>
      <c r="J49" s="971">
        <f>IF(J29=0,0,J47/J29)</f>
        <v>3.8192623667191047E-2</v>
      </c>
      <c r="K49" s="971">
        <f>IF(K29=0,0,K47/K29)</f>
        <v>-1.9020474222817409E-2</v>
      </c>
      <c r="L49" s="96"/>
      <c r="M49" s="3"/>
      <c r="N49" s="3"/>
      <c r="O49" s="134"/>
      <c r="P49" s="3"/>
      <c r="Q49" s="3"/>
      <c r="R49" s="3"/>
      <c r="S49" s="3"/>
      <c r="T49" s="3"/>
      <c r="U49" s="1081"/>
      <c r="V49" s="3"/>
      <c r="W49" s="3"/>
      <c r="X49" s="3"/>
      <c r="Y49" s="3"/>
      <c r="Z49" s="3"/>
      <c r="AA49" s="3"/>
      <c r="AB49" s="3"/>
      <c r="AC49" s="3"/>
      <c r="AD49" s="3"/>
      <c r="AE49" s="3"/>
      <c r="AF49" s="3"/>
      <c r="AG49" s="3"/>
      <c r="AH49" s="3"/>
      <c r="AI49" s="3"/>
      <c r="AJ49" s="3"/>
      <c r="AK49" s="3"/>
      <c r="AL49" s="3"/>
      <c r="AM49" s="3"/>
      <c r="AN49" s="3"/>
      <c r="AO49" s="3"/>
      <c r="AP49" s="3"/>
      <c r="AQ49" s="3"/>
      <c r="AR49" s="3"/>
    </row>
    <row r="50" spans="1:44" ht="9" customHeight="1" x14ac:dyDescent="0.3">
      <c r="A50" s="3"/>
      <c r="B50" s="212"/>
      <c r="C50" s="97"/>
      <c r="D50" s="93"/>
      <c r="E50" s="93"/>
      <c r="F50" s="93"/>
      <c r="G50" s="139"/>
      <c r="H50" s="139"/>
      <c r="I50" s="139"/>
      <c r="J50" s="139"/>
      <c r="K50" s="139"/>
      <c r="L50" s="98"/>
      <c r="M50" s="3"/>
      <c r="N50" s="3"/>
      <c r="O50" s="134"/>
      <c r="P50" s="3"/>
      <c r="Q50" s="3"/>
      <c r="R50" s="3"/>
      <c r="S50" s="3"/>
      <c r="T50" s="3"/>
      <c r="U50" s="1081"/>
      <c r="V50" s="3"/>
      <c r="W50" s="3"/>
      <c r="X50" s="3"/>
      <c r="Y50" s="3"/>
      <c r="Z50" s="3"/>
      <c r="AA50" s="3"/>
      <c r="AB50" s="3"/>
      <c r="AC50" s="3"/>
      <c r="AD50" s="3"/>
      <c r="AE50" s="3"/>
      <c r="AF50" s="3"/>
      <c r="AG50" s="3"/>
      <c r="AH50" s="3"/>
      <c r="AI50" s="3"/>
      <c r="AJ50" s="3"/>
      <c r="AK50" s="3"/>
      <c r="AL50" s="3"/>
      <c r="AM50" s="3"/>
      <c r="AN50" s="3"/>
      <c r="AO50" s="3"/>
      <c r="AP50" s="3"/>
      <c r="AQ50" s="3"/>
      <c r="AR50" s="3"/>
    </row>
    <row r="51" spans="1:44" ht="15.6" x14ac:dyDescent="0.3">
      <c r="A51" s="3"/>
      <c r="B51" s="212"/>
      <c r="C51" s="770" t="s">
        <v>915</v>
      </c>
      <c r="D51" s="3"/>
      <c r="E51" s="3"/>
      <c r="F51" s="3"/>
      <c r="G51" s="3"/>
      <c r="H51" s="3"/>
      <c r="I51" s="3"/>
      <c r="J51" s="3"/>
      <c r="K51" s="3"/>
      <c r="L51" s="3"/>
      <c r="M51" s="3"/>
      <c r="N51" s="3"/>
      <c r="O51" s="134"/>
      <c r="P51" s="3"/>
      <c r="Q51" s="3"/>
      <c r="R51" s="3"/>
      <c r="S51" s="3"/>
      <c r="T51" s="3"/>
      <c r="U51" s="1081"/>
      <c r="V51" s="3"/>
      <c r="W51" s="3"/>
      <c r="X51" s="3"/>
      <c r="Y51" s="3"/>
      <c r="Z51" s="3"/>
      <c r="AA51" s="3"/>
      <c r="AB51" s="3"/>
      <c r="AC51" s="3"/>
      <c r="AD51" s="3"/>
      <c r="AE51" s="3"/>
      <c r="AF51" s="3"/>
      <c r="AG51" s="3"/>
      <c r="AH51" s="3"/>
      <c r="AI51" s="3"/>
      <c r="AJ51" s="3"/>
      <c r="AK51" s="3"/>
      <c r="AL51" s="3"/>
      <c r="AM51" s="3"/>
      <c r="AN51" s="3"/>
      <c r="AO51" s="3"/>
      <c r="AP51" s="3"/>
      <c r="AQ51" s="3"/>
      <c r="AR51" s="3"/>
    </row>
    <row r="52" spans="1:44" ht="15.6" x14ac:dyDescent="0.3">
      <c r="A52" s="3"/>
      <c r="B52" s="212"/>
      <c r="C52" s="3"/>
      <c r="D52" s="3"/>
      <c r="E52" s="3"/>
      <c r="F52" s="3"/>
      <c r="G52" s="3"/>
      <c r="H52" s="3"/>
      <c r="I52" s="3"/>
      <c r="J52" s="3"/>
      <c r="K52" s="3"/>
      <c r="L52" s="3"/>
      <c r="M52" s="3"/>
      <c r="N52" s="3"/>
      <c r="O52" s="134"/>
      <c r="P52" s="3"/>
      <c r="Q52" s="3"/>
      <c r="R52" s="3"/>
      <c r="S52" s="3"/>
      <c r="T52" s="3"/>
      <c r="U52" s="1081"/>
      <c r="V52" s="3"/>
      <c r="W52" s="3"/>
      <c r="X52" s="3"/>
      <c r="Y52" s="3"/>
      <c r="Z52" s="3"/>
      <c r="AA52" s="3"/>
      <c r="AB52" s="3"/>
      <c r="AC52" s="3"/>
      <c r="AD52" s="3"/>
      <c r="AE52" s="3"/>
      <c r="AF52" s="3"/>
      <c r="AG52" s="3"/>
      <c r="AH52" s="3"/>
      <c r="AI52" s="3"/>
      <c r="AJ52" s="3"/>
      <c r="AK52" s="3"/>
      <c r="AL52" s="3"/>
      <c r="AM52" s="3"/>
      <c r="AN52" s="3"/>
      <c r="AO52" s="3"/>
      <c r="AP52" s="3"/>
      <c r="AQ52" s="3"/>
      <c r="AR52" s="3"/>
    </row>
    <row r="53" spans="1:44" ht="15.6" x14ac:dyDescent="0.3">
      <c r="A53" s="3"/>
      <c r="B53" s="212"/>
      <c r="C53" s="3"/>
      <c r="D53" s="3"/>
      <c r="E53" s="3"/>
      <c r="F53" s="3"/>
      <c r="G53" s="3"/>
      <c r="H53" s="3"/>
      <c r="I53" s="3"/>
      <c r="J53" s="3"/>
      <c r="K53" s="3"/>
      <c r="L53" s="3"/>
      <c r="M53" s="3"/>
      <c r="N53" s="3"/>
      <c r="O53" s="134"/>
      <c r="P53" s="3"/>
      <c r="Q53" s="3"/>
      <c r="R53" s="3"/>
      <c r="S53" s="3"/>
      <c r="T53" s="3"/>
      <c r="U53" s="1081"/>
      <c r="V53" s="3"/>
      <c r="W53" s="3"/>
      <c r="X53" s="3"/>
      <c r="Y53" s="3"/>
      <c r="Z53" s="3"/>
      <c r="AA53" s="3"/>
      <c r="AB53" s="3"/>
      <c r="AC53" s="3"/>
      <c r="AD53" s="3"/>
      <c r="AE53" s="3"/>
      <c r="AF53" s="3"/>
      <c r="AG53" s="3"/>
      <c r="AH53" s="3"/>
      <c r="AI53" s="3"/>
      <c r="AJ53" s="3"/>
      <c r="AK53" s="3"/>
      <c r="AL53" s="3"/>
      <c r="AM53" s="3"/>
      <c r="AN53" s="3"/>
      <c r="AO53" s="3"/>
      <c r="AP53" s="3"/>
      <c r="AQ53" s="3"/>
      <c r="AR53" s="3"/>
    </row>
    <row r="54" spans="1:44" ht="15.6" x14ac:dyDescent="0.3">
      <c r="A54" s="3"/>
      <c r="B54" s="212"/>
      <c r="C54" s="1246" t="s">
        <v>916</v>
      </c>
      <c r="D54" s="1064"/>
      <c r="E54" s="1064"/>
      <c r="F54" s="1065"/>
      <c r="G54" s="1065"/>
      <c r="H54" s="1065"/>
      <c r="I54" s="848"/>
      <c r="J54" s="848" t="s">
        <v>885</v>
      </c>
      <c r="K54" s="848"/>
      <c r="L54" s="849"/>
      <c r="M54" s="3"/>
      <c r="N54" s="3"/>
      <c r="O54" s="134"/>
      <c r="P54" s="3"/>
      <c r="Q54" s="3"/>
      <c r="R54" s="3"/>
      <c r="S54" s="3"/>
      <c r="T54" s="3"/>
      <c r="U54" s="1081"/>
      <c r="V54" s="3"/>
      <c r="W54" s="3"/>
      <c r="X54" s="3"/>
      <c r="Y54" s="3"/>
      <c r="Z54" s="3"/>
      <c r="AA54" s="3"/>
      <c r="AB54" s="3"/>
      <c r="AC54" s="3"/>
      <c r="AD54" s="3"/>
      <c r="AE54" s="3"/>
      <c r="AF54" s="3"/>
      <c r="AG54" s="3"/>
      <c r="AH54" s="3"/>
      <c r="AI54" s="3"/>
      <c r="AJ54" s="3"/>
      <c r="AK54" s="3"/>
      <c r="AL54" s="3"/>
      <c r="AM54" s="3"/>
      <c r="AN54" s="3"/>
      <c r="AO54" s="3"/>
      <c r="AP54" s="3"/>
      <c r="AQ54" s="3"/>
      <c r="AR54" s="3"/>
    </row>
    <row r="55" spans="1:44" ht="15.6" x14ac:dyDescent="0.3">
      <c r="A55" s="3"/>
      <c r="B55" s="212"/>
      <c r="C55" s="492" t="s">
        <v>917</v>
      </c>
      <c r="D55" s="493"/>
      <c r="E55" s="493"/>
      <c r="F55" s="493"/>
      <c r="G55" s="493"/>
      <c r="H55" s="493"/>
      <c r="I55" s="574"/>
      <c r="J55" s="574"/>
      <c r="K55" s="574"/>
      <c r="L55" s="575"/>
      <c r="M55" s="3"/>
      <c r="N55" s="3"/>
      <c r="O55" s="134"/>
      <c r="P55" s="3"/>
      <c r="Q55" s="3"/>
      <c r="R55" s="3"/>
      <c r="S55" s="3"/>
      <c r="T55" s="3"/>
      <c r="U55" s="1081"/>
      <c r="V55" s="3"/>
      <c r="W55" s="3"/>
      <c r="X55" s="3"/>
      <c r="Y55" s="3"/>
      <c r="Z55" s="3"/>
      <c r="AA55" s="3"/>
      <c r="AB55" s="3"/>
      <c r="AC55" s="3"/>
      <c r="AD55" s="3"/>
      <c r="AE55" s="3"/>
      <c r="AF55" s="3"/>
      <c r="AG55" s="3"/>
      <c r="AH55" s="3"/>
      <c r="AI55" s="3"/>
      <c r="AJ55" s="3"/>
      <c r="AK55" s="3"/>
      <c r="AL55" s="3"/>
      <c r="AM55" s="3"/>
      <c r="AN55" s="3"/>
      <c r="AO55" s="3"/>
      <c r="AP55" s="3"/>
      <c r="AQ55" s="3"/>
      <c r="AR55" s="3"/>
    </row>
    <row r="56" spans="1:44" ht="15.6" x14ac:dyDescent="0.3">
      <c r="A56" s="3"/>
      <c r="B56" s="212"/>
      <c r="C56" s="135"/>
      <c r="D56" s="3"/>
      <c r="E56" s="3"/>
      <c r="F56" s="3"/>
      <c r="G56" s="330" t="str">
        <f>G$15</f>
        <v>2017-18</v>
      </c>
      <c r="H56" s="330" t="str">
        <f>H$15</f>
        <v>2018-19</v>
      </c>
      <c r="I56" s="330" t="str">
        <f>I$15</f>
        <v>2019-20</v>
      </c>
      <c r="J56" s="330" t="str">
        <f>J$15</f>
        <v>2020-21</v>
      </c>
      <c r="K56" s="330" t="str">
        <f>K$15</f>
        <v>2021-22</v>
      </c>
      <c r="L56" s="96"/>
      <c r="M56" s="3"/>
      <c r="N56" s="3"/>
      <c r="O56" s="134"/>
      <c r="P56" s="3"/>
      <c r="Q56" s="3"/>
      <c r="R56" s="3"/>
      <c r="S56" s="3"/>
      <c r="T56" s="3"/>
      <c r="U56" s="1081"/>
      <c r="V56" s="3"/>
      <c r="W56" s="3"/>
      <c r="X56" s="3"/>
      <c r="Y56" s="3"/>
      <c r="Z56" s="3"/>
      <c r="AA56" s="3"/>
      <c r="AB56" s="3"/>
      <c r="AC56" s="3"/>
      <c r="AD56" s="3"/>
      <c r="AE56" s="3"/>
      <c r="AF56" s="3"/>
      <c r="AG56" s="3"/>
      <c r="AH56" s="3"/>
      <c r="AI56" s="3"/>
      <c r="AJ56" s="3"/>
      <c r="AK56" s="3"/>
      <c r="AL56" s="3"/>
      <c r="AM56" s="3"/>
      <c r="AN56" s="3"/>
      <c r="AO56" s="3"/>
      <c r="AP56" s="3"/>
      <c r="AQ56" s="3"/>
      <c r="AR56" s="3"/>
    </row>
    <row r="57" spans="1:44" ht="15.6" x14ac:dyDescent="0.3">
      <c r="A57" s="3"/>
      <c r="B57" s="212"/>
      <c r="C57" s="135"/>
      <c r="D57" s="3"/>
      <c r="E57" s="3"/>
      <c r="F57" s="3"/>
      <c r="G57" s="278"/>
      <c r="H57" s="278"/>
      <c r="I57" s="278"/>
      <c r="J57" s="278"/>
      <c r="K57" s="278"/>
      <c r="L57" s="96"/>
      <c r="M57" s="3"/>
      <c r="N57" s="3"/>
      <c r="O57" s="134"/>
      <c r="P57" s="3"/>
      <c r="Q57" s="3"/>
      <c r="R57" s="3"/>
      <c r="S57" s="3"/>
      <c r="T57" s="3"/>
      <c r="U57" s="1081"/>
      <c r="V57" s="3"/>
      <c r="W57" s="3"/>
      <c r="X57" s="3"/>
      <c r="Y57" s="3"/>
      <c r="Z57" s="3"/>
      <c r="AA57" s="3"/>
      <c r="AB57" s="3"/>
      <c r="AC57" s="3"/>
      <c r="AD57" s="3"/>
      <c r="AE57" s="3"/>
      <c r="AF57" s="3"/>
      <c r="AG57" s="3"/>
      <c r="AH57" s="3"/>
      <c r="AI57" s="3"/>
      <c r="AJ57" s="3"/>
      <c r="AK57" s="3"/>
      <c r="AL57" s="3"/>
      <c r="AM57" s="3"/>
      <c r="AN57" s="3"/>
      <c r="AO57" s="3"/>
      <c r="AP57" s="3"/>
      <c r="AQ57" s="3"/>
      <c r="AR57" s="3"/>
    </row>
    <row r="58" spans="1:44" ht="15.6" x14ac:dyDescent="0.3">
      <c r="A58" s="3"/>
      <c r="B58" s="212"/>
      <c r="C58" s="826" t="s">
        <v>918</v>
      </c>
      <c r="D58" s="3"/>
      <c r="E58" s="3"/>
      <c r="F58" s="3"/>
      <c r="G58" s="497">
        <v>214</v>
      </c>
      <c r="H58" s="497">
        <v>138</v>
      </c>
      <c r="I58" s="497">
        <v>100</v>
      </c>
      <c r="J58" s="497">
        <v>71</v>
      </c>
      <c r="K58" s="497">
        <v>82</v>
      </c>
      <c r="L58" s="96"/>
      <c r="M58" s="3"/>
      <c r="N58" s="3"/>
      <c r="O58" s="134"/>
      <c r="P58" s="3"/>
      <c r="Q58" s="3"/>
      <c r="R58" s="3"/>
      <c r="S58" s="3"/>
      <c r="T58" s="3"/>
      <c r="U58" s="1081"/>
      <c r="V58" s="3"/>
      <c r="W58" s="3"/>
      <c r="X58" s="3"/>
      <c r="Y58" s="3"/>
      <c r="Z58" s="3"/>
      <c r="AA58" s="3"/>
      <c r="AB58" s="3"/>
      <c r="AC58" s="3"/>
      <c r="AD58" s="3"/>
      <c r="AE58" s="3"/>
      <c r="AF58" s="3"/>
      <c r="AG58" s="3"/>
      <c r="AH58" s="3"/>
      <c r="AI58" s="3"/>
      <c r="AJ58" s="3"/>
      <c r="AK58" s="3"/>
      <c r="AL58" s="3"/>
      <c r="AM58" s="3"/>
      <c r="AN58" s="3"/>
      <c r="AO58" s="3"/>
      <c r="AP58" s="3"/>
      <c r="AQ58" s="3"/>
      <c r="AR58" s="3"/>
    </row>
    <row r="59" spans="1:44" ht="15.6" x14ac:dyDescent="0.3">
      <c r="A59" s="3"/>
      <c r="B59" s="212"/>
      <c r="C59" s="826" t="s">
        <v>919</v>
      </c>
      <c r="D59" s="3"/>
      <c r="E59" s="3"/>
      <c r="F59" s="3"/>
      <c r="G59" s="497">
        <v>1080</v>
      </c>
      <c r="H59" s="497">
        <v>856</v>
      </c>
      <c r="I59" s="497">
        <v>596</v>
      </c>
      <c r="J59" s="497">
        <v>366</v>
      </c>
      <c r="K59" s="497">
        <v>242</v>
      </c>
      <c r="L59" s="96"/>
      <c r="M59" s="3"/>
      <c r="N59" s="3"/>
      <c r="O59" s="134"/>
      <c r="P59" s="3"/>
      <c r="Q59" s="3"/>
      <c r="R59" s="3"/>
      <c r="S59" s="3"/>
      <c r="T59" s="3"/>
      <c r="U59" s="1081"/>
      <c r="V59" s="3"/>
      <c r="W59" s="3"/>
      <c r="X59" s="3"/>
      <c r="Y59" s="3"/>
      <c r="Z59" s="3"/>
      <c r="AA59" s="3"/>
      <c r="AB59" s="3"/>
      <c r="AC59" s="3"/>
      <c r="AD59" s="3"/>
      <c r="AE59" s="3"/>
      <c r="AF59" s="3"/>
      <c r="AG59" s="3"/>
      <c r="AH59" s="3"/>
      <c r="AI59" s="3"/>
      <c r="AJ59" s="3"/>
      <c r="AK59" s="3"/>
      <c r="AL59" s="3"/>
      <c r="AM59" s="3"/>
      <c r="AN59" s="3"/>
      <c r="AO59" s="3"/>
      <c r="AP59" s="3"/>
      <c r="AQ59" s="3"/>
      <c r="AR59" s="3"/>
    </row>
    <row r="60" spans="1:44" ht="15.6" x14ac:dyDescent="0.3">
      <c r="A60" s="3"/>
      <c r="B60" s="212"/>
      <c r="C60" s="97"/>
      <c r="D60" s="93"/>
      <c r="E60" s="93"/>
      <c r="F60" s="93"/>
      <c r="G60" s="139"/>
      <c r="H60" s="139"/>
      <c r="I60" s="139"/>
      <c r="J60" s="139"/>
      <c r="K60" s="139"/>
      <c r="L60" s="98"/>
      <c r="M60" s="3"/>
      <c r="N60" s="3"/>
      <c r="O60" s="134"/>
      <c r="P60" s="3"/>
      <c r="Q60" s="3"/>
      <c r="R60" s="3"/>
      <c r="S60" s="3"/>
      <c r="T60" s="3"/>
      <c r="U60" s="1081"/>
      <c r="V60" s="3"/>
      <c r="W60" s="3"/>
      <c r="X60" s="3"/>
      <c r="Y60" s="3"/>
      <c r="Z60" s="3"/>
      <c r="AA60" s="3"/>
      <c r="AB60" s="3"/>
      <c r="AC60" s="3"/>
      <c r="AD60" s="3"/>
      <c r="AE60" s="3"/>
      <c r="AF60" s="3"/>
      <c r="AG60" s="3"/>
      <c r="AH60" s="3"/>
      <c r="AI60" s="3"/>
      <c r="AJ60" s="3"/>
      <c r="AK60" s="3"/>
      <c r="AL60" s="3"/>
      <c r="AM60" s="3"/>
      <c r="AN60" s="3"/>
      <c r="AO60" s="3"/>
      <c r="AP60" s="3"/>
      <c r="AQ60" s="3"/>
      <c r="AR60" s="3"/>
    </row>
    <row r="61" spans="1:44" ht="15.6" x14ac:dyDescent="0.3">
      <c r="A61" s="3"/>
      <c r="B61" s="212"/>
      <c r="C61" s="3"/>
      <c r="D61" s="3"/>
      <c r="E61" s="3"/>
      <c r="F61" s="3"/>
      <c r="G61" s="3"/>
      <c r="H61" s="3"/>
      <c r="I61" s="3"/>
      <c r="J61" s="3"/>
      <c r="K61" s="3"/>
      <c r="L61" s="3"/>
      <c r="M61" s="3"/>
      <c r="N61" s="3"/>
      <c r="O61" s="134"/>
      <c r="P61" s="3"/>
      <c r="Q61" s="3"/>
      <c r="R61" s="3"/>
      <c r="S61" s="3"/>
      <c r="T61" s="3"/>
      <c r="U61" s="1081"/>
      <c r="V61" s="3"/>
      <c r="W61" s="3"/>
      <c r="X61" s="3"/>
      <c r="Y61" s="3"/>
      <c r="Z61" s="3"/>
      <c r="AA61" s="3"/>
      <c r="AB61" s="3"/>
      <c r="AC61" s="3"/>
      <c r="AD61" s="3"/>
      <c r="AE61" s="3"/>
      <c r="AF61" s="3"/>
      <c r="AG61" s="3"/>
      <c r="AH61" s="3"/>
      <c r="AI61" s="3"/>
      <c r="AJ61" s="3"/>
      <c r="AK61" s="3"/>
      <c r="AL61" s="3"/>
      <c r="AM61" s="3"/>
      <c r="AN61" s="3"/>
      <c r="AO61" s="3"/>
      <c r="AP61" s="3"/>
      <c r="AQ61" s="3"/>
      <c r="AR61" s="3"/>
    </row>
    <row r="62" spans="1:44" ht="15.6" x14ac:dyDescent="0.3">
      <c r="A62" s="3"/>
      <c r="B62" s="212"/>
      <c r="C62" s="3"/>
      <c r="D62" s="3"/>
      <c r="E62" s="3"/>
      <c r="F62" s="3"/>
      <c r="G62" s="3"/>
      <c r="H62" s="3"/>
      <c r="I62" s="3"/>
      <c r="J62" s="3"/>
      <c r="K62" s="3"/>
      <c r="L62" s="3"/>
      <c r="M62" s="3"/>
      <c r="N62" s="3"/>
      <c r="O62" s="134"/>
      <c r="P62" s="3"/>
      <c r="Q62" s="3"/>
      <c r="R62" s="3"/>
      <c r="S62" s="3"/>
      <c r="T62" s="3"/>
      <c r="U62" s="1081"/>
      <c r="V62" s="3"/>
      <c r="W62" s="3"/>
      <c r="X62" s="3"/>
      <c r="Y62" s="3"/>
      <c r="Z62" s="3"/>
      <c r="AA62" s="3"/>
      <c r="AB62" s="3"/>
      <c r="AC62" s="3"/>
      <c r="AD62" s="3"/>
      <c r="AE62" s="3"/>
      <c r="AF62" s="3"/>
      <c r="AG62" s="3"/>
      <c r="AH62" s="3"/>
      <c r="AI62" s="3"/>
      <c r="AJ62" s="3"/>
      <c r="AK62" s="3"/>
      <c r="AL62" s="3"/>
      <c r="AM62" s="3"/>
      <c r="AN62" s="3"/>
      <c r="AO62" s="3"/>
      <c r="AP62" s="3"/>
      <c r="AQ62" s="3"/>
      <c r="AR62" s="3"/>
    </row>
    <row r="63" spans="1:44" ht="15.6" x14ac:dyDescent="0.3">
      <c r="A63" s="3"/>
      <c r="B63" s="212"/>
      <c r="C63" s="3"/>
      <c r="D63" s="3"/>
      <c r="E63" s="3"/>
      <c r="F63" s="3"/>
      <c r="G63" s="3"/>
      <c r="H63" s="3"/>
      <c r="I63" s="3"/>
      <c r="J63" s="3"/>
      <c r="K63" s="3"/>
      <c r="L63" s="3"/>
      <c r="M63" s="3"/>
      <c r="N63" s="3"/>
      <c r="O63" s="134"/>
      <c r="P63" s="3"/>
      <c r="Q63" s="3"/>
      <c r="R63" s="3"/>
      <c r="S63" s="3"/>
      <c r="T63" s="3"/>
      <c r="U63" s="1081"/>
      <c r="V63" s="3"/>
      <c r="W63" s="3"/>
      <c r="X63" s="3"/>
      <c r="Y63" s="3"/>
      <c r="Z63" s="3"/>
      <c r="AA63" s="3"/>
      <c r="AB63" s="3"/>
      <c r="AC63" s="3"/>
      <c r="AD63" s="3"/>
      <c r="AE63" s="3"/>
      <c r="AF63" s="3"/>
      <c r="AG63" s="3"/>
      <c r="AH63" s="3"/>
      <c r="AI63" s="3"/>
      <c r="AJ63" s="3"/>
      <c r="AK63" s="3"/>
      <c r="AL63" s="3"/>
      <c r="AM63" s="3"/>
      <c r="AN63" s="3"/>
      <c r="AO63" s="3"/>
      <c r="AP63" s="3"/>
      <c r="AQ63" s="3"/>
      <c r="AR63" s="3"/>
    </row>
    <row r="64" spans="1:44" ht="15.6" x14ac:dyDescent="0.3">
      <c r="A64" s="3"/>
      <c r="B64" s="212"/>
      <c r="C64" s="1246" t="s">
        <v>920</v>
      </c>
      <c r="D64" s="1064"/>
      <c r="E64" s="1064"/>
      <c r="F64" s="1065"/>
      <c r="G64" s="1065"/>
      <c r="H64" s="1065"/>
      <c r="I64" s="848"/>
      <c r="J64" s="848"/>
      <c r="K64" s="848"/>
      <c r="L64" s="849"/>
      <c r="M64" s="3"/>
      <c r="N64" s="3"/>
      <c r="O64" s="134"/>
      <c r="P64" s="3"/>
      <c r="Q64" s="3"/>
      <c r="R64" s="3"/>
      <c r="S64" s="3"/>
      <c r="T64" s="3"/>
      <c r="U64" s="1081"/>
      <c r="V64" s="3"/>
      <c r="W64" s="3"/>
      <c r="X64" s="3"/>
      <c r="Y64" s="3"/>
      <c r="Z64" s="3"/>
      <c r="AA64" s="3"/>
      <c r="AB64" s="3"/>
      <c r="AC64" s="3"/>
      <c r="AD64" s="3"/>
      <c r="AE64" s="3"/>
      <c r="AF64" s="3"/>
      <c r="AG64" s="3"/>
      <c r="AH64" s="3"/>
      <c r="AI64" s="3"/>
      <c r="AJ64" s="3"/>
      <c r="AK64" s="3"/>
      <c r="AL64" s="3"/>
      <c r="AM64" s="3"/>
      <c r="AN64" s="3"/>
      <c r="AO64" s="3"/>
      <c r="AP64" s="3"/>
      <c r="AQ64" s="3"/>
      <c r="AR64" s="3"/>
    </row>
    <row r="65" spans="1:44" ht="15.6" x14ac:dyDescent="0.3">
      <c r="A65" s="3"/>
      <c r="B65" s="212"/>
      <c r="C65" s="492" t="s">
        <v>921</v>
      </c>
      <c r="D65" s="493" t="s">
        <v>922</v>
      </c>
      <c r="E65" s="493"/>
      <c r="F65" s="493"/>
      <c r="G65" s="493"/>
      <c r="H65" s="493"/>
      <c r="I65" s="184"/>
      <c r="J65" s="493"/>
      <c r="K65" s="184"/>
      <c r="L65" s="494"/>
      <c r="M65" s="3"/>
      <c r="N65" s="3"/>
      <c r="O65" s="134"/>
      <c r="P65" s="3"/>
      <c r="Q65" s="3"/>
      <c r="R65" s="3"/>
      <c r="S65" s="3"/>
      <c r="T65" s="3"/>
      <c r="U65" s="1081"/>
      <c r="V65" s="3"/>
      <c r="W65" s="3"/>
      <c r="X65" s="3"/>
      <c r="Y65" s="3"/>
      <c r="Z65" s="3"/>
      <c r="AA65" s="3"/>
      <c r="AB65" s="3"/>
      <c r="AC65" s="3"/>
      <c r="AD65" s="3"/>
      <c r="AE65" s="3"/>
      <c r="AF65" s="3"/>
      <c r="AG65" s="3"/>
      <c r="AH65" s="3"/>
      <c r="AI65" s="3"/>
      <c r="AJ65" s="3"/>
      <c r="AK65" s="3"/>
      <c r="AL65" s="3"/>
      <c r="AM65" s="3"/>
      <c r="AN65" s="3"/>
      <c r="AO65" s="3"/>
      <c r="AP65" s="3"/>
      <c r="AQ65" s="3"/>
      <c r="AR65" s="3"/>
    </row>
    <row r="66" spans="1:44" ht="15.6" x14ac:dyDescent="0.3">
      <c r="A66" s="3"/>
      <c r="B66" s="212"/>
      <c r="C66" s="135"/>
      <c r="D66" s="3"/>
      <c r="E66" s="3"/>
      <c r="F66" s="3"/>
      <c r="G66" s="496" t="str">
        <f>G$15</f>
        <v>2017-18</v>
      </c>
      <c r="H66" s="496" t="str">
        <f>H$15</f>
        <v>2018-19</v>
      </c>
      <c r="I66" s="496" t="str">
        <f>I$15</f>
        <v>2019-20</v>
      </c>
      <c r="J66" s="496" t="str">
        <f>J$15</f>
        <v>2020-21</v>
      </c>
      <c r="K66" s="496" t="str">
        <f>K$15</f>
        <v>2021-22</v>
      </c>
      <c r="L66" s="96"/>
      <c r="M66" s="3"/>
      <c r="N66" s="3"/>
      <c r="O66" s="134"/>
      <c r="P66" s="3"/>
      <c r="Q66" s="3"/>
      <c r="R66" s="3"/>
      <c r="S66" s="3"/>
      <c r="T66" s="3"/>
      <c r="U66" s="1081"/>
      <c r="V66" s="3"/>
      <c r="W66" s="3"/>
      <c r="X66" s="3"/>
      <c r="Y66" s="3"/>
      <c r="Z66" s="3"/>
      <c r="AA66" s="3"/>
      <c r="AB66" s="3"/>
      <c r="AC66" s="3"/>
      <c r="AD66" s="3"/>
      <c r="AE66" s="3"/>
      <c r="AF66" s="3"/>
      <c r="AG66" s="3"/>
      <c r="AH66" s="3"/>
      <c r="AI66" s="3"/>
      <c r="AJ66" s="3"/>
      <c r="AK66" s="3"/>
      <c r="AL66" s="3"/>
      <c r="AM66" s="3"/>
      <c r="AN66" s="3"/>
      <c r="AO66" s="3"/>
      <c r="AP66" s="3"/>
      <c r="AQ66" s="3"/>
      <c r="AR66" s="3"/>
    </row>
    <row r="67" spans="1:44" ht="15.6" x14ac:dyDescent="0.3">
      <c r="A67" s="3"/>
      <c r="B67" s="212"/>
      <c r="C67" s="135"/>
      <c r="D67" s="3"/>
      <c r="E67" s="3"/>
      <c r="F67" s="3"/>
      <c r="G67" s="278"/>
      <c r="H67" s="278"/>
      <c r="I67" s="278"/>
      <c r="J67" s="278"/>
      <c r="K67" s="278"/>
      <c r="L67" s="96"/>
      <c r="M67" s="3"/>
      <c r="N67" s="3"/>
      <c r="O67" s="134"/>
      <c r="P67" s="3"/>
      <c r="Q67" s="3"/>
      <c r="R67" s="3"/>
      <c r="S67" s="3"/>
      <c r="T67" s="3"/>
      <c r="U67" s="1081"/>
      <c r="V67" s="3"/>
      <c r="W67" s="3"/>
      <c r="X67" s="3"/>
      <c r="Y67" s="3"/>
      <c r="Z67" s="3"/>
      <c r="AA67" s="3"/>
      <c r="AB67" s="3"/>
      <c r="AC67" s="3"/>
      <c r="AD67" s="3"/>
      <c r="AE67" s="3"/>
      <c r="AF67" s="3"/>
      <c r="AG67" s="3"/>
      <c r="AH67" s="3"/>
      <c r="AI67" s="3"/>
      <c r="AJ67" s="3"/>
      <c r="AK67" s="3"/>
      <c r="AL67" s="3"/>
      <c r="AM67" s="3"/>
      <c r="AN67" s="3"/>
      <c r="AO67" s="3"/>
      <c r="AP67" s="3"/>
      <c r="AQ67" s="3"/>
      <c r="AR67" s="3"/>
    </row>
    <row r="68" spans="1:44" ht="15.6" x14ac:dyDescent="0.3">
      <c r="A68" s="3"/>
      <c r="B68" s="212"/>
      <c r="C68" s="826" t="s">
        <v>923</v>
      </c>
      <c r="D68" s="3"/>
      <c r="E68" s="3"/>
      <c r="F68" s="3"/>
      <c r="G68" s="507">
        <v>0.95320000000000005</v>
      </c>
      <c r="H68" s="507">
        <v>0.9294</v>
      </c>
      <c r="I68" s="507">
        <v>0.92300000000000004</v>
      </c>
      <c r="J68" s="507">
        <v>0.89290000000000003</v>
      </c>
      <c r="K68" s="507">
        <v>0.9123</v>
      </c>
      <c r="L68" s="96"/>
      <c r="M68" s="3"/>
      <c r="N68" s="3"/>
      <c r="O68" s="134"/>
      <c r="P68" s="3"/>
      <c r="Q68" s="3"/>
      <c r="R68" s="3"/>
      <c r="S68" s="3"/>
      <c r="T68" s="3"/>
      <c r="U68" s="1081"/>
      <c r="V68" s="3"/>
      <c r="W68" s="3"/>
      <c r="X68" s="3"/>
      <c r="Y68" s="3"/>
      <c r="Z68" s="3"/>
      <c r="AA68" s="3"/>
      <c r="AB68" s="3"/>
      <c r="AC68" s="3"/>
      <c r="AD68" s="3"/>
      <c r="AE68" s="3"/>
      <c r="AF68" s="3"/>
      <c r="AG68" s="3"/>
      <c r="AH68" s="3"/>
      <c r="AI68" s="3"/>
      <c r="AJ68" s="3"/>
      <c r="AK68" s="3"/>
      <c r="AL68" s="3"/>
      <c r="AM68" s="3"/>
      <c r="AN68" s="3"/>
      <c r="AO68" s="3"/>
      <c r="AP68" s="3"/>
      <c r="AQ68" s="3"/>
      <c r="AR68" s="3"/>
    </row>
    <row r="69" spans="1:44" ht="15.6" x14ac:dyDescent="0.3">
      <c r="A69" s="3"/>
      <c r="B69" s="212"/>
      <c r="C69" s="826" t="s">
        <v>924</v>
      </c>
      <c r="D69" s="3"/>
      <c r="E69" s="3"/>
      <c r="F69" s="3"/>
      <c r="G69" s="507">
        <v>9.1999999999999998E-3</v>
      </c>
      <c r="H69" s="507">
        <v>9.7999999999999997E-3</v>
      </c>
      <c r="I69" s="507">
        <v>1.1900000000000001E-2</v>
      </c>
      <c r="J69" s="507">
        <v>1.3100000000000001E-2</v>
      </c>
      <c r="K69" s="507">
        <v>1.47E-2</v>
      </c>
      <c r="L69" s="96"/>
      <c r="M69" s="3"/>
      <c r="N69" s="3"/>
      <c r="O69" s="134"/>
      <c r="P69" s="3"/>
      <c r="Q69" s="3"/>
      <c r="R69" s="3"/>
      <c r="S69" s="3"/>
      <c r="T69" s="3"/>
      <c r="U69" s="1081"/>
      <c r="V69" s="3"/>
      <c r="W69" s="3"/>
      <c r="X69" s="3"/>
      <c r="Y69" s="3"/>
      <c r="Z69" s="3"/>
      <c r="AA69" s="3"/>
      <c r="AB69" s="3"/>
      <c r="AC69" s="3"/>
      <c r="AD69" s="3"/>
      <c r="AE69" s="3"/>
      <c r="AF69" s="3"/>
      <c r="AG69" s="3"/>
      <c r="AH69" s="3"/>
      <c r="AI69" s="3"/>
      <c r="AJ69" s="3"/>
      <c r="AK69" s="3"/>
      <c r="AL69" s="3"/>
      <c r="AM69" s="3"/>
      <c r="AN69" s="3"/>
      <c r="AO69" s="3"/>
      <c r="AP69" s="3"/>
      <c r="AQ69" s="3"/>
      <c r="AR69" s="3"/>
    </row>
    <row r="70" spans="1:44" x14ac:dyDescent="0.2">
      <c r="A70" s="3"/>
      <c r="B70" s="212"/>
      <c r="C70" s="826" t="s">
        <v>925</v>
      </c>
      <c r="D70" s="3"/>
      <c r="E70" s="3"/>
      <c r="F70" s="3"/>
      <c r="G70" s="507">
        <v>1.0046999999999999</v>
      </c>
      <c r="H70" s="507">
        <v>1.0163</v>
      </c>
      <c r="I70" s="507">
        <v>1.0509999999999999</v>
      </c>
      <c r="J70" s="507">
        <v>0.99380000000000002</v>
      </c>
      <c r="K70" s="507">
        <v>0.7984</v>
      </c>
      <c r="L70" s="96"/>
      <c r="M70" s="3"/>
      <c r="N70" s="3"/>
      <c r="O70" s="3"/>
      <c r="P70" s="3"/>
      <c r="Q70" s="3"/>
      <c r="R70" s="3"/>
      <c r="S70" s="3"/>
      <c r="T70" s="3"/>
      <c r="U70" s="1081"/>
      <c r="V70" s="3"/>
      <c r="W70" s="3"/>
      <c r="X70" s="3"/>
      <c r="Y70" s="3"/>
      <c r="Z70" s="3"/>
      <c r="AA70" s="3"/>
      <c r="AB70" s="3"/>
      <c r="AC70" s="3"/>
      <c r="AD70" s="3"/>
      <c r="AE70" s="3"/>
      <c r="AF70" s="3"/>
      <c r="AG70" s="3"/>
      <c r="AH70" s="3"/>
      <c r="AI70" s="3"/>
      <c r="AJ70" s="3"/>
      <c r="AK70" s="3"/>
      <c r="AL70" s="3"/>
      <c r="AM70" s="3"/>
      <c r="AN70" s="3"/>
      <c r="AO70" s="3"/>
      <c r="AP70" s="3"/>
      <c r="AQ70" s="3"/>
      <c r="AR70" s="3"/>
    </row>
    <row r="71" spans="1:44" x14ac:dyDescent="0.2">
      <c r="A71" s="3"/>
      <c r="B71" s="212"/>
      <c r="C71" s="97"/>
      <c r="D71" s="93"/>
      <c r="E71" s="93"/>
      <c r="F71" s="93"/>
      <c r="G71" s="139"/>
      <c r="H71" s="139"/>
      <c r="I71" s="139"/>
      <c r="J71" s="139"/>
      <c r="K71" s="139"/>
      <c r="L71" s="98"/>
      <c r="M71" s="3"/>
      <c r="N71" s="3"/>
      <c r="O71" s="3"/>
      <c r="P71" s="3"/>
      <c r="Q71" s="3"/>
      <c r="R71" s="3"/>
      <c r="S71" s="3"/>
      <c r="T71" s="3"/>
      <c r="U71" s="1081"/>
      <c r="V71" s="3"/>
      <c r="W71" s="3"/>
      <c r="X71" s="3"/>
      <c r="Y71" s="3"/>
      <c r="Z71" s="3"/>
      <c r="AA71" s="3"/>
      <c r="AB71" s="3"/>
      <c r="AC71" s="3"/>
      <c r="AD71" s="3"/>
      <c r="AE71" s="3"/>
      <c r="AF71" s="3"/>
      <c r="AG71" s="3"/>
      <c r="AH71" s="3"/>
      <c r="AI71" s="3"/>
      <c r="AJ71" s="3"/>
      <c r="AK71" s="3"/>
      <c r="AL71" s="3"/>
      <c r="AM71" s="3"/>
      <c r="AN71" s="3"/>
      <c r="AO71" s="3"/>
      <c r="AP71" s="3"/>
      <c r="AQ71" s="3"/>
      <c r="AR71" s="3"/>
    </row>
    <row r="72" spans="1:44" x14ac:dyDescent="0.2">
      <c r="A72" s="3"/>
      <c r="B72" s="212"/>
      <c r="C72" s="3"/>
      <c r="D72" s="3"/>
      <c r="E72" s="3"/>
      <c r="F72" s="3"/>
      <c r="G72" s="3"/>
      <c r="H72" s="3"/>
      <c r="I72" s="3"/>
      <c r="J72" s="3"/>
      <c r="K72" s="3"/>
      <c r="L72" s="3"/>
      <c r="M72" s="3"/>
      <c r="N72" s="3"/>
      <c r="O72" s="3"/>
      <c r="P72" s="3"/>
      <c r="Q72" s="3"/>
      <c r="R72" s="3"/>
      <c r="S72" s="3"/>
      <c r="T72" s="3"/>
      <c r="U72" s="1081"/>
      <c r="V72" s="3"/>
      <c r="W72" s="3"/>
      <c r="X72" s="3"/>
      <c r="Y72" s="3"/>
      <c r="Z72" s="3"/>
      <c r="AA72" s="3"/>
      <c r="AB72" s="3"/>
      <c r="AC72" s="3"/>
      <c r="AD72" s="3"/>
      <c r="AE72" s="3"/>
      <c r="AF72" s="3"/>
      <c r="AG72" s="3"/>
      <c r="AH72" s="3"/>
      <c r="AI72" s="3"/>
      <c r="AJ72" s="3"/>
      <c r="AK72" s="3"/>
      <c r="AL72" s="3"/>
      <c r="AM72" s="3"/>
      <c r="AN72" s="3"/>
      <c r="AO72" s="3"/>
      <c r="AP72" s="3"/>
    </row>
    <row r="73" spans="1:44" x14ac:dyDescent="0.2">
      <c r="A73" s="3"/>
      <c r="B73" s="212"/>
      <c r="C73" s="3"/>
      <c r="D73" s="3"/>
      <c r="E73" s="3"/>
      <c r="F73" s="3"/>
      <c r="G73" s="3"/>
      <c r="H73" s="3"/>
      <c r="I73" s="3"/>
      <c r="J73" s="3"/>
      <c r="K73" s="3"/>
      <c r="L73" s="3"/>
      <c r="M73" s="3"/>
      <c r="N73" s="3"/>
      <c r="O73" s="3"/>
      <c r="P73" s="3"/>
      <c r="Q73" s="3"/>
      <c r="R73" s="3"/>
      <c r="S73" s="3"/>
      <c r="T73" s="3"/>
      <c r="U73" s="1081"/>
      <c r="V73" s="3"/>
      <c r="W73" s="3"/>
      <c r="X73" s="3"/>
      <c r="Y73" s="3"/>
      <c r="Z73" s="3"/>
      <c r="AA73" s="3"/>
      <c r="AB73" s="3"/>
      <c r="AC73" s="3"/>
      <c r="AD73" s="3"/>
      <c r="AE73" s="3"/>
      <c r="AF73" s="3"/>
      <c r="AG73" s="3"/>
      <c r="AH73" s="3"/>
      <c r="AI73" s="3"/>
      <c r="AJ73" s="3"/>
      <c r="AK73" s="3"/>
      <c r="AL73" s="3"/>
      <c r="AM73" s="3"/>
      <c r="AN73" s="3"/>
      <c r="AO73" s="3"/>
      <c r="AP73" s="3"/>
    </row>
    <row r="74" spans="1:44" x14ac:dyDescent="0.2">
      <c r="A74" s="3"/>
      <c r="B74" s="212"/>
      <c r="C74" s="3"/>
      <c r="D74" s="3"/>
      <c r="E74" s="3"/>
      <c r="F74" s="3"/>
      <c r="G74" s="3"/>
      <c r="H74" s="3"/>
      <c r="I74" s="3"/>
      <c r="J74" s="3"/>
      <c r="K74" s="3"/>
      <c r="L74" s="3"/>
      <c r="M74" s="3"/>
      <c r="N74" s="3"/>
      <c r="O74" s="3"/>
      <c r="P74" s="3"/>
      <c r="Q74" s="3"/>
      <c r="R74" s="3"/>
      <c r="S74" s="3"/>
      <c r="T74" s="3"/>
      <c r="U74" s="1081"/>
      <c r="V74" s="3"/>
      <c r="W74" s="3"/>
      <c r="X74" s="3"/>
      <c r="Y74" s="3"/>
      <c r="Z74" s="3"/>
      <c r="AA74" s="3"/>
      <c r="AB74" s="3"/>
      <c r="AC74" s="3"/>
      <c r="AD74" s="3"/>
      <c r="AE74" s="3"/>
      <c r="AF74" s="3"/>
      <c r="AG74" s="3"/>
      <c r="AH74" s="3"/>
      <c r="AI74" s="3"/>
      <c r="AJ74" s="3"/>
      <c r="AK74" s="3"/>
      <c r="AL74" s="3"/>
      <c r="AM74" s="3"/>
      <c r="AN74" s="3"/>
      <c r="AO74" s="3"/>
      <c r="AP74" s="3"/>
    </row>
    <row r="75" spans="1:44" ht="13.8" x14ac:dyDescent="0.25">
      <c r="A75" s="3"/>
      <c r="B75" s="212"/>
      <c r="C75" s="1246" t="s">
        <v>926</v>
      </c>
      <c r="D75" s="1064"/>
      <c r="E75" s="1064"/>
      <c r="F75" s="1065"/>
      <c r="G75" s="848"/>
      <c r="H75" s="848"/>
      <c r="I75" s="1179" t="s">
        <v>927</v>
      </c>
      <c r="J75" s="849"/>
      <c r="K75" s="3"/>
      <c r="L75" s="3"/>
      <c r="M75" s="3"/>
      <c r="N75" s="3"/>
      <c r="O75" s="3"/>
      <c r="P75" s="3"/>
      <c r="Q75" s="3"/>
      <c r="R75" s="3"/>
      <c r="S75" s="3"/>
      <c r="T75" s="3"/>
      <c r="U75" s="1081"/>
      <c r="V75" s="3"/>
      <c r="W75" s="3"/>
      <c r="X75" s="3"/>
      <c r="Y75" s="3"/>
      <c r="Z75" s="3"/>
      <c r="AA75" s="3"/>
      <c r="AB75" s="3"/>
      <c r="AC75" s="3"/>
      <c r="AD75" s="3"/>
      <c r="AE75" s="3"/>
      <c r="AF75" s="3"/>
      <c r="AG75" s="3"/>
      <c r="AH75" s="3"/>
      <c r="AI75" s="3"/>
      <c r="AJ75" s="3"/>
      <c r="AK75" s="3"/>
      <c r="AL75" s="3"/>
      <c r="AM75" s="3"/>
      <c r="AN75" s="3"/>
      <c r="AO75" s="3"/>
      <c r="AP75" s="3"/>
    </row>
    <row r="76" spans="1:44" ht="12" x14ac:dyDescent="0.25">
      <c r="A76" s="3"/>
      <c r="B76" s="212"/>
      <c r="C76" s="492" t="s">
        <v>921</v>
      </c>
      <c r="D76" s="493" t="s">
        <v>928</v>
      </c>
      <c r="E76" s="493"/>
      <c r="F76" s="493"/>
      <c r="G76" s="184"/>
      <c r="H76" s="493"/>
      <c r="I76" s="184"/>
      <c r="J76" s="494"/>
      <c r="K76" s="3"/>
      <c r="L76" s="3"/>
      <c r="M76" s="3"/>
      <c r="N76" s="3"/>
      <c r="O76" s="3"/>
      <c r="P76" s="3"/>
      <c r="Q76" s="3"/>
      <c r="R76" s="3"/>
      <c r="S76" s="3"/>
      <c r="T76" s="3"/>
      <c r="U76" s="1081"/>
      <c r="V76" s="3"/>
      <c r="W76" s="3"/>
      <c r="X76" s="3"/>
      <c r="Y76" s="3"/>
      <c r="Z76" s="3"/>
      <c r="AA76" s="3"/>
      <c r="AB76" s="3"/>
      <c r="AC76" s="3"/>
      <c r="AD76" s="3"/>
      <c r="AE76" s="3"/>
      <c r="AF76" s="3"/>
      <c r="AG76" s="3"/>
      <c r="AH76" s="3"/>
      <c r="AI76" s="3"/>
      <c r="AJ76" s="3"/>
      <c r="AK76" s="3"/>
      <c r="AL76" s="3"/>
      <c r="AM76" s="3"/>
      <c r="AN76" s="3"/>
      <c r="AO76" s="3"/>
      <c r="AP76" s="3"/>
    </row>
    <row r="77" spans="1:44" ht="12" x14ac:dyDescent="0.25">
      <c r="A77" s="3"/>
      <c r="B77" s="212"/>
      <c r="C77" s="135"/>
      <c r="D77" s="3"/>
      <c r="E77" s="3"/>
      <c r="F77" s="3"/>
      <c r="G77" s="3"/>
      <c r="H77" s="3"/>
      <c r="I77" s="496" t="str">
        <f>K$15</f>
        <v>2021-22</v>
      </c>
      <c r="J77" s="96"/>
      <c r="K77" s="3"/>
      <c r="L77" s="3"/>
      <c r="M77" s="3"/>
      <c r="N77" s="3"/>
      <c r="O77" s="3"/>
      <c r="P77" s="3"/>
      <c r="Q77" s="3"/>
      <c r="R77" s="3"/>
      <c r="S77" s="3"/>
      <c r="T77" s="3"/>
      <c r="U77" s="1081"/>
      <c r="V77" s="3"/>
      <c r="W77" s="3"/>
      <c r="X77" s="3"/>
      <c r="Y77" s="3"/>
      <c r="Z77" s="3"/>
      <c r="AA77" s="3"/>
      <c r="AB77" s="3"/>
      <c r="AC77" s="3"/>
      <c r="AD77" s="3"/>
      <c r="AE77" s="3"/>
      <c r="AF77" s="3"/>
      <c r="AG77" s="3"/>
      <c r="AH77" s="3"/>
      <c r="AI77" s="3"/>
      <c r="AJ77" s="3"/>
      <c r="AK77" s="3"/>
      <c r="AL77" s="3"/>
      <c r="AM77" s="3"/>
      <c r="AN77" s="3"/>
      <c r="AO77" s="3"/>
      <c r="AP77" s="3"/>
    </row>
    <row r="78" spans="1:44" x14ac:dyDescent="0.2">
      <c r="A78" s="3"/>
      <c r="B78" s="212"/>
      <c r="C78" s="135"/>
      <c r="D78" s="3"/>
      <c r="E78" s="3"/>
      <c r="F78" s="3"/>
      <c r="G78" s="3"/>
      <c r="H78" s="3"/>
      <c r="I78" s="278"/>
      <c r="J78" s="96"/>
      <c r="K78" s="3"/>
      <c r="L78" s="3"/>
      <c r="M78" s="3"/>
      <c r="N78" s="3"/>
      <c r="O78" s="3"/>
      <c r="P78" s="3"/>
      <c r="Q78" s="3"/>
      <c r="R78" s="3"/>
      <c r="S78" s="3"/>
      <c r="T78" s="3"/>
      <c r="U78" s="1081"/>
      <c r="V78" s="3"/>
      <c r="W78" s="3"/>
      <c r="X78" s="3"/>
      <c r="Y78" s="3"/>
      <c r="Z78" s="3"/>
      <c r="AA78" s="3"/>
      <c r="AB78" s="3"/>
      <c r="AC78" s="3"/>
      <c r="AD78" s="3"/>
      <c r="AE78" s="3"/>
      <c r="AF78" s="3"/>
      <c r="AG78" s="3"/>
      <c r="AH78" s="3"/>
      <c r="AI78" s="3"/>
      <c r="AJ78" s="3"/>
      <c r="AK78" s="3"/>
      <c r="AL78" s="3"/>
      <c r="AM78" s="3"/>
      <c r="AN78" s="3"/>
      <c r="AO78" s="3"/>
      <c r="AP78" s="3"/>
    </row>
    <row r="79" spans="1:44" ht="12" x14ac:dyDescent="0.25">
      <c r="A79" s="3"/>
      <c r="B79" s="212"/>
      <c r="C79" s="253" t="s">
        <v>929</v>
      </c>
      <c r="D79" s="3"/>
      <c r="E79" s="3"/>
      <c r="F79" s="3"/>
      <c r="G79" s="3"/>
      <c r="H79" s="3"/>
      <c r="I79" s="501"/>
      <c r="J79" s="96"/>
      <c r="K79" s="3"/>
      <c r="L79" s="3"/>
      <c r="M79" s="3"/>
      <c r="N79" s="3"/>
      <c r="O79" s="3"/>
      <c r="P79" s="3"/>
      <c r="Q79" s="3"/>
      <c r="R79" s="3"/>
      <c r="S79" s="3"/>
      <c r="T79" s="3"/>
      <c r="U79" s="1081"/>
      <c r="V79" s="3"/>
      <c r="W79" s="3"/>
      <c r="X79" s="3"/>
      <c r="Y79" s="3"/>
      <c r="Z79" s="3"/>
      <c r="AA79" s="3"/>
      <c r="AB79" s="3"/>
      <c r="AC79" s="3"/>
      <c r="AD79" s="3"/>
      <c r="AE79" s="3"/>
      <c r="AF79" s="3"/>
      <c r="AG79" s="3"/>
      <c r="AH79" s="3"/>
      <c r="AI79" s="3"/>
      <c r="AJ79" s="3"/>
      <c r="AK79" s="3"/>
      <c r="AL79" s="3"/>
      <c r="AM79" s="3"/>
      <c r="AN79" s="3"/>
      <c r="AO79" s="3"/>
      <c r="AP79" s="3"/>
    </row>
    <row r="80" spans="1:44" x14ac:dyDescent="0.2">
      <c r="A80" s="3"/>
      <c r="B80" s="212"/>
      <c r="C80" s="826" t="s">
        <v>930</v>
      </c>
      <c r="D80" s="3"/>
      <c r="E80" s="3"/>
      <c r="F80" s="3"/>
      <c r="G80" s="3"/>
      <c r="H80" s="3"/>
      <c r="I80" s="497">
        <v>47763</v>
      </c>
      <c r="J80" s="96"/>
      <c r="K80" s="3"/>
      <c r="L80" s="3"/>
      <c r="M80" s="3"/>
      <c r="N80" s="3"/>
      <c r="O80" s="3"/>
      <c r="P80" s="3"/>
      <c r="Q80" s="3"/>
      <c r="R80" s="3"/>
      <c r="S80" s="3"/>
      <c r="T80" s="3"/>
      <c r="U80" s="1081"/>
      <c r="V80" s="3"/>
      <c r="W80" s="3"/>
      <c r="X80" s="3"/>
      <c r="Y80" s="3"/>
      <c r="Z80" s="3"/>
      <c r="AA80" s="3"/>
      <c r="AB80" s="3"/>
      <c r="AC80" s="3"/>
      <c r="AD80" s="3"/>
      <c r="AE80" s="3"/>
      <c r="AF80" s="3"/>
      <c r="AG80" s="3"/>
      <c r="AH80" s="3"/>
      <c r="AI80" s="3"/>
      <c r="AJ80" s="3"/>
      <c r="AK80" s="3"/>
      <c r="AL80" s="3"/>
      <c r="AM80" s="3"/>
      <c r="AN80" s="3"/>
      <c r="AO80" s="3"/>
      <c r="AP80" s="3"/>
    </row>
    <row r="81" spans="1:42" x14ac:dyDescent="0.2">
      <c r="A81" s="3"/>
      <c r="B81" s="212"/>
      <c r="C81" s="826" t="s">
        <v>931</v>
      </c>
      <c r="D81" s="3"/>
      <c r="E81" s="3"/>
      <c r="F81" s="3"/>
      <c r="G81" s="3"/>
      <c r="H81" s="3"/>
      <c r="I81" s="497"/>
      <c r="J81" s="96"/>
      <c r="K81" s="3"/>
      <c r="L81" s="3"/>
      <c r="M81" s="3"/>
      <c r="N81" s="3"/>
      <c r="O81" s="3"/>
      <c r="P81" s="3"/>
      <c r="Q81" s="3"/>
      <c r="R81" s="3"/>
      <c r="S81" s="3"/>
      <c r="T81" s="3"/>
      <c r="U81" s="1081"/>
      <c r="V81" s="3"/>
      <c r="W81" s="3"/>
      <c r="X81" s="3"/>
      <c r="Y81" s="3"/>
      <c r="Z81" s="3"/>
      <c r="AA81" s="3"/>
      <c r="AB81" s="3"/>
      <c r="AC81" s="3"/>
      <c r="AD81" s="3"/>
      <c r="AE81" s="3"/>
      <c r="AF81" s="3"/>
      <c r="AG81" s="3"/>
      <c r="AH81" s="3"/>
      <c r="AI81" s="3"/>
      <c r="AJ81" s="3"/>
      <c r="AK81" s="3"/>
      <c r="AL81" s="3"/>
      <c r="AM81" s="3"/>
      <c r="AN81" s="3"/>
      <c r="AO81" s="3"/>
      <c r="AP81" s="3"/>
    </row>
    <row r="82" spans="1:42" ht="12" x14ac:dyDescent="0.25">
      <c r="A82" s="3"/>
      <c r="B82" s="212"/>
      <c r="C82" s="135" t="s">
        <v>761</v>
      </c>
      <c r="D82" s="3"/>
      <c r="E82" s="3"/>
      <c r="F82" s="3"/>
      <c r="G82" s="3"/>
      <c r="H82" s="3"/>
      <c r="I82" s="498">
        <f>SUM(I80:I81)</f>
        <v>47763</v>
      </c>
      <c r="J82" s="96"/>
      <c r="K82" s="3"/>
      <c r="L82" s="3"/>
      <c r="M82" s="3"/>
      <c r="N82" s="3"/>
      <c r="O82" s="3"/>
      <c r="P82" s="3"/>
      <c r="Q82" s="3"/>
      <c r="R82" s="3"/>
      <c r="S82" s="3"/>
      <c r="T82" s="3"/>
      <c r="U82" s="1081"/>
      <c r="V82" s="3"/>
      <c r="W82" s="3"/>
      <c r="X82" s="3"/>
      <c r="Y82" s="3"/>
      <c r="Z82" s="3"/>
      <c r="AA82" s="3"/>
      <c r="AB82" s="3"/>
      <c r="AC82" s="3"/>
      <c r="AD82" s="3"/>
      <c r="AE82" s="3"/>
      <c r="AF82" s="3"/>
      <c r="AG82" s="3"/>
      <c r="AH82" s="3"/>
      <c r="AI82" s="3"/>
      <c r="AJ82" s="3"/>
      <c r="AK82" s="3"/>
      <c r="AL82" s="3"/>
      <c r="AM82" s="3"/>
      <c r="AN82" s="3"/>
      <c r="AO82" s="3"/>
      <c r="AP82" s="3"/>
    </row>
    <row r="83" spans="1:42" ht="12" x14ac:dyDescent="0.25">
      <c r="A83" s="3"/>
      <c r="B83" s="212"/>
      <c r="C83" s="135"/>
      <c r="D83" s="3"/>
      <c r="E83" s="3"/>
      <c r="F83" s="3"/>
      <c r="G83" s="3"/>
      <c r="H83" s="3"/>
      <c r="I83" s="498"/>
      <c r="J83" s="96"/>
      <c r="K83" s="3"/>
      <c r="L83" s="3"/>
      <c r="M83" s="3"/>
      <c r="N83" s="3"/>
      <c r="O83" s="3"/>
      <c r="P83" s="3"/>
      <c r="Q83" s="3"/>
      <c r="R83" s="3"/>
      <c r="S83" s="3"/>
      <c r="T83" s="3"/>
      <c r="U83" s="1081"/>
      <c r="V83" s="3"/>
      <c r="W83" s="3"/>
      <c r="X83" s="3"/>
      <c r="Y83" s="3"/>
      <c r="Z83" s="3"/>
      <c r="AA83" s="3"/>
      <c r="AB83" s="3"/>
      <c r="AC83" s="3"/>
      <c r="AD83" s="3"/>
      <c r="AE83" s="3"/>
      <c r="AF83" s="3"/>
      <c r="AG83" s="3"/>
      <c r="AH83" s="3"/>
      <c r="AI83" s="3"/>
      <c r="AJ83" s="3"/>
      <c r="AK83" s="3"/>
      <c r="AL83" s="3"/>
      <c r="AM83" s="3"/>
      <c r="AN83" s="3"/>
      <c r="AO83" s="3"/>
      <c r="AP83" s="3"/>
    </row>
    <row r="84" spans="1:42" ht="12" x14ac:dyDescent="0.25">
      <c r="A84" s="3"/>
      <c r="B84" s="212"/>
      <c r="C84" s="253" t="s">
        <v>932</v>
      </c>
      <c r="D84" s="3"/>
      <c r="E84" s="3"/>
      <c r="F84" s="3"/>
      <c r="G84" s="3"/>
      <c r="H84" s="3"/>
      <c r="I84" s="278"/>
      <c r="J84" s="96"/>
      <c r="K84" s="3"/>
      <c r="L84" s="3"/>
      <c r="M84" s="3"/>
      <c r="N84" s="3"/>
      <c r="O84" s="3"/>
      <c r="P84" s="3"/>
      <c r="Q84" s="3"/>
      <c r="R84" s="3"/>
      <c r="S84" s="3"/>
      <c r="T84" s="3"/>
      <c r="U84" s="1081"/>
      <c r="V84" s="3"/>
      <c r="W84" s="3"/>
      <c r="X84" s="3"/>
      <c r="Y84" s="3"/>
      <c r="Z84" s="3"/>
      <c r="AA84" s="3"/>
      <c r="AB84" s="3"/>
      <c r="AC84" s="3"/>
      <c r="AD84" s="3"/>
      <c r="AE84" s="3"/>
      <c r="AF84" s="3"/>
      <c r="AG84" s="3"/>
      <c r="AH84" s="3"/>
      <c r="AI84" s="3"/>
      <c r="AJ84" s="3"/>
      <c r="AK84" s="3"/>
      <c r="AL84" s="3"/>
      <c r="AM84" s="3"/>
      <c r="AN84" s="3"/>
      <c r="AO84" s="3"/>
      <c r="AP84" s="3"/>
    </row>
    <row r="85" spans="1:42" x14ac:dyDescent="0.2">
      <c r="A85" s="3"/>
      <c r="B85" s="212"/>
      <c r="C85" s="826" t="s">
        <v>933</v>
      </c>
      <c r="D85" s="3"/>
      <c r="E85" s="3"/>
      <c r="F85" s="3"/>
      <c r="G85" s="3"/>
      <c r="H85" s="3"/>
      <c r="I85" s="497">
        <v>81171</v>
      </c>
      <c r="J85" s="96"/>
      <c r="K85" s="3"/>
      <c r="L85" s="3"/>
      <c r="M85" s="3"/>
      <c r="N85" s="3"/>
      <c r="O85" s="3"/>
      <c r="P85" s="3"/>
      <c r="Q85" s="3"/>
      <c r="R85" s="3"/>
      <c r="S85" s="3"/>
      <c r="T85" s="3"/>
      <c r="U85" s="1081"/>
      <c r="V85" s="3"/>
      <c r="W85" s="3"/>
      <c r="X85" s="3"/>
      <c r="Y85" s="3"/>
      <c r="Z85" s="3"/>
      <c r="AA85" s="3"/>
      <c r="AB85" s="3"/>
      <c r="AC85" s="3"/>
      <c r="AD85" s="3"/>
      <c r="AE85" s="3"/>
      <c r="AF85" s="3"/>
      <c r="AG85" s="3"/>
      <c r="AH85" s="3"/>
      <c r="AI85" s="3"/>
      <c r="AJ85" s="3"/>
      <c r="AK85" s="3"/>
      <c r="AL85" s="3"/>
      <c r="AM85" s="3"/>
      <c r="AN85" s="3"/>
      <c r="AO85" s="3"/>
      <c r="AP85" s="3"/>
    </row>
    <row r="86" spans="1:42" x14ac:dyDescent="0.2">
      <c r="A86" s="3"/>
      <c r="B86" s="212"/>
      <c r="C86" s="826" t="s">
        <v>934</v>
      </c>
      <c r="D86" s="3"/>
      <c r="E86" s="3"/>
      <c r="F86" s="3"/>
      <c r="G86" s="3"/>
      <c r="H86" s="3"/>
      <c r="I86" s="497">
        <v>173922</v>
      </c>
      <c r="J86" s="96"/>
      <c r="K86" s="3"/>
      <c r="L86" s="3"/>
      <c r="M86" s="3"/>
      <c r="N86" s="3"/>
      <c r="O86" s="3"/>
      <c r="P86" s="3"/>
      <c r="Q86" s="3"/>
      <c r="R86" s="3"/>
      <c r="S86" s="3"/>
      <c r="T86" s="3"/>
      <c r="U86" s="1081"/>
      <c r="V86" s="3"/>
      <c r="W86" s="3"/>
      <c r="X86" s="3"/>
      <c r="Y86" s="3"/>
      <c r="Z86" s="3"/>
      <c r="AA86" s="3"/>
      <c r="AB86" s="3"/>
      <c r="AC86" s="3"/>
      <c r="AD86" s="3"/>
      <c r="AE86" s="3"/>
      <c r="AF86" s="3"/>
      <c r="AG86" s="3"/>
      <c r="AH86" s="3"/>
      <c r="AI86" s="3"/>
      <c r="AJ86" s="3"/>
      <c r="AK86" s="3"/>
      <c r="AL86" s="3"/>
      <c r="AM86" s="3"/>
      <c r="AN86" s="3"/>
      <c r="AO86" s="3"/>
      <c r="AP86" s="3"/>
    </row>
    <row r="87" spans="1:42" ht="12" x14ac:dyDescent="0.25">
      <c r="A87" s="3"/>
      <c r="B87" s="212"/>
      <c r="C87" s="135" t="s">
        <v>761</v>
      </c>
      <c r="D87" s="3"/>
      <c r="E87" s="3"/>
      <c r="F87" s="3"/>
      <c r="G87" s="3"/>
      <c r="H87" s="3"/>
      <c r="I87" s="498">
        <f>SUM(I85:I86)</f>
        <v>255093</v>
      </c>
      <c r="J87" s="96"/>
      <c r="K87" s="3"/>
      <c r="L87" s="3"/>
      <c r="M87" s="3"/>
      <c r="N87" s="3"/>
      <c r="O87" s="3"/>
      <c r="P87" s="3"/>
      <c r="Q87" s="3"/>
      <c r="R87" s="3"/>
      <c r="S87" s="3"/>
      <c r="T87" s="3"/>
      <c r="U87" s="1081"/>
      <c r="V87" s="3"/>
      <c r="W87" s="3"/>
      <c r="X87" s="3"/>
      <c r="Y87" s="3"/>
      <c r="Z87" s="3"/>
      <c r="AA87" s="3"/>
      <c r="AB87" s="3"/>
      <c r="AC87" s="3"/>
      <c r="AD87" s="3"/>
      <c r="AE87" s="3"/>
      <c r="AF87" s="3"/>
      <c r="AG87" s="3"/>
      <c r="AH87" s="3"/>
      <c r="AI87" s="3"/>
      <c r="AJ87" s="3"/>
      <c r="AK87" s="3"/>
      <c r="AL87" s="3"/>
      <c r="AM87" s="3"/>
      <c r="AN87" s="3"/>
      <c r="AO87" s="3"/>
      <c r="AP87" s="3"/>
    </row>
    <row r="88" spans="1:42" x14ac:dyDescent="0.2">
      <c r="A88" s="3"/>
      <c r="B88" s="212"/>
      <c r="C88" s="135"/>
      <c r="D88" s="3"/>
      <c r="E88" s="3"/>
      <c r="F88" s="3"/>
      <c r="G88" s="3"/>
      <c r="H88" s="3"/>
      <c r="I88" s="278"/>
      <c r="J88" s="96"/>
      <c r="K88" s="3"/>
      <c r="L88" s="3"/>
      <c r="M88" s="3"/>
      <c r="N88" s="3"/>
      <c r="O88" s="3"/>
      <c r="P88" s="3"/>
      <c r="Q88" s="3"/>
      <c r="R88" s="3"/>
      <c r="S88" s="3"/>
      <c r="T88" s="3"/>
      <c r="U88" s="1081"/>
      <c r="V88" s="3"/>
      <c r="W88" s="3"/>
      <c r="X88" s="3"/>
      <c r="Y88" s="3"/>
      <c r="Z88" s="3"/>
      <c r="AA88" s="3"/>
      <c r="AB88" s="3"/>
      <c r="AC88" s="3"/>
      <c r="AD88" s="3"/>
      <c r="AE88" s="3"/>
      <c r="AF88" s="3"/>
      <c r="AG88" s="3"/>
      <c r="AH88" s="3"/>
      <c r="AI88" s="3"/>
      <c r="AJ88" s="3"/>
      <c r="AK88" s="3"/>
      <c r="AL88" s="3"/>
      <c r="AM88" s="3"/>
      <c r="AN88" s="3"/>
      <c r="AO88" s="3"/>
      <c r="AP88" s="3"/>
    </row>
    <row r="89" spans="1:42" ht="12" x14ac:dyDescent="0.25">
      <c r="A89" s="3"/>
      <c r="B89" s="212"/>
      <c r="C89" s="253" t="s">
        <v>935</v>
      </c>
      <c r="D89" s="3"/>
      <c r="E89" s="3"/>
      <c r="F89" s="3"/>
      <c r="G89" s="3"/>
      <c r="H89" s="3"/>
      <c r="I89" s="498">
        <f>I82+I87</f>
        <v>302856</v>
      </c>
      <c r="J89" s="96"/>
      <c r="K89" s="3"/>
      <c r="L89" s="3"/>
      <c r="M89" s="3"/>
      <c r="N89" s="3"/>
      <c r="O89" s="3"/>
      <c r="P89" s="3"/>
      <c r="Q89" s="3"/>
      <c r="R89" s="3"/>
      <c r="S89" s="3"/>
      <c r="T89" s="3"/>
      <c r="U89" s="1081"/>
      <c r="V89" s="3"/>
      <c r="W89" s="3"/>
      <c r="X89" s="3"/>
      <c r="Y89" s="3"/>
      <c r="Z89" s="3"/>
      <c r="AA89" s="3"/>
      <c r="AB89" s="3"/>
      <c r="AC89" s="3"/>
      <c r="AD89" s="3"/>
      <c r="AE89" s="3"/>
      <c r="AF89" s="3"/>
      <c r="AG89" s="3"/>
      <c r="AH89" s="3"/>
      <c r="AI89" s="3"/>
      <c r="AJ89" s="3"/>
      <c r="AK89" s="3"/>
      <c r="AL89" s="3"/>
      <c r="AM89" s="3"/>
      <c r="AN89" s="3"/>
      <c r="AO89" s="3"/>
      <c r="AP89" s="3"/>
    </row>
    <row r="90" spans="1:42" x14ac:dyDescent="0.2">
      <c r="A90" s="3"/>
      <c r="B90" s="212"/>
      <c r="C90" s="135"/>
      <c r="D90" s="3"/>
      <c r="E90" s="3"/>
      <c r="F90" s="3"/>
      <c r="G90" s="3"/>
      <c r="H90" s="3"/>
      <c r="I90" s="278"/>
      <c r="J90" s="96"/>
      <c r="K90" s="3"/>
      <c r="L90" s="3"/>
      <c r="M90" s="3"/>
      <c r="N90" s="3"/>
      <c r="O90" s="3"/>
      <c r="P90" s="3"/>
      <c r="Q90" s="3"/>
      <c r="R90" s="3"/>
      <c r="S90" s="3"/>
      <c r="T90" s="3"/>
      <c r="U90" s="1081"/>
      <c r="V90" s="3"/>
      <c r="W90" s="3"/>
      <c r="X90" s="3"/>
      <c r="Y90" s="3"/>
      <c r="Z90" s="3"/>
      <c r="AA90" s="3"/>
      <c r="AB90" s="3"/>
      <c r="AC90" s="3"/>
      <c r="AD90" s="3"/>
      <c r="AE90" s="3"/>
      <c r="AF90" s="3"/>
      <c r="AG90" s="3"/>
      <c r="AH90" s="3"/>
      <c r="AI90" s="3"/>
      <c r="AJ90" s="3"/>
      <c r="AK90" s="3"/>
      <c r="AL90" s="3"/>
      <c r="AM90" s="3"/>
      <c r="AN90" s="3"/>
      <c r="AO90" s="3"/>
      <c r="AP90" s="3"/>
    </row>
    <row r="91" spans="1:42" ht="12" x14ac:dyDescent="0.25">
      <c r="A91" s="3"/>
      <c r="B91" s="212"/>
      <c r="C91" s="253" t="s">
        <v>936</v>
      </c>
      <c r="D91" s="3"/>
      <c r="E91" s="3"/>
      <c r="F91" s="3"/>
      <c r="G91" s="3"/>
      <c r="H91" s="3"/>
      <c r="I91" s="278"/>
      <c r="J91" s="96"/>
      <c r="K91" s="3"/>
      <c r="L91" s="3"/>
      <c r="M91" s="3"/>
      <c r="N91" s="3"/>
      <c r="O91" s="3"/>
      <c r="P91" s="3"/>
      <c r="Q91" s="3"/>
      <c r="R91" s="3"/>
      <c r="S91" s="3"/>
      <c r="T91" s="3"/>
      <c r="U91" s="1081"/>
      <c r="V91" s="3"/>
      <c r="W91" s="3"/>
      <c r="X91" s="3"/>
      <c r="Y91" s="3"/>
      <c r="Z91" s="3"/>
      <c r="AA91" s="3"/>
      <c r="AB91" s="3"/>
      <c r="AC91" s="3"/>
      <c r="AD91" s="3"/>
      <c r="AE91" s="3"/>
      <c r="AF91" s="3"/>
      <c r="AG91" s="3"/>
      <c r="AH91" s="3"/>
      <c r="AI91" s="3"/>
      <c r="AJ91" s="3"/>
      <c r="AK91" s="3"/>
      <c r="AL91" s="3"/>
      <c r="AM91" s="3"/>
      <c r="AN91" s="3"/>
      <c r="AO91" s="3"/>
      <c r="AP91" s="3"/>
    </row>
    <row r="92" spans="1:42" x14ac:dyDescent="0.2">
      <c r="A92" s="3"/>
      <c r="B92" s="212"/>
      <c r="C92" s="826" t="s">
        <v>937</v>
      </c>
      <c r="D92" s="3"/>
      <c r="E92" s="3"/>
      <c r="F92" s="3"/>
      <c r="G92" s="3"/>
      <c r="H92" s="3"/>
      <c r="I92" s="497">
        <v>200551</v>
      </c>
      <c r="J92" s="96"/>
      <c r="K92" s="3"/>
      <c r="L92" s="3"/>
      <c r="M92" s="3"/>
      <c r="N92" s="3"/>
      <c r="O92" s="3"/>
      <c r="P92" s="3"/>
      <c r="Q92" s="3"/>
      <c r="R92" s="3"/>
      <c r="S92" s="3"/>
      <c r="T92" s="3"/>
      <c r="U92" s="1081"/>
      <c r="V92" s="3"/>
      <c r="W92" s="3"/>
      <c r="X92" s="3"/>
      <c r="Y92" s="3"/>
      <c r="Z92" s="3"/>
      <c r="AA92" s="3"/>
      <c r="AB92" s="3"/>
      <c r="AC92" s="3"/>
      <c r="AD92" s="3"/>
      <c r="AE92" s="3"/>
      <c r="AF92" s="3"/>
      <c r="AG92" s="3"/>
      <c r="AH92" s="3"/>
      <c r="AI92" s="3"/>
      <c r="AJ92" s="3"/>
      <c r="AK92" s="3"/>
      <c r="AL92" s="3"/>
      <c r="AM92" s="3"/>
      <c r="AN92" s="3"/>
      <c r="AO92" s="3"/>
      <c r="AP92" s="3"/>
    </row>
    <row r="93" spans="1:42" x14ac:dyDescent="0.2">
      <c r="A93" s="3"/>
      <c r="B93" s="212"/>
      <c r="C93" s="826" t="s">
        <v>938</v>
      </c>
      <c r="D93" s="3"/>
      <c r="E93" s="3"/>
      <c r="F93" s="3"/>
      <c r="G93" s="3"/>
      <c r="H93" s="3"/>
      <c r="I93" s="497">
        <v>82415</v>
      </c>
      <c r="J93" s="96"/>
      <c r="K93" s="3"/>
      <c r="L93" s="3"/>
      <c r="M93" s="3"/>
      <c r="N93" s="3"/>
      <c r="O93" s="3"/>
      <c r="P93" s="3"/>
      <c r="Q93" s="3"/>
      <c r="R93" s="3"/>
      <c r="S93" s="3"/>
      <c r="T93" s="3"/>
      <c r="U93" s="1081"/>
      <c r="V93" s="3"/>
      <c r="W93" s="3"/>
      <c r="X93" s="3"/>
      <c r="Y93" s="3"/>
      <c r="Z93" s="3"/>
      <c r="AA93" s="3"/>
      <c r="AB93" s="3"/>
      <c r="AC93" s="3"/>
      <c r="AD93" s="3"/>
      <c r="AE93" s="3"/>
      <c r="AF93" s="3"/>
      <c r="AG93" s="3"/>
      <c r="AH93" s="3"/>
      <c r="AI93" s="3"/>
      <c r="AJ93" s="3"/>
      <c r="AK93" s="3"/>
      <c r="AL93" s="3"/>
      <c r="AM93" s="3"/>
      <c r="AN93" s="3"/>
      <c r="AO93" s="3"/>
      <c r="AP93" s="3"/>
    </row>
    <row r="94" spans="1:42" x14ac:dyDescent="0.2">
      <c r="A94" s="3"/>
      <c r="B94" s="212"/>
      <c r="C94" s="826" t="s">
        <v>939</v>
      </c>
      <c r="D94" s="3"/>
      <c r="E94" s="3"/>
      <c r="F94" s="3"/>
      <c r="G94" s="3"/>
      <c r="H94" s="3"/>
      <c r="I94" s="497">
        <v>19890</v>
      </c>
      <c r="J94" s="96"/>
      <c r="K94" s="3"/>
      <c r="L94" s="3"/>
      <c r="M94" s="3"/>
      <c r="N94" s="3"/>
      <c r="O94" s="3"/>
      <c r="P94" s="3"/>
      <c r="Q94" s="3"/>
      <c r="R94" s="3"/>
      <c r="S94" s="3"/>
      <c r="T94" s="3"/>
      <c r="U94" s="1081"/>
      <c r="V94" s="3"/>
      <c r="W94" s="3"/>
      <c r="X94" s="3"/>
      <c r="Y94" s="3"/>
      <c r="Z94" s="3"/>
      <c r="AA94" s="3"/>
      <c r="AB94" s="3"/>
      <c r="AC94" s="3"/>
      <c r="AD94" s="3"/>
      <c r="AE94" s="3"/>
      <c r="AF94" s="3"/>
      <c r="AG94" s="3"/>
      <c r="AH94" s="3"/>
      <c r="AI94" s="3"/>
      <c r="AJ94" s="3"/>
      <c r="AK94" s="3"/>
      <c r="AL94" s="3"/>
      <c r="AM94" s="3"/>
      <c r="AN94" s="3"/>
      <c r="AO94" s="3"/>
      <c r="AP94" s="3"/>
    </row>
    <row r="95" spans="1:42" ht="12" x14ac:dyDescent="0.25">
      <c r="A95" s="3"/>
      <c r="B95" s="212"/>
      <c r="C95" s="135" t="s">
        <v>761</v>
      </c>
      <c r="D95" s="3"/>
      <c r="E95" s="3"/>
      <c r="F95" s="3"/>
      <c r="G95" s="3"/>
      <c r="H95" s="3"/>
      <c r="I95" s="498">
        <f>SUM(I92:I94)</f>
        <v>302856</v>
      </c>
      <c r="J95" s="96"/>
      <c r="K95" s="3"/>
      <c r="L95" s="3"/>
      <c r="M95" s="3"/>
      <c r="N95" s="3"/>
      <c r="O95" s="3"/>
      <c r="P95" s="3"/>
      <c r="Q95" s="3"/>
      <c r="R95" s="3"/>
      <c r="S95" s="3"/>
      <c r="T95" s="3"/>
      <c r="U95" s="1081"/>
      <c r="V95" s="3"/>
      <c r="W95" s="3"/>
      <c r="X95" s="3"/>
      <c r="Y95" s="3"/>
      <c r="Z95" s="3"/>
      <c r="AA95" s="3"/>
      <c r="AB95" s="3"/>
      <c r="AC95" s="3"/>
      <c r="AD95" s="3"/>
      <c r="AE95" s="3"/>
      <c r="AF95" s="3"/>
      <c r="AG95" s="3"/>
      <c r="AH95" s="3"/>
      <c r="AI95" s="3"/>
      <c r="AJ95" s="3"/>
      <c r="AK95" s="3"/>
      <c r="AL95" s="3"/>
      <c r="AM95" s="3"/>
      <c r="AN95" s="3"/>
      <c r="AO95" s="3"/>
      <c r="AP95" s="3"/>
    </row>
    <row r="96" spans="1:42" x14ac:dyDescent="0.2">
      <c r="A96" s="3"/>
      <c r="B96" s="212"/>
      <c r="C96" s="502" t="s">
        <v>127</v>
      </c>
      <c r="D96" s="396"/>
      <c r="E96" s="396"/>
      <c r="F96" s="396"/>
      <c r="G96" s="396"/>
      <c r="H96" s="396"/>
      <c r="I96" s="503">
        <f>I95-I89</f>
        <v>0</v>
      </c>
      <c r="J96" s="96"/>
      <c r="K96" s="3"/>
      <c r="L96" s="3"/>
      <c r="M96" s="3"/>
      <c r="N96" s="3"/>
      <c r="O96" s="3"/>
      <c r="P96" s="3"/>
      <c r="Q96" s="3"/>
      <c r="R96" s="3"/>
      <c r="S96" s="3"/>
      <c r="T96" s="3"/>
      <c r="U96" s="1081"/>
      <c r="V96" s="3"/>
      <c r="W96" s="3"/>
      <c r="X96" s="3"/>
      <c r="Y96" s="3"/>
      <c r="Z96" s="3"/>
      <c r="AA96" s="3"/>
      <c r="AB96" s="3"/>
      <c r="AC96" s="3"/>
      <c r="AD96" s="3"/>
      <c r="AE96" s="3"/>
      <c r="AF96" s="3"/>
      <c r="AG96" s="3"/>
      <c r="AH96" s="3"/>
      <c r="AI96" s="3"/>
      <c r="AJ96" s="3"/>
      <c r="AK96" s="3"/>
      <c r="AL96" s="3"/>
      <c r="AM96" s="3"/>
      <c r="AN96" s="3"/>
      <c r="AO96" s="3"/>
      <c r="AP96" s="3"/>
    </row>
    <row r="97" spans="1:42" ht="6" customHeight="1" x14ac:dyDescent="0.2">
      <c r="A97" s="3"/>
      <c r="B97" s="212"/>
      <c r="C97" s="97"/>
      <c r="D97" s="93"/>
      <c r="E97" s="93"/>
      <c r="F97" s="93"/>
      <c r="G97" s="93"/>
      <c r="H97" s="93"/>
      <c r="I97" s="139"/>
      <c r="J97" s="98"/>
      <c r="K97" s="3"/>
      <c r="L97" s="3"/>
      <c r="M97" s="3"/>
      <c r="N97" s="3"/>
      <c r="O97" s="3"/>
      <c r="P97" s="3"/>
      <c r="Q97" s="3"/>
      <c r="R97" s="3"/>
      <c r="S97" s="3"/>
      <c r="T97" s="3"/>
      <c r="U97" s="1081"/>
      <c r="V97" s="3"/>
      <c r="W97" s="3"/>
      <c r="X97" s="3"/>
      <c r="Y97" s="3"/>
      <c r="Z97" s="3"/>
      <c r="AA97" s="3"/>
      <c r="AB97" s="3"/>
      <c r="AC97" s="3"/>
      <c r="AD97" s="3"/>
      <c r="AE97" s="3"/>
      <c r="AF97" s="3"/>
      <c r="AG97" s="3"/>
      <c r="AH97" s="3"/>
      <c r="AI97" s="3"/>
      <c r="AJ97" s="3"/>
      <c r="AK97" s="3"/>
      <c r="AL97" s="3"/>
      <c r="AM97" s="3"/>
      <c r="AN97" s="3"/>
      <c r="AO97" s="3"/>
      <c r="AP97" s="3"/>
    </row>
    <row r="98" spans="1:42" x14ac:dyDescent="0.2">
      <c r="A98" s="3"/>
      <c r="B98" s="212"/>
      <c r="C98" s="3"/>
      <c r="D98" s="3"/>
      <c r="E98" s="3"/>
      <c r="F98" s="3"/>
      <c r="G98" s="3"/>
      <c r="H98" s="3"/>
      <c r="I98" s="3"/>
      <c r="J98" s="3"/>
      <c r="K98" s="3"/>
      <c r="L98" s="3"/>
      <c r="M98" s="3"/>
      <c r="N98" s="3"/>
      <c r="O98" s="3"/>
      <c r="P98" s="3"/>
      <c r="Q98" s="3"/>
      <c r="R98" s="3"/>
      <c r="S98" s="3"/>
      <c r="T98" s="3"/>
      <c r="U98" s="1081"/>
      <c r="V98" s="3"/>
      <c r="W98" s="3"/>
      <c r="X98" s="3"/>
      <c r="Y98" s="3"/>
      <c r="Z98" s="3"/>
      <c r="AA98" s="3"/>
      <c r="AB98" s="3"/>
      <c r="AC98" s="3"/>
      <c r="AD98" s="3"/>
      <c r="AE98" s="3"/>
      <c r="AF98" s="3"/>
      <c r="AG98" s="3"/>
      <c r="AH98" s="3"/>
      <c r="AI98" s="3"/>
      <c r="AJ98" s="3"/>
      <c r="AK98" s="3"/>
      <c r="AL98" s="3"/>
      <c r="AM98" s="3"/>
      <c r="AN98" s="3"/>
      <c r="AO98" s="3"/>
      <c r="AP98" s="3"/>
    </row>
    <row r="99" spans="1:42" x14ac:dyDescent="0.2">
      <c r="A99" s="3"/>
      <c r="B99" s="212"/>
      <c r="C99" s="3"/>
      <c r="D99" s="3"/>
      <c r="E99" s="3"/>
      <c r="F99" s="3"/>
      <c r="G99" s="3"/>
      <c r="H99" s="3"/>
      <c r="I99" s="3"/>
      <c r="J99" s="3"/>
      <c r="K99" s="3"/>
      <c r="L99" s="3"/>
      <c r="M99" s="3"/>
      <c r="N99" s="3"/>
      <c r="O99" s="3"/>
      <c r="P99" s="3"/>
      <c r="Q99" s="3"/>
      <c r="R99" s="3"/>
      <c r="S99" s="3"/>
      <c r="T99" s="3"/>
      <c r="U99" s="1081"/>
      <c r="V99" s="3"/>
      <c r="W99" s="3"/>
      <c r="X99" s="3"/>
      <c r="Y99" s="3"/>
      <c r="Z99" s="3"/>
      <c r="AA99" s="3"/>
      <c r="AB99" s="3"/>
      <c r="AC99" s="3"/>
      <c r="AD99" s="3"/>
      <c r="AE99" s="3"/>
      <c r="AF99" s="3"/>
      <c r="AG99" s="3"/>
      <c r="AH99" s="3"/>
      <c r="AI99" s="3"/>
      <c r="AJ99" s="3"/>
      <c r="AK99" s="3"/>
      <c r="AL99" s="3"/>
      <c r="AM99" s="3"/>
      <c r="AN99" s="3"/>
      <c r="AO99" s="3"/>
      <c r="AP99" s="3"/>
    </row>
    <row r="100" spans="1:42" x14ac:dyDescent="0.2">
      <c r="A100" s="3"/>
      <c r="B100" s="212"/>
      <c r="C100" s="3"/>
      <c r="D100" s="3"/>
      <c r="E100" s="3"/>
      <c r="F100" s="3"/>
      <c r="G100" s="3"/>
      <c r="H100" s="3"/>
      <c r="I100" s="3"/>
      <c r="J100" s="3"/>
      <c r="K100" s="3"/>
      <c r="L100" s="3"/>
      <c r="M100" s="3"/>
      <c r="N100" s="3"/>
      <c r="O100" s="3"/>
      <c r="P100" s="3"/>
      <c r="Q100" s="3"/>
      <c r="R100" s="3"/>
      <c r="S100" s="3"/>
      <c r="T100" s="3"/>
      <c r="U100" s="1081"/>
      <c r="V100" s="3"/>
      <c r="W100" s="3"/>
      <c r="X100" s="3"/>
      <c r="Y100" s="3"/>
      <c r="Z100" s="3"/>
      <c r="AA100" s="3"/>
      <c r="AB100" s="3"/>
      <c r="AC100" s="3"/>
      <c r="AD100" s="3"/>
      <c r="AE100" s="3"/>
      <c r="AF100" s="3"/>
      <c r="AG100" s="3"/>
      <c r="AH100" s="3"/>
      <c r="AI100" s="3"/>
      <c r="AJ100" s="3"/>
      <c r="AK100" s="3"/>
      <c r="AL100" s="3"/>
      <c r="AM100" s="3"/>
      <c r="AN100" s="3"/>
      <c r="AO100" s="3"/>
      <c r="AP100" s="3"/>
    </row>
    <row r="101" spans="1:42" ht="13.8" x14ac:dyDescent="0.25">
      <c r="A101" s="3"/>
      <c r="B101" s="212"/>
      <c r="C101" s="1246" t="s">
        <v>940</v>
      </c>
      <c r="D101" s="1064"/>
      <c r="E101" s="1064"/>
      <c r="F101" s="1065"/>
      <c r="G101" s="848"/>
      <c r="H101" s="848"/>
      <c r="I101" s="1066" t="str">
        <f>I75</f>
        <v>$'000 nominal</v>
      </c>
      <c r="J101" s="848"/>
      <c r="K101" s="848"/>
      <c r="L101" s="848"/>
      <c r="M101" s="848"/>
      <c r="N101" s="848"/>
      <c r="O101" s="848"/>
      <c r="P101" s="848"/>
      <c r="Q101" s="848"/>
      <c r="R101" s="848"/>
      <c r="S101" s="848"/>
      <c r="T101" s="849"/>
      <c r="U101" s="1081"/>
      <c r="V101" s="3"/>
      <c r="W101" s="3"/>
      <c r="X101" s="3"/>
      <c r="Y101" s="3"/>
      <c r="Z101" s="3"/>
      <c r="AA101" s="3"/>
      <c r="AB101" s="3"/>
      <c r="AC101" s="3"/>
      <c r="AD101" s="3"/>
      <c r="AE101" s="3"/>
      <c r="AF101" s="3"/>
      <c r="AG101" s="3"/>
      <c r="AH101" s="3"/>
      <c r="AI101" s="3"/>
      <c r="AJ101" s="3"/>
      <c r="AK101" s="3"/>
      <c r="AL101" s="3"/>
      <c r="AM101" s="3"/>
      <c r="AN101" s="3"/>
      <c r="AO101" s="3"/>
      <c r="AP101" s="3"/>
    </row>
    <row r="102" spans="1:42" ht="12" x14ac:dyDescent="0.25">
      <c r="A102" s="3"/>
      <c r="B102" s="212"/>
      <c r="C102" s="492" t="s">
        <v>941</v>
      </c>
      <c r="D102" s="493" t="s">
        <v>942</v>
      </c>
      <c r="E102" s="493"/>
      <c r="F102" s="493"/>
      <c r="G102" s="184"/>
      <c r="H102" s="493"/>
      <c r="I102" s="560" t="s">
        <v>943</v>
      </c>
      <c r="J102" s="560" t="s">
        <v>944</v>
      </c>
      <c r="K102" s="560" t="str">
        <f>J102</f>
        <v>Forecast</v>
      </c>
      <c r="L102" s="560" t="str">
        <f t="shared" ref="L102:S102" si="10">K102</f>
        <v>Forecast</v>
      </c>
      <c r="M102" s="560" t="str">
        <f t="shared" si="10"/>
        <v>Forecast</v>
      </c>
      <c r="N102" s="560" t="str">
        <f t="shared" si="10"/>
        <v>Forecast</v>
      </c>
      <c r="O102" s="560" t="str">
        <f t="shared" si="10"/>
        <v>Forecast</v>
      </c>
      <c r="P102" s="560" t="str">
        <f t="shared" si="10"/>
        <v>Forecast</v>
      </c>
      <c r="Q102" s="560" t="str">
        <f t="shared" si="10"/>
        <v>Forecast</v>
      </c>
      <c r="R102" s="560" t="str">
        <f t="shared" si="10"/>
        <v>Forecast</v>
      </c>
      <c r="S102" s="560" t="str">
        <f t="shared" si="10"/>
        <v>Forecast</v>
      </c>
      <c r="T102" s="850" t="s">
        <v>944</v>
      </c>
      <c r="U102" s="1081"/>
      <c r="V102" s="3"/>
      <c r="W102" s="3"/>
      <c r="X102" s="3"/>
      <c r="Y102" s="3"/>
      <c r="Z102" s="3"/>
      <c r="AA102" s="3"/>
      <c r="AB102" s="3"/>
      <c r="AC102" s="3"/>
      <c r="AD102" s="3"/>
      <c r="AE102" s="3"/>
      <c r="AF102" s="3"/>
      <c r="AG102" s="3"/>
      <c r="AH102" s="3"/>
      <c r="AI102" s="3"/>
      <c r="AJ102" s="3"/>
      <c r="AK102" s="3"/>
      <c r="AL102" s="3"/>
      <c r="AM102" s="3"/>
      <c r="AN102" s="3"/>
      <c r="AO102" s="3"/>
      <c r="AP102" s="3"/>
    </row>
    <row r="103" spans="1:42" ht="12" x14ac:dyDescent="0.25">
      <c r="A103" s="3"/>
      <c r="B103" s="212"/>
      <c r="C103" s="135"/>
      <c r="D103" s="3"/>
      <c r="E103" s="3"/>
      <c r="F103" s="3"/>
      <c r="G103" s="3"/>
      <c r="H103" s="3"/>
      <c r="I103" s="845" t="str">
        <f>'WK0 - Input data'!G58</f>
        <v>2021-22</v>
      </c>
      <c r="J103" s="846" t="str">
        <f>'WK0 - Input data'!H58</f>
        <v>2022-23</v>
      </c>
      <c r="K103" s="846" t="str">
        <f>'WK0 - Input data'!I58</f>
        <v>2023-24</v>
      </c>
      <c r="L103" s="846" t="str">
        <f>'WK0 - Input data'!J58</f>
        <v>2024-25</v>
      </c>
      <c r="M103" s="846" t="str">
        <f>'WK0 - Input data'!K58</f>
        <v>2025-26</v>
      </c>
      <c r="N103" s="846" t="str">
        <f>'WK0 - Input data'!L58</f>
        <v>2026-27</v>
      </c>
      <c r="O103" s="846" t="str">
        <f>'WK0 - Input data'!M58</f>
        <v>2027-28</v>
      </c>
      <c r="P103" s="846" t="str">
        <f>'WK0 - Input data'!N58</f>
        <v>2028-29</v>
      </c>
      <c r="Q103" s="846" t="str">
        <f>'WK0 - Input data'!O58</f>
        <v>2029-30</v>
      </c>
      <c r="R103" s="846" t="str">
        <f>'WK0 - Input data'!P58</f>
        <v>2030-31</v>
      </c>
      <c r="S103" s="846" t="str">
        <f>'WK0 - Input data'!Q58</f>
        <v>2031-32</v>
      </c>
      <c r="T103" s="847" t="str">
        <f>'WK0 - Input data'!R58</f>
        <v>2032-33</v>
      </c>
      <c r="U103" s="1081"/>
      <c r="V103" s="3"/>
      <c r="W103" s="3"/>
      <c r="X103" s="3"/>
      <c r="Y103" s="3"/>
      <c r="Z103" s="3"/>
      <c r="AA103" s="3"/>
      <c r="AB103" s="3"/>
      <c r="AC103" s="3"/>
      <c r="AD103" s="3"/>
      <c r="AE103" s="3"/>
      <c r="AF103" s="3"/>
      <c r="AG103" s="3"/>
      <c r="AH103" s="3"/>
      <c r="AI103" s="3"/>
      <c r="AJ103" s="3"/>
      <c r="AK103" s="3"/>
      <c r="AL103" s="3"/>
      <c r="AM103" s="3"/>
      <c r="AN103" s="3"/>
      <c r="AO103" s="3"/>
      <c r="AP103" s="3"/>
    </row>
    <row r="104" spans="1:42" x14ac:dyDescent="0.2">
      <c r="A104" s="3"/>
      <c r="B104" s="212"/>
      <c r="C104" s="135"/>
      <c r="D104" s="3"/>
      <c r="E104" s="3"/>
      <c r="F104" s="3"/>
      <c r="G104" s="3"/>
      <c r="H104" s="3"/>
      <c r="I104" s="278"/>
      <c r="J104" s="278"/>
      <c r="K104" s="278"/>
      <c r="L104" s="278"/>
      <c r="M104" s="278"/>
      <c r="N104" s="278"/>
      <c r="O104" s="278"/>
      <c r="P104" s="278"/>
      <c r="Q104" s="278"/>
      <c r="R104" s="278"/>
      <c r="S104" s="278"/>
      <c r="T104" s="96"/>
      <c r="U104" s="1081"/>
      <c r="V104" s="3"/>
      <c r="W104" s="3"/>
      <c r="X104" s="3"/>
      <c r="Y104" s="3"/>
      <c r="Z104" s="3"/>
      <c r="AA104" s="3"/>
      <c r="AB104" s="3"/>
      <c r="AC104" s="3"/>
      <c r="AD104" s="3"/>
      <c r="AE104" s="3"/>
      <c r="AF104" s="3"/>
      <c r="AG104" s="3"/>
      <c r="AH104" s="3"/>
      <c r="AI104" s="3"/>
      <c r="AJ104" s="3"/>
      <c r="AK104" s="3"/>
      <c r="AL104" s="3"/>
      <c r="AM104" s="3"/>
      <c r="AN104" s="3"/>
      <c r="AO104" s="3"/>
      <c r="AP104" s="3"/>
    </row>
    <row r="105" spans="1:42" ht="12" x14ac:dyDescent="0.25">
      <c r="A105" s="3"/>
      <c r="B105" s="212"/>
      <c r="C105" s="253" t="s">
        <v>945</v>
      </c>
      <c r="D105" s="3"/>
      <c r="E105" s="3"/>
      <c r="F105" s="3"/>
      <c r="G105" s="3"/>
      <c r="H105" s="3"/>
      <c r="I105" s="278"/>
      <c r="J105" s="278"/>
      <c r="K105" s="278"/>
      <c r="L105" s="278"/>
      <c r="M105" s="278"/>
      <c r="N105" s="278"/>
      <c r="O105" s="278"/>
      <c r="P105" s="278"/>
      <c r="Q105" s="278"/>
      <c r="R105" s="278"/>
      <c r="S105" s="278"/>
      <c r="T105" s="96"/>
      <c r="U105" s="1081"/>
      <c r="V105" s="3"/>
      <c r="W105" s="3"/>
      <c r="X105" s="3"/>
      <c r="Y105" s="3"/>
      <c r="Z105" s="3"/>
      <c r="AA105" s="3"/>
      <c r="AB105" s="3"/>
      <c r="AC105" s="3"/>
      <c r="AD105" s="3"/>
      <c r="AE105" s="3"/>
      <c r="AF105" s="3"/>
      <c r="AG105" s="3"/>
      <c r="AH105" s="3"/>
      <c r="AI105" s="3"/>
      <c r="AJ105" s="3"/>
      <c r="AK105" s="3"/>
      <c r="AL105" s="3"/>
      <c r="AM105" s="3"/>
      <c r="AN105" s="3"/>
      <c r="AO105" s="3"/>
      <c r="AP105" s="3"/>
    </row>
    <row r="106" spans="1:42" x14ac:dyDescent="0.2">
      <c r="A106" s="3"/>
      <c r="B106" s="212"/>
      <c r="C106" s="826" t="s">
        <v>946</v>
      </c>
      <c r="D106" s="529"/>
      <c r="E106" s="529" t="s">
        <v>933</v>
      </c>
      <c r="F106" s="3"/>
      <c r="G106" s="3"/>
      <c r="H106" s="3"/>
      <c r="I106" s="497">
        <v>47763</v>
      </c>
      <c r="J106" s="497">
        <v>9209.4196950563837</v>
      </c>
      <c r="K106" s="497">
        <v>6252.3777005309666</v>
      </c>
      <c r="L106" s="497">
        <v>4814.0501523404118</v>
      </c>
      <c r="M106" s="497">
        <v>5578.449780009395</v>
      </c>
      <c r="N106" s="497">
        <v>8679.0706620410274</v>
      </c>
      <c r="O106" s="497">
        <v>7945.2200906822509</v>
      </c>
      <c r="P106" s="497">
        <v>5059.6839602240761</v>
      </c>
      <c r="Q106" s="497">
        <v>4939.0830432007115</v>
      </c>
      <c r="R106" s="497">
        <v>9147.044978772421</v>
      </c>
      <c r="S106" s="497">
        <v>7996.5788731768362</v>
      </c>
      <c r="T106" s="497">
        <v>7362.1553624662256</v>
      </c>
      <c r="U106" s="1081"/>
      <c r="V106" s="3"/>
      <c r="W106" s="3"/>
      <c r="X106" s="3"/>
      <c r="Y106" s="3"/>
      <c r="Z106" s="3"/>
      <c r="AA106" s="3"/>
      <c r="AB106" s="3"/>
      <c r="AC106" s="3"/>
      <c r="AD106" s="3"/>
      <c r="AE106" s="3"/>
      <c r="AF106" s="3"/>
      <c r="AG106" s="3"/>
      <c r="AH106" s="3"/>
      <c r="AI106" s="3"/>
      <c r="AJ106" s="3"/>
      <c r="AK106" s="3"/>
      <c r="AL106" s="3"/>
      <c r="AM106" s="3"/>
      <c r="AN106" s="3"/>
      <c r="AO106" s="3"/>
      <c r="AP106" s="3"/>
    </row>
    <row r="107" spans="1:42" x14ac:dyDescent="0.2">
      <c r="A107" s="3"/>
      <c r="B107" s="212"/>
      <c r="C107" s="826" t="s">
        <v>947</v>
      </c>
      <c r="D107" s="529"/>
      <c r="E107" s="529" t="s">
        <v>933</v>
      </c>
      <c r="F107" s="3"/>
      <c r="G107" s="3"/>
      <c r="H107" s="3"/>
      <c r="I107" s="497">
        <v>9867</v>
      </c>
      <c r="J107" s="497">
        <v>9077.3083673762085</v>
      </c>
      <c r="K107" s="497">
        <v>9381.6464288135903</v>
      </c>
      <c r="L107" s="497">
        <v>9421.9780655267114</v>
      </c>
      <c r="M107" s="497">
        <v>9756.0427189743132</v>
      </c>
      <c r="N107" s="497">
        <v>12599.609839846004</v>
      </c>
      <c r="O107" s="497">
        <v>10269.342160724354</v>
      </c>
      <c r="P107" s="497">
        <v>10463.529695169624</v>
      </c>
      <c r="Q107" s="497">
        <v>10663.041803645749</v>
      </c>
      <c r="R107" s="497">
        <v>10940.918209921956</v>
      </c>
      <c r="S107" s="497">
        <v>11229.928583387851</v>
      </c>
      <c r="T107" s="497">
        <v>11536.698692896571</v>
      </c>
      <c r="U107" s="1081"/>
      <c r="V107" s="3"/>
      <c r="W107" s="3"/>
      <c r="X107" s="3"/>
      <c r="Y107" s="3"/>
      <c r="Z107" s="3"/>
      <c r="AA107" s="3"/>
      <c r="AB107" s="3"/>
      <c r="AC107" s="3"/>
      <c r="AD107" s="3"/>
      <c r="AE107" s="3"/>
      <c r="AF107" s="3"/>
      <c r="AG107" s="3"/>
      <c r="AH107" s="3"/>
      <c r="AI107" s="3"/>
      <c r="AJ107" s="3"/>
      <c r="AK107" s="3"/>
      <c r="AL107" s="3"/>
      <c r="AM107" s="3"/>
      <c r="AN107" s="3"/>
      <c r="AO107" s="3"/>
      <c r="AP107" s="3"/>
    </row>
    <row r="108" spans="1:42" x14ac:dyDescent="0.2">
      <c r="A108" s="3"/>
      <c r="B108" s="212"/>
      <c r="C108" s="826" t="s">
        <v>947</v>
      </c>
      <c r="D108" s="529"/>
      <c r="E108" s="529" t="s">
        <v>934</v>
      </c>
      <c r="F108" s="3"/>
      <c r="G108" s="3"/>
      <c r="H108" s="3"/>
      <c r="I108" s="497">
        <v>1332</v>
      </c>
      <c r="J108" s="497">
        <v>1616.0321958959778</v>
      </c>
      <c r="K108" s="497">
        <v>1685.7815250940444</v>
      </c>
      <c r="L108" s="497">
        <v>1747.8336468148264</v>
      </c>
      <c r="M108" s="497">
        <v>1808.1559413172404</v>
      </c>
      <c r="N108" s="497">
        <v>1861.7086612964438</v>
      </c>
      <c r="O108" s="497">
        <v>1906.7353300193151</v>
      </c>
      <c r="P108" s="497">
        <v>1952.8512830229722</v>
      </c>
      <c r="Q108" s="497">
        <v>2000.0828757190536</v>
      </c>
      <c r="R108" s="497">
        <v>2048.4571091119674</v>
      </c>
      <c r="S108" s="497">
        <v>2099.6685380731665</v>
      </c>
      <c r="T108" s="497">
        <v>2154.6015779405616</v>
      </c>
      <c r="U108" s="1081"/>
      <c r="V108" s="3"/>
      <c r="W108" s="3"/>
      <c r="X108" s="3"/>
      <c r="Y108" s="3"/>
      <c r="Z108" s="3"/>
      <c r="AA108" s="3"/>
      <c r="AB108" s="3"/>
      <c r="AC108" s="3"/>
      <c r="AD108" s="3"/>
      <c r="AE108" s="3"/>
      <c r="AF108" s="3"/>
      <c r="AG108" s="3"/>
      <c r="AH108" s="3"/>
      <c r="AI108" s="3"/>
      <c r="AJ108" s="3"/>
      <c r="AK108" s="3"/>
      <c r="AL108" s="3"/>
      <c r="AM108" s="3"/>
      <c r="AN108" s="3"/>
      <c r="AO108" s="3"/>
      <c r="AP108" s="3"/>
    </row>
    <row r="109" spans="1:42" x14ac:dyDescent="0.2">
      <c r="A109" s="3"/>
      <c r="B109" s="212"/>
      <c r="C109" s="826" t="s">
        <v>948</v>
      </c>
      <c r="D109" s="529"/>
      <c r="E109" s="529" t="s">
        <v>933</v>
      </c>
      <c r="F109" s="3"/>
      <c r="G109" s="3"/>
      <c r="H109" s="3"/>
      <c r="I109" s="497">
        <v>81171</v>
      </c>
      <c r="J109" s="497">
        <v>102783.87446625826</v>
      </c>
      <c r="K109" s="497">
        <v>96663.905766520867</v>
      </c>
      <c r="L109" s="497">
        <v>74426.868076383253</v>
      </c>
      <c r="M109" s="497">
        <v>77247.357549884313</v>
      </c>
      <c r="N109" s="497">
        <v>79261.992888099368</v>
      </c>
      <c r="O109" s="497">
        <v>80470.77409102839</v>
      </c>
      <c r="P109" s="497">
        <v>78466.207315885156</v>
      </c>
      <c r="Q109" s="497">
        <v>76363.948765052162</v>
      </c>
      <c r="R109" s="497">
        <v>78781.51117091022</v>
      </c>
      <c r="S109" s="497">
        <v>83213.708914983334</v>
      </c>
      <c r="T109" s="497">
        <v>87242.97959141343</v>
      </c>
      <c r="U109" s="1081"/>
      <c r="V109" s="3"/>
      <c r="W109" s="3"/>
      <c r="X109" s="3"/>
      <c r="Y109" s="3"/>
      <c r="Z109" s="3"/>
      <c r="AA109" s="3"/>
      <c r="AB109" s="3"/>
      <c r="AC109" s="3"/>
      <c r="AD109" s="3"/>
      <c r="AE109" s="3"/>
      <c r="AF109" s="3"/>
      <c r="AG109" s="3"/>
      <c r="AH109" s="3"/>
      <c r="AI109" s="3"/>
      <c r="AJ109" s="3"/>
      <c r="AK109" s="3"/>
      <c r="AL109" s="3"/>
      <c r="AM109" s="3"/>
      <c r="AN109" s="3"/>
      <c r="AO109" s="3"/>
      <c r="AP109" s="3"/>
    </row>
    <row r="110" spans="1:42" x14ac:dyDescent="0.2">
      <c r="A110" s="3"/>
      <c r="B110" s="212"/>
      <c r="C110" s="826" t="s">
        <v>948</v>
      </c>
      <c r="D110" s="529"/>
      <c r="E110" s="529" t="s">
        <v>934</v>
      </c>
      <c r="F110" s="3"/>
      <c r="G110" s="3"/>
      <c r="H110" s="3"/>
      <c r="I110" s="497">
        <v>173922</v>
      </c>
      <c r="J110" s="497">
        <v>152309.12553374175</v>
      </c>
      <c r="K110" s="497">
        <v>143240.31891605709</v>
      </c>
      <c r="L110" s="497">
        <v>110288.61532798535</v>
      </c>
      <c r="M110" s="497">
        <v>114468.12585448427</v>
      </c>
      <c r="N110" s="497">
        <v>117453.49051626923</v>
      </c>
      <c r="O110" s="497">
        <v>119244.70931334021</v>
      </c>
      <c r="P110" s="497">
        <v>116274.26463822449</v>
      </c>
      <c r="Q110" s="497">
        <v>113159.05650673575</v>
      </c>
      <c r="R110" s="497">
        <v>116741.4941008777</v>
      </c>
      <c r="S110" s="497">
        <v>123309.2963568046</v>
      </c>
      <c r="T110" s="497">
        <v>129280.0256803745</v>
      </c>
      <c r="U110" s="1081"/>
      <c r="V110" s="3"/>
      <c r="W110" s="3"/>
      <c r="X110" s="3"/>
      <c r="Y110" s="3"/>
      <c r="Z110" s="3"/>
      <c r="AA110" s="3"/>
      <c r="AB110" s="3"/>
      <c r="AC110" s="3"/>
      <c r="AD110" s="3"/>
      <c r="AE110" s="3"/>
      <c r="AF110" s="3"/>
      <c r="AG110" s="3"/>
      <c r="AH110" s="3"/>
      <c r="AI110" s="3"/>
      <c r="AJ110" s="3"/>
      <c r="AK110" s="3"/>
      <c r="AL110" s="3"/>
      <c r="AM110" s="3"/>
      <c r="AN110" s="3"/>
      <c r="AO110" s="3"/>
      <c r="AP110" s="3"/>
    </row>
    <row r="111" spans="1:42" ht="12" x14ac:dyDescent="0.25">
      <c r="A111" s="3"/>
      <c r="B111" s="212"/>
      <c r="C111" s="135"/>
      <c r="D111" s="3"/>
      <c r="E111" s="3"/>
      <c r="F111" s="3"/>
      <c r="G111" s="3"/>
      <c r="H111" s="3"/>
      <c r="I111" s="498"/>
      <c r="J111" s="498"/>
      <c r="K111" s="498"/>
      <c r="L111" s="498"/>
      <c r="M111" s="498"/>
      <c r="N111" s="498"/>
      <c r="O111" s="498"/>
      <c r="P111" s="498"/>
      <c r="Q111" s="498"/>
      <c r="R111" s="498"/>
      <c r="S111" s="498"/>
      <c r="T111" s="498"/>
      <c r="U111" s="1081"/>
      <c r="V111" s="3"/>
      <c r="W111" s="3"/>
      <c r="X111" s="3"/>
      <c r="Y111" s="3"/>
      <c r="Z111" s="3"/>
      <c r="AA111" s="3"/>
      <c r="AB111" s="3"/>
      <c r="AC111" s="3"/>
      <c r="AD111" s="3"/>
      <c r="AE111" s="3"/>
      <c r="AF111" s="3"/>
      <c r="AG111" s="3"/>
      <c r="AH111" s="3"/>
      <c r="AI111" s="3"/>
      <c r="AJ111" s="3"/>
      <c r="AK111" s="3"/>
      <c r="AL111" s="3"/>
      <c r="AM111" s="3"/>
      <c r="AN111" s="3"/>
      <c r="AO111" s="3"/>
      <c r="AP111" s="3"/>
    </row>
    <row r="112" spans="1:42" ht="12" x14ac:dyDescent="0.25">
      <c r="A112" s="3"/>
      <c r="B112" s="212"/>
      <c r="C112" s="253" t="s">
        <v>949</v>
      </c>
      <c r="D112" s="3"/>
      <c r="E112" s="3"/>
      <c r="F112" s="3"/>
      <c r="G112" s="3"/>
      <c r="H112" s="3"/>
      <c r="I112" s="278"/>
      <c r="J112" s="278"/>
      <c r="K112" s="278"/>
      <c r="L112" s="278"/>
      <c r="M112" s="278"/>
      <c r="N112" s="278"/>
      <c r="O112" s="278"/>
      <c r="P112" s="278"/>
      <c r="Q112" s="278"/>
      <c r="R112" s="278"/>
      <c r="S112" s="278"/>
      <c r="T112" s="278"/>
      <c r="U112" s="1081"/>
      <c r="V112" s="3"/>
      <c r="W112" s="3"/>
      <c r="X112" s="3"/>
      <c r="Y112" s="3"/>
      <c r="Z112" s="3"/>
      <c r="AA112" s="3"/>
      <c r="AB112" s="3"/>
      <c r="AC112" s="3"/>
      <c r="AD112" s="3"/>
      <c r="AE112" s="3"/>
      <c r="AF112" s="3"/>
      <c r="AG112" s="3"/>
      <c r="AH112" s="3"/>
      <c r="AI112" s="3"/>
      <c r="AJ112" s="3"/>
      <c r="AK112" s="3"/>
      <c r="AL112" s="3"/>
      <c r="AM112" s="3"/>
      <c r="AN112" s="3"/>
      <c r="AO112" s="3"/>
      <c r="AP112" s="3"/>
    </row>
    <row r="113" spans="1:50" x14ac:dyDescent="0.2">
      <c r="A113" s="3"/>
      <c r="B113" s="212"/>
      <c r="C113" s="826" t="s">
        <v>950</v>
      </c>
      <c r="D113" s="529"/>
      <c r="E113" s="529" t="s">
        <v>933</v>
      </c>
      <c r="F113" s="3"/>
      <c r="G113" s="3"/>
      <c r="H113" s="3"/>
      <c r="I113" s="497">
        <v>13472</v>
      </c>
      <c r="J113" s="497">
        <v>11940.60763526439</v>
      </c>
      <c r="K113" s="497">
        <v>12624.74408938594</v>
      </c>
      <c r="L113" s="497">
        <v>13082.408961988413</v>
      </c>
      <c r="M113" s="497">
        <v>13574.041362129166</v>
      </c>
      <c r="N113" s="497">
        <v>13997.219809384273</v>
      </c>
      <c r="O113" s="497">
        <v>14461.806791132027</v>
      </c>
      <c r="P113" s="497">
        <v>14925.305898566929</v>
      </c>
      <c r="Q113" s="497">
        <v>15032.675879417393</v>
      </c>
      <c r="R113" s="497">
        <v>15383.531894621136</v>
      </c>
      <c r="S113" s="497">
        <v>15769.254023689809</v>
      </c>
      <c r="T113" s="497">
        <v>16275.407185106469</v>
      </c>
      <c r="U113" s="1081"/>
      <c r="V113" s="3"/>
      <c r="W113" s="3"/>
      <c r="X113" s="3"/>
      <c r="Y113" s="3"/>
      <c r="Z113" s="3"/>
      <c r="AA113" s="3"/>
      <c r="AB113" s="3"/>
      <c r="AC113" s="3"/>
      <c r="AD113" s="3"/>
      <c r="AE113" s="3"/>
      <c r="AF113" s="3"/>
      <c r="AG113" s="3"/>
      <c r="AH113" s="3"/>
      <c r="AI113" s="3"/>
      <c r="AJ113" s="3"/>
      <c r="AK113" s="3"/>
      <c r="AL113" s="3"/>
      <c r="AM113" s="3"/>
      <c r="AN113" s="3"/>
      <c r="AO113" s="3"/>
      <c r="AP113" s="3"/>
    </row>
    <row r="114" spans="1:50" x14ac:dyDescent="0.2">
      <c r="A114" s="3"/>
      <c r="B114" s="212"/>
      <c r="C114" s="826" t="s">
        <v>950</v>
      </c>
      <c r="D114" s="529"/>
      <c r="E114" s="529" t="s">
        <v>934</v>
      </c>
      <c r="F114" s="3"/>
      <c r="G114" s="3"/>
      <c r="H114" s="3"/>
      <c r="I114" s="497">
        <v>0</v>
      </c>
      <c r="J114" s="497">
        <v>0</v>
      </c>
      <c r="K114" s="497">
        <v>0</v>
      </c>
      <c r="L114" s="497">
        <v>0</v>
      </c>
      <c r="M114" s="497">
        <v>0</v>
      </c>
      <c r="N114" s="497">
        <v>0</v>
      </c>
      <c r="O114" s="497">
        <v>0</v>
      </c>
      <c r="P114" s="497">
        <v>0</v>
      </c>
      <c r="Q114" s="497">
        <v>0</v>
      </c>
      <c r="R114" s="497">
        <v>0</v>
      </c>
      <c r="S114" s="497">
        <v>0</v>
      </c>
      <c r="T114" s="497">
        <v>0</v>
      </c>
      <c r="U114" s="1081"/>
      <c r="V114" s="3"/>
      <c r="W114" s="3"/>
      <c r="X114" s="3"/>
      <c r="Y114" s="3"/>
      <c r="Z114" s="3"/>
      <c r="AA114" s="3"/>
      <c r="AB114" s="3"/>
      <c r="AC114" s="3"/>
      <c r="AD114" s="3"/>
      <c r="AE114" s="3"/>
      <c r="AF114" s="3"/>
      <c r="AG114" s="3"/>
      <c r="AH114" s="3"/>
      <c r="AI114" s="3"/>
      <c r="AJ114" s="3"/>
      <c r="AK114" s="3"/>
      <c r="AL114" s="3"/>
      <c r="AM114" s="3"/>
      <c r="AN114" s="3"/>
      <c r="AO114" s="3"/>
      <c r="AP114" s="3"/>
    </row>
    <row r="115" spans="1:50" x14ac:dyDescent="0.2">
      <c r="A115" s="3"/>
      <c r="B115" s="212"/>
      <c r="C115" s="826" t="s">
        <v>951</v>
      </c>
      <c r="D115" s="529"/>
      <c r="E115" s="529" t="s">
        <v>933</v>
      </c>
      <c r="F115" s="3"/>
      <c r="G115" s="3"/>
      <c r="H115" s="3"/>
      <c r="I115" s="497">
        <v>257</v>
      </c>
      <c r="J115" s="497">
        <v>0</v>
      </c>
      <c r="K115" s="497">
        <v>0</v>
      </c>
      <c r="L115" s="497">
        <v>0</v>
      </c>
      <c r="M115" s="497">
        <v>0</v>
      </c>
      <c r="N115" s="497">
        <v>0</v>
      </c>
      <c r="O115" s="497">
        <v>0</v>
      </c>
      <c r="P115" s="497">
        <v>0</v>
      </c>
      <c r="Q115" s="497">
        <v>0</v>
      </c>
      <c r="R115" s="497">
        <v>0</v>
      </c>
      <c r="S115" s="497">
        <v>0</v>
      </c>
      <c r="T115" s="497">
        <v>0</v>
      </c>
      <c r="U115" s="1081"/>
      <c r="V115" s="3"/>
      <c r="W115" s="3"/>
      <c r="X115" s="3"/>
      <c r="Y115" s="3"/>
      <c r="Z115" s="3"/>
      <c r="AA115" s="3"/>
      <c r="AB115" s="3"/>
      <c r="AC115" s="3"/>
      <c r="AD115" s="3"/>
      <c r="AE115" s="3"/>
      <c r="AF115" s="3"/>
      <c r="AG115" s="3"/>
      <c r="AH115" s="3"/>
      <c r="AI115" s="3"/>
      <c r="AJ115" s="3"/>
      <c r="AK115" s="3"/>
      <c r="AL115" s="3"/>
      <c r="AM115" s="3"/>
      <c r="AN115" s="3"/>
      <c r="AO115" s="3"/>
      <c r="AP115" s="3"/>
    </row>
    <row r="116" spans="1:50" x14ac:dyDescent="0.2">
      <c r="A116" s="3"/>
      <c r="B116" s="212"/>
      <c r="C116" s="826" t="s">
        <v>951</v>
      </c>
      <c r="D116" s="529"/>
      <c r="E116" s="529" t="s">
        <v>934</v>
      </c>
      <c r="F116" s="3"/>
      <c r="G116" s="3"/>
      <c r="H116" s="3"/>
      <c r="I116" s="497">
        <v>0</v>
      </c>
      <c r="J116" s="497">
        <v>0</v>
      </c>
      <c r="K116" s="497">
        <v>0</v>
      </c>
      <c r="L116" s="497">
        <v>0</v>
      </c>
      <c r="M116" s="497">
        <v>0</v>
      </c>
      <c r="N116" s="497">
        <v>0</v>
      </c>
      <c r="O116" s="497">
        <v>0</v>
      </c>
      <c r="P116" s="497">
        <v>0</v>
      </c>
      <c r="Q116" s="497">
        <v>0</v>
      </c>
      <c r="R116" s="497">
        <v>0</v>
      </c>
      <c r="S116" s="497">
        <v>0</v>
      </c>
      <c r="T116" s="497">
        <v>0</v>
      </c>
      <c r="U116" s="1081"/>
      <c r="V116" s="3"/>
      <c r="W116" s="3"/>
      <c r="X116" s="3"/>
      <c r="Y116" s="3"/>
      <c r="Z116" s="3"/>
      <c r="AA116" s="3"/>
      <c r="AB116" s="3"/>
      <c r="AC116" s="3"/>
      <c r="AD116" s="3"/>
      <c r="AE116" s="3"/>
      <c r="AF116" s="3"/>
      <c r="AG116" s="3"/>
      <c r="AH116" s="3"/>
      <c r="AI116" s="3"/>
      <c r="AJ116" s="3"/>
      <c r="AK116" s="3"/>
      <c r="AL116" s="3"/>
      <c r="AM116" s="3"/>
      <c r="AN116" s="3"/>
      <c r="AO116" s="3"/>
      <c r="AP116" s="3"/>
    </row>
    <row r="117" spans="1:50" ht="8.6999999999999993" customHeight="1" x14ac:dyDescent="0.2">
      <c r="A117" s="3"/>
      <c r="B117" s="212"/>
      <c r="C117" s="97"/>
      <c r="D117" s="93"/>
      <c r="E117" s="93"/>
      <c r="F117" s="93"/>
      <c r="G117" s="93"/>
      <c r="H117" s="93"/>
      <c r="I117" s="139"/>
      <c r="J117" s="139"/>
      <c r="K117" s="139"/>
      <c r="L117" s="139"/>
      <c r="M117" s="139"/>
      <c r="N117" s="139"/>
      <c r="O117" s="139"/>
      <c r="P117" s="139"/>
      <c r="Q117" s="139"/>
      <c r="R117" s="139"/>
      <c r="S117" s="139"/>
      <c r="T117" s="139"/>
      <c r="U117" s="1081"/>
      <c r="V117" s="3"/>
      <c r="W117" s="3"/>
      <c r="X117" s="3"/>
      <c r="Y117" s="3"/>
      <c r="Z117" s="3"/>
      <c r="AA117" s="3"/>
      <c r="AB117" s="3"/>
      <c r="AC117" s="3"/>
      <c r="AD117" s="3"/>
      <c r="AE117" s="3"/>
      <c r="AF117" s="3"/>
      <c r="AG117" s="3"/>
      <c r="AH117" s="3"/>
      <c r="AI117" s="3"/>
      <c r="AJ117" s="3"/>
      <c r="AK117" s="3"/>
      <c r="AL117" s="3"/>
      <c r="AM117" s="3"/>
      <c r="AN117" s="3"/>
      <c r="AO117" s="3"/>
      <c r="AP117" s="3"/>
    </row>
    <row r="118" spans="1:50" ht="8.6999999999999993" customHeight="1" x14ac:dyDescent="0.2">
      <c r="A118" s="3"/>
      <c r="B118" s="212"/>
      <c r="C118" s="3"/>
      <c r="D118" s="3"/>
      <c r="E118" s="3"/>
      <c r="F118" s="3"/>
      <c r="G118" s="3"/>
      <c r="H118" s="3"/>
      <c r="I118" s="3"/>
      <c r="J118" s="3"/>
      <c r="K118" s="3"/>
      <c r="L118" s="3"/>
      <c r="M118" s="3"/>
      <c r="N118" s="3"/>
      <c r="O118" s="3"/>
      <c r="P118" s="3"/>
      <c r="Q118" s="3"/>
      <c r="R118" s="3"/>
      <c r="S118" s="3"/>
      <c r="T118" s="3"/>
      <c r="U118" s="1081"/>
      <c r="V118" s="3"/>
      <c r="W118" s="3"/>
      <c r="X118" s="3"/>
      <c r="Y118" s="3"/>
      <c r="Z118" s="3"/>
      <c r="AA118" s="3"/>
      <c r="AB118" s="3"/>
      <c r="AC118" s="3"/>
      <c r="AD118" s="3"/>
      <c r="AE118" s="3"/>
      <c r="AF118" s="3"/>
      <c r="AG118" s="3"/>
      <c r="AH118" s="3"/>
      <c r="AI118" s="3"/>
      <c r="AJ118" s="3"/>
      <c r="AK118" s="3"/>
      <c r="AL118" s="3"/>
      <c r="AM118" s="3"/>
      <c r="AN118" s="3"/>
      <c r="AO118" s="3"/>
      <c r="AP118" s="3"/>
    </row>
    <row r="119" spans="1:50" ht="12.6" customHeight="1" x14ac:dyDescent="0.2">
      <c r="A119" s="3"/>
      <c r="B119" s="212"/>
      <c r="C119" s="3"/>
      <c r="D119" s="3"/>
      <c r="E119" s="3"/>
      <c r="F119" s="3"/>
      <c r="G119" s="3"/>
      <c r="H119" s="3"/>
      <c r="I119" s="3"/>
      <c r="J119" s="3"/>
      <c r="K119" s="3"/>
      <c r="L119" s="3"/>
      <c r="M119" s="3"/>
      <c r="N119" s="3"/>
      <c r="O119" s="3"/>
      <c r="P119" s="3"/>
      <c r="Q119" s="3"/>
      <c r="R119" s="3"/>
      <c r="S119" s="3"/>
      <c r="T119" s="3"/>
      <c r="U119" s="1081"/>
      <c r="V119" s="3"/>
      <c r="W119" s="3"/>
      <c r="X119" s="3"/>
      <c r="Y119" s="3"/>
      <c r="Z119" s="3"/>
      <c r="AA119" s="3"/>
      <c r="AB119" s="3"/>
      <c r="AC119" s="3"/>
      <c r="AD119" s="3"/>
      <c r="AE119" s="3"/>
      <c r="AF119" s="3"/>
      <c r="AG119" s="3"/>
      <c r="AH119" s="3"/>
      <c r="AI119" s="3"/>
      <c r="AJ119" s="3"/>
      <c r="AK119" s="3"/>
      <c r="AL119" s="3"/>
      <c r="AM119" s="3"/>
      <c r="AN119" s="3"/>
      <c r="AO119" s="3"/>
      <c r="AP119" s="3"/>
    </row>
    <row r="120" spans="1:50" x14ac:dyDescent="0.2">
      <c r="A120" s="3"/>
      <c r="B120" s="212"/>
      <c r="C120" s="3"/>
      <c r="D120" s="3"/>
      <c r="E120" s="3"/>
      <c r="F120" s="3"/>
      <c r="G120" s="3"/>
      <c r="H120" s="3"/>
      <c r="I120" s="3"/>
      <c r="J120" s="3"/>
      <c r="K120" s="3"/>
      <c r="L120" s="3"/>
      <c r="M120" s="3"/>
      <c r="N120" s="3"/>
      <c r="O120" s="3"/>
      <c r="P120" s="3"/>
      <c r="Q120" s="3"/>
      <c r="R120" s="3"/>
      <c r="S120" s="3"/>
      <c r="T120" s="3"/>
      <c r="U120" s="1081"/>
      <c r="X120" s="3"/>
      <c r="Y120" s="3"/>
      <c r="Z120" s="3"/>
      <c r="AA120" s="3"/>
      <c r="AB120" s="3"/>
      <c r="AC120" s="3"/>
      <c r="AD120" s="3"/>
      <c r="AE120" s="3"/>
      <c r="AF120" s="3"/>
      <c r="AG120" s="3"/>
      <c r="AH120" s="3"/>
      <c r="AI120" s="3"/>
      <c r="AJ120" s="3"/>
      <c r="AK120" s="3"/>
      <c r="AL120" s="3"/>
      <c r="AM120" s="3"/>
      <c r="AN120" s="3"/>
      <c r="AO120" s="3"/>
      <c r="AP120" s="3"/>
    </row>
    <row r="121" spans="1:50" ht="13.8" x14ac:dyDescent="0.25">
      <c r="A121" s="3"/>
      <c r="B121" s="1080"/>
      <c r="C121" s="1252" t="s">
        <v>952</v>
      </c>
      <c r="D121" s="1064"/>
      <c r="E121" s="1064"/>
      <c r="F121" s="1065"/>
      <c r="G121" s="848"/>
      <c r="H121" s="848"/>
      <c r="I121" s="848"/>
      <c r="J121" s="848" t="str">
        <f>I75</f>
        <v>$'000 nominal</v>
      </c>
      <c r="K121" s="848"/>
      <c r="L121" s="848"/>
      <c r="M121" s="1066"/>
      <c r="N121" s="848"/>
      <c r="O121" s="848"/>
      <c r="P121" s="848"/>
      <c r="Q121" s="848"/>
      <c r="R121" s="848"/>
      <c r="S121" s="848"/>
      <c r="T121" s="849"/>
      <c r="U121" s="1082"/>
      <c r="V121" s="1072"/>
      <c r="W121" s="1072"/>
      <c r="X121" s="1072"/>
      <c r="Z121" s="3"/>
      <c r="AA121" s="3"/>
      <c r="AB121" s="3"/>
      <c r="AC121" s="3"/>
      <c r="AD121" s="3"/>
      <c r="AE121" s="3"/>
      <c r="AF121" s="3"/>
      <c r="AG121" s="3"/>
      <c r="AH121" s="3"/>
      <c r="AI121" s="3"/>
      <c r="AJ121" s="3"/>
      <c r="AK121" s="3"/>
      <c r="AL121" s="3"/>
      <c r="AM121" s="3"/>
      <c r="AN121" s="3"/>
      <c r="AO121" s="3"/>
      <c r="AP121" s="3"/>
      <c r="AQ121" s="3"/>
      <c r="AR121" s="3"/>
      <c r="AS121" s="3"/>
      <c r="AT121" s="3"/>
    </row>
    <row r="122" spans="1:50" ht="12" x14ac:dyDescent="0.25">
      <c r="A122" s="3"/>
      <c r="B122" s="1080"/>
      <c r="C122" s="748" t="s">
        <v>941</v>
      </c>
      <c r="D122" s="738" t="s">
        <v>942</v>
      </c>
      <c r="E122" s="738"/>
      <c r="F122" s="738"/>
      <c r="G122" s="79"/>
      <c r="H122" s="738"/>
      <c r="I122" s="776"/>
      <c r="J122" s="776"/>
      <c r="K122" s="776"/>
      <c r="L122" s="776"/>
      <c r="M122" s="776"/>
      <c r="N122" s="776"/>
      <c r="O122" s="776"/>
      <c r="P122" s="776"/>
      <c r="Q122" s="776"/>
      <c r="R122" s="776"/>
      <c r="S122" s="776"/>
      <c r="T122" s="1069"/>
      <c r="U122" s="1083"/>
      <c r="V122" s="75"/>
      <c r="W122" s="75"/>
      <c r="X122" s="75"/>
      <c r="Z122" s="3"/>
      <c r="AA122" s="3"/>
      <c r="AB122" s="3"/>
      <c r="AC122" s="3"/>
      <c r="AD122" s="3"/>
      <c r="AE122" s="3"/>
      <c r="AF122" s="3"/>
      <c r="AG122" s="3"/>
      <c r="AH122" s="3"/>
      <c r="AI122" s="3"/>
      <c r="AJ122" s="3"/>
      <c r="AK122" s="3"/>
      <c r="AL122" s="3"/>
      <c r="AM122" s="3"/>
      <c r="AN122" s="3"/>
      <c r="AO122" s="3"/>
      <c r="AP122" s="3"/>
      <c r="AQ122" s="3"/>
      <c r="AR122" s="3"/>
      <c r="AS122" s="3"/>
      <c r="AT122" s="3"/>
    </row>
    <row r="123" spans="1:50" ht="12" x14ac:dyDescent="0.25">
      <c r="A123" s="3"/>
      <c r="B123" s="1080"/>
      <c r="C123" s="492"/>
      <c r="D123" s="493"/>
      <c r="E123" s="560" t="s">
        <v>943</v>
      </c>
      <c r="F123" s="560" t="s">
        <v>943</v>
      </c>
      <c r="G123" s="560" t="s">
        <v>943</v>
      </c>
      <c r="H123" s="560" t="s">
        <v>943</v>
      </c>
      <c r="I123" s="560" t="s">
        <v>943</v>
      </c>
      <c r="J123" s="560" t="s">
        <v>944</v>
      </c>
      <c r="K123" s="560" t="s">
        <v>944</v>
      </c>
      <c r="L123" s="560" t="s">
        <v>944</v>
      </c>
      <c r="M123" s="560" t="s">
        <v>944</v>
      </c>
      <c r="N123" s="560" t="s">
        <v>944</v>
      </c>
      <c r="O123" s="560" t="str">
        <f>N123</f>
        <v>Forecast</v>
      </c>
      <c r="P123" s="560" t="str">
        <f t="shared" ref="P123" si="11">O123</f>
        <v>Forecast</v>
      </c>
      <c r="Q123" s="560" t="str">
        <f t="shared" ref="Q123" si="12">P123</f>
        <v>Forecast</v>
      </c>
      <c r="R123" s="560" t="str">
        <f t="shared" ref="R123" si="13">Q123</f>
        <v>Forecast</v>
      </c>
      <c r="S123" s="560" t="str">
        <f t="shared" ref="S123" si="14">R123</f>
        <v>Forecast</v>
      </c>
      <c r="T123" s="850" t="str">
        <f t="shared" ref="T123" si="15">S123</f>
        <v>Forecast</v>
      </c>
      <c r="U123" s="1083"/>
      <c r="V123" s="75"/>
      <c r="W123" s="75"/>
      <c r="X123" s="75"/>
      <c r="Z123" s="3"/>
      <c r="AA123" s="3"/>
      <c r="AB123" s="3"/>
      <c r="AC123" s="3"/>
      <c r="AD123" s="3"/>
      <c r="AE123" s="3"/>
      <c r="AF123" s="3"/>
      <c r="AG123" s="3"/>
      <c r="AH123" s="3"/>
      <c r="AI123" s="3"/>
      <c r="AJ123" s="3"/>
      <c r="AK123" s="3"/>
      <c r="AL123" s="3"/>
      <c r="AM123" s="3"/>
      <c r="AN123" s="3"/>
      <c r="AO123" s="3"/>
      <c r="AP123" s="3"/>
      <c r="AQ123" s="3"/>
      <c r="AR123" s="3"/>
      <c r="AS123" s="3"/>
      <c r="AT123" s="3"/>
    </row>
    <row r="124" spans="1:50" ht="12" x14ac:dyDescent="0.25">
      <c r="A124" s="3"/>
      <c r="B124" s="1080"/>
      <c r="C124" s="135"/>
      <c r="D124" s="3"/>
      <c r="E124" s="1075" t="str">
        <f>'WK0 - Input data'!C58</f>
        <v>2017-18</v>
      </c>
      <c r="F124" s="1076" t="str">
        <f>'WK0 - Input data'!D58</f>
        <v>2018-19</v>
      </c>
      <c r="G124" s="1076" t="str">
        <f>'WK0 - Input data'!E58</f>
        <v>2019-20</v>
      </c>
      <c r="H124" s="1076" t="str">
        <f>'WK0 - Input data'!F58</f>
        <v>2020-21</v>
      </c>
      <c r="I124" s="1076" t="str">
        <f>'WK0 - Input data'!G58</f>
        <v>2021-22</v>
      </c>
      <c r="J124" s="1076" t="str">
        <f>'WK0 - Input data'!H58</f>
        <v>2022-23</v>
      </c>
      <c r="K124" s="1076" t="str">
        <f>'WK0 - Input data'!I58</f>
        <v>2023-24</v>
      </c>
      <c r="L124" s="1076" t="str">
        <f>'WK0 - Input data'!J58</f>
        <v>2024-25</v>
      </c>
      <c r="M124" s="1076" t="str">
        <f>'WK0 - Input data'!K58</f>
        <v>2025-26</v>
      </c>
      <c r="N124" s="1076" t="str">
        <f>'WK0 - Input data'!L58</f>
        <v>2026-27</v>
      </c>
      <c r="O124" s="1076" t="str">
        <f>'WK0 - Input data'!M58</f>
        <v>2027-28</v>
      </c>
      <c r="P124" s="1076" t="str">
        <f>'WK0 - Input data'!N58</f>
        <v>2028-29</v>
      </c>
      <c r="Q124" s="1076" t="str">
        <f>'WK0 - Input data'!O58</f>
        <v>2029-30</v>
      </c>
      <c r="R124" s="1076" t="str">
        <f>'WK0 - Input data'!P58</f>
        <v>2030-31</v>
      </c>
      <c r="S124" s="1076" t="str">
        <f>'WK0 - Input data'!Q58</f>
        <v>2031-32</v>
      </c>
      <c r="T124" s="1077" t="str">
        <f>'WK0 - Input data'!R58</f>
        <v>2032-33</v>
      </c>
      <c r="U124" s="1084"/>
      <c r="V124" s="1073"/>
      <c r="W124" s="1073"/>
      <c r="X124" s="1073"/>
      <c r="Y124" s="1073"/>
      <c r="Z124" s="112"/>
      <c r="AA124" s="112"/>
      <c r="AB124" s="112"/>
      <c r="AC124" s="3"/>
      <c r="AD124" s="3"/>
      <c r="AE124" s="3"/>
      <c r="AF124" s="3"/>
      <c r="AG124" s="3"/>
      <c r="AH124" s="3"/>
      <c r="AI124" s="3"/>
      <c r="AJ124" s="3"/>
      <c r="AK124" s="3"/>
      <c r="AL124" s="3"/>
      <c r="AM124" s="3"/>
      <c r="AN124" s="3"/>
      <c r="AO124" s="3"/>
      <c r="AP124" s="3"/>
      <c r="AQ124" s="3"/>
      <c r="AR124" s="3"/>
      <c r="AS124" s="3"/>
      <c r="AT124" s="3"/>
      <c r="AU124" s="3"/>
      <c r="AV124" s="3"/>
      <c r="AW124" s="3"/>
      <c r="AX124" s="3"/>
    </row>
    <row r="125" spans="1:50" ht="13.8" x14ac:dyDescent="0.25">
      <c r="A125" s="3"/>
      <c r="B125" s="1080"/>
      <c r="C125" s="253" t="s">
        <v>953</v>
      </c>
      <c r="D125" s="3"/>
      <c r="E125" s="1197"/>
      <c r="F125" s="1197"/>
      <c r="G125" s="1197"/>
      <c r="H125" s="1197"/>
      <c r="I125" s="1197"/>
      <c r="J125" s="1197"/>
      <c r="K125" s="1197"/>
      <c r="L125" s="1197"/>
      <c r="M125" s="1197"/>
      <c r="N125" s="1197"/>
      <c r="O125" s="1197"/>
      <c r="P125" s="1197"/>
      <c r="Q125" s="1197"/>
      <c r="R125" s="1197"/>
      <c r="S125" s="1197"/>
      <c r="T125" s="1197"/>
      <c r="U125" s="1085"/>
      <c r="Z125" s="3"/>
      <c r="AA125" s="3"/>
      <c r="AB125" s="3"/>
      <c r="AC125" s="3"/>
      <c r="AD125" s="3"/>
      <c r="AE125" s="3"/>
      <c r="AF125" s="3"/>
      <c r="AG125" s="3"/>
      <c r="AH125" s="3"/>
      <c r="AI125" s="3"/>
      <c r="AJ125" s="3"/>
      <c r="AK125" s="3"/>
      <c r="AL125" s="3"/>
      <c r="AM125" s="3"/>
      <c r="AN125" s="3"/>
      <c r="AO125" s="3"/>
      <c r="AP125" s="3"/>
      <c r="AQ125" s="3"/>
      <c r="AR125" s="3"/>
      <c r="AS125" s="3"/>
      <c r="AT125" s="3"/>
    </row>
    <row r="126" spans="1:50" ht="30.6" x14ac:dyDescent="0.2">
      <c r="A126" s="3"/>
      <c r="B126" s="1080"/>
      <c r="C126" s="1067" t="s">
        <v>954</v>
      </c>
      <c r="D126" s="529"/>
      <c r="E126" s="497">
        <v>1913524</v>
      </c>
      <c r="F126" s="497">
        <v>1937222</v>
      </c>
      <c r="G126" s="497">
        <v>1955398</v>
      </c>
      <c r="H126" s="497">
        <v>1973532</v>
      </c>
      <c r="I126" s="497">
        <v>2131480</v>
      </c>
      <c r="J126" s="497">
        <v>2180202.4340100004</v>
      </c>
      <c r="K126" s="497">
        <v>2227841.1594700003</v>
      </c>
      <c r="L126" s="497">
        <v>2318890.1454400001</v>
      </c>
      <c r="M126" s="497">
        <v>2346832.52483</v>
      </c>
      <c r="N126" s="497">
        <v>2424911.9589300002</v>
      </c>
      <c r="O126" s="497">
        <v>2461900.6409100005</v>
      </c>
      <c r="P126" s="497">
        <v>2507940.2850700002</v>
      </c>
      <c r="Q126" s="497">
        <v>2553736.1718299999</v>
      </c>
      <c r="R126" s="497">
        <v>2584765.0018699998</v>
      </c>
      <c r="S126" s="497">
        <v>2616662.5157300001</v>
      </c>
      <c r="T126" s="497">
        <v>2649396.2174399998</v>
      </c>
      <c r="U126" s="1081"/>
      <c r="X126" s="3"/>
      <c r="Y126" s="3"/>
      <c r="Z126" s="3"/>
      <c r="AA126" s="3"/>
      <c r="AB126" s="3"/>
      <c r="AC126" s="3"/>
      <c r="AD126" s="3"/>
      <c r="AE126" s="3"/>
      <c r="AF126" s="3"/>
      <c r="AG126" s="3"/>
      <c r="AH126" s="3"/>
      <c r="AI126" s="3"/>
      <c r="AJ126" s="3"/>
      <c r="AK126" s="3"/>
      <c r="AL126" s="3"/>
      <c r="AM126" s="3"/>
      <c r="AN126" s="3"/>
      <c r="AO126" s="3"/>
      <c r="AP126" s="3"/>
      <c r="AQ126" s="3"/>
      <c r="AR126" s="3"/>
      <c r="AS126" s="3"/>
      <c r="AT126" s="3"/>
    </row>
    <row r="127" spans="1:50" ht="30.6" x14ac:dyDescent="0.2">
      <c r="A127" s="3"/>
      <c r="B127" s="1080"/>
      <c r="C127" s="1067" t="s">
        <v>955</v>
      </c>
      <c r="D127" s="529"/>
      <c r="E127" s="497">
        <v>326755</v>
      </c>
      <c r="F127" s="497">
        <v>342481</v>
      </c>
      <c r="G127" s="497">
        <v>357733</v>
      </c>
      <c r="H127" s="497">
        <v>371343</v>
      </c>
      <c r="I127" s="497">
        <v>406844</v>
      </c>
      <c r="J127" s="497">
        <v>427607.55529000005</v>
      </c>
      <c r="K127" s="497">
        <v>449236.95084</v>
      </c>
      <c r="L127" s="497">
        <v>471768.29221000004</v>
      </c>
      <c r="M127" s="497">
        <v>495239.19050000008</v>
      </c>
      <c r="N127" s="497">
        <v>519688.82523000007</v>
      </c>
      <c r="O127" s="497">
        <v>545158.00973000005</v>
      </c>
      <c r="P127" s="497">
        <v>571689.25922999997</v>
      </c>
      <c r="Q127" s="497">
        <v>599326.86182000011</v>
      </c>
      <c r="R127" s="497">
        <v>628116.95243000006</v>
      </c>
      <c r="S127" s="497">
        <v>658107.58981000003</v>
      </c>
      <c r="T127" s="497">
        <v>689348.83676000009</v>
      </c>
      <c r="U127" s="1081"/>
      <c r="V127" s="1134"/>
      <c r="X127" s="3"/>
      <c r="Y127" s="3"/>
      <c r="Z127" s="3"/>
      <c r="AA127" s="3"/>
      <c r="AB127" s="3"/>
      <c r="AC127" s="3"/>
      <c r="AD127" s="3"/>
      <c r="AE127" s="3"/>
      <c r="AF127" s="3"/>
      <c r="AG127" s="3"/>
      <c r="AH127" s="3"/>
      <c r="AI127" s="3"/>
      <c r="AJ127" s="3"/>
      <c r="AK127" s="3"/>
      <c r="AL127" s="3"/>
      <c r="AM127" s="3"/>
      <c r="AN127" s="3"/>
      <c r="AO127" s="3"/>
      <c r="AP127" s="3"/>
      <c r="AQ127" s="3"/>
      <c r="AR127" s="3"/>
      <c r="AS127" s="3"/>
      <c r="AT127" s="3"/>
    </row>
    <row r="128" spans="1:50" ht="34.200000000000003" x14ac:dyDescent="0.2">
      <c r="A128" s="3"/>
      <c r="B128" s="1080"/>
      <c r="C128" s="1070" t="s">
        <v>956</v>
      </c>
      <c r="D128" s="1071"/>
      <c r="E128" s="1079">
        <f>E126-E127</f>
        <v>1586769</v>
      </c>
      <c r="F128" s="1079">
        <f t="shared" ref="F128:T128" si="16">F126-F127</f>
        <v>1594741</v>
      </c>
      <c r="G128" s="1079">
        <f t="shared" si="16"/>
        <v>1597665</v>
      </c>
      <c r="H128" s="1079">
        <f t="shared" si="16"/>
        <v>1602189</v>
      </c>
      <c r="I128" s="1079">
        <f t="shared" si="16"/>
        <v>1724636</v>
      </c>
      <c r="J128" s="1079">
        <f t="shared" si="16"/>
        <v>1752594.8787200004</v>
      </c>
      <c r="K128" s="1079">
        <f t="shared" si="16"/>
        <v>1778604.2086300002</v>
      </c>
      <c r="L128" s="1079">
        <f t="shared" si="16"/>
        <v>1847121.85323</v>
      </c>
      <c r="M128" s="1079">
        <f t="shared" si="16"/>
        <v>1851593.33433</v>
      </c>
      <c r="N128" s="1079">
        <f t="shared" si="16"/>
        <v>1905223.1337000001</v>
      </c>
      <c r="O128" s="1079">
        <f t="shared" si="16"/>
        <v>1916742.6311800005</v>
      </c>
      <c r="P128" s="1079">
        <f t="shared" si="16"/>
        <v>1936251.0258400002</v>
      </c>
      <c r="Q128" s="1079">
        <f t="shared" si="16"/>
        <v>1954409.3100099997</v>
      </c>
      <c r="R128" s="1079">
        <f t="shared" si="16"/>
        <v>1956648.0494399997</v>
      </c>
      <c r="S128" s="1079">
        <f t="shared" si="16"/>
        <v>1958554.9259200001</v>
      </c>
      <c r="T128" s="1079">
        <f t="shared" si="16"/>
        <v>1960047.3806799997</v>
      </c>
      <c r="U128" s="1081"/>
      <c r="V128" s="91"/>
      <c r="X128" s="3"/>
      <c r="Y128" s="3"/>
      <c r="Z128" s="3"/>
      <c r="AA128" s="3"/>
      <c r="AB128" s="3"/>
      <c r="AC128" s="3"/>
      <c r="AD128" s="3"/>
      <c r="AE128" s="3"/>
      <c r="AF128" s="3"/>
      <c r="AG128" s="3"/>
      <c r="AH128" s="3"/>
      <c r="AI128" s="3"/>
      <c r="AJ128" s="3"/>
      <c r="AK128" s="3"/>
      <c r="AL128" s="3"/>
      <c r="AM128" s="3"/>
      <c r="AN128" s="3"/>
      <c r="AO128" s="3"/>
      <c r="AP128" s="3"/>
      <c r="AQ128" s="3"/>
      <c r="AR128" s="3"/>
      <c r="AS128" s="3"/>
      <c r="AT128" s="3"/>
    </row>
    <row r="129" spans="1:46" x14ac:dyDescent="0.2">
      <c r="A129" s="3"/>
      <c r="B129" s="1080"/>
      <c r="C129" s="76" t="s">
        <v>957</v>
      </c>
      <c r="D129" s="3"/>
      <c r="E129" s="3"/>
      <c r="F129" s="3"/>
      <c r="G129" s="3"/>
      <c r="H129" s="3"/>
      <c r="I129" s="3"/>
      <c r="J129" s="3"/>
      <c r="K129" s="3"/>
      <c r="L129" s="3"/>
      <c r="M129" s="3"/>
      <c r="N129" s="3"/>
      <c r="O129" s="3"/>
      <c r="P129" s="3"/>
      <c r="Q129" s="3"/>
      <c r="R129" s="3"/>
      <c r="S129" s="3"/>
      <c r="T129" s="3"/>
      <c r="U129" s="1081"/>
      <c r="V129" s="1134"/>
      <c r="X129" s="3"/>
      <c r="Y129" s="3"/>
      <c r="Z129" s="3"/>
      <c r="AA129" s="3"/>
      <c r="AB129" s="3"/>
      <c r="AC129" s="3"/>
      <c r="AD129" s="3"/>
      <c r="AE129" s="3"/>
      <c r="AF129" s="3"/>
      <c r="AG129" s="3"/>
      <c r="AH129" s="3"/>
      <c r="AI129" s="3"/>
      <c r="AJ129" s="3"/>
      <c r="AK129" s="3"/>
      <c r="AL129" s="3"/>
      <c r="AM129" s="3"/>
      <c r="AN129" s="3"/>
      <c r="AO129" s="3"/>
      <c r="AP129" s="3"/>
      <c r="AQ129" s="3"/>
      <c r="AR129" s="3"/>
      <c r="AS129" s="3"/>
      <c r="AT129" s="3"/>
    </row>
    <row r="130" spans="1:46" x14ac:dyDescent="0.2">
      <c r="A130" s="3"/>
      <c r="B130" s="1080"/>
      <c r="C130" s="3"/>
      <c r="D130" s="3"/>
      <c r="E130" s="3"/>
      <c r="F130" s="3"/>
      <c r="G130" s="3"/>
      <c r="H130" s="3"/>
      <c r="I130" s="3"/>
      <c r="J130" s="3"/>
      <c r="K130" s="3"/>
      <c r="L130" s="3"/>
      <c r="M130" s="3"/>
      <c r="N130" s="3"/>
      <c r="O130" s="3"/>
      <c r="P130" s="3"/>
      <c r="Q130" s="3"/>
      <c r="R130" s="3"/>
      <c r="S130" s="3"/>
      <c r="T130" s="3"/>
      <c r="U130" s="1081"/>
      <c r="X130" s="3"/>
      <c r="Y130" s="3"/>
      <c r="Z130" s="3"/>
      <c r="AA130" s="3"/>
      <c r="AB130" s="3"/>
      <c r="AC130" s="3"/>
      <c r="AD130" s="3"/>
      <c r="AE130" s="3"/>
      <c r="AF130" s="3"/>
      <c r="AG130" s="3"/>
      <c r="AH130" s="3"/>
      <c r="AI130" s="3"/>
      <c r="AJ130" s="3"/>
      <c r="AK130" s="3"/>
      <c r="AL130" s="3"/>
      <c r="AM130" s="3"/>
      <c r="AN130" s="3"/>
      <c r="AO130" s="3"/>
      <c r="AP130" s="3"/>
      <c r="AQ130" s="3"/>
      <c r="AR130" s="3"/>
      <c r="AS130" s="3"/>
      <c r="AT130" s="3"/>
    </row>
    <row r="131" spans="1:46" x14ac:dyDescent="0.2">
      <c r="A131" s="3"/>
      <c r="B131" s="1080"/>
      <c r="C131" s="3"/>
      <c r="D131" s="3"/>
      <c r="E131" s="3"/>
      <c r="F131" s="3"/>
      <c r="G131" s="3"/>
      <c r="H131" s="3"/>
      <c r="I131" s="3"/>
      <c r="J131" s="3"/>
      <c r="K131" s="3"/>
      <c r="L131" s="3"/>
      <c r="M131" s="3"/>
      <c r="N131" s="3"/>
      <c r="O131" s="3"/>
      <c r="P131" s="3"/>
      <c r="Q131" s="3"/>
      <c r="R131" s="3"/>
      <c r="S131" s="3"/>
      <c r="T131" s="3"/>
      <c r="U131" s="1081"/>
      <c r="X131" s="3"/>
      <c r="Y131" s="3"/>
      <c r="Z131" s="3"/>
      <c r="AA131" s="3"/>
      <c r="AB131" s="3"/>
      <c r="AC131" s="3"/>
      <c r="AD131" s="3"/>
      <c r="AE131" s="3"/>
      <c r="AF131" s="3"/>
      <c r="AG131" s="3"/>
      <c r="AH131" s="3"/>
      <c r="AI131" s="3"/>
      <c r="AJ131" s="3"/>
      <c r="AK131" s="3"/>
      <c r="AL131" s="3"/>
      <c r="AM131" s="3"/>
      <c r="AN131" s="3"/>
      <c r="AO131" s="3"/>
      <c r="AP131" s="3"/>
      <c r="AQ131" s="3"/>
      <c r="AR131" s="3"/>
      <c r="AS131" s="3"/>
      <c r="AT131" s="3"/>
    </row>
    <row r="132" spans="1:46" ht="15.6" x14ac:dyDescent="0.25">
      <c r="A132" s="3"/>
      <c r="B132" s="1080"/>
      <c r="C132" s="1252" t="s">
        <v>958</v>
      </c>
      <c r="D132" s="1064"/>
      <c r="E132" s="1064"/>
      <c r="F132" s="1065"/>
      <c r="G132" s="848"/>
      <c r="H132" s="848"/>
      <c r="I132" s="848"/>
      <c r="J132" s="848" t="str">
        <f>I75</f>
        <v>$'000 nominal</v>
      </c>
      <c r="K132" s="848"/>
      <c r="L132" s="848"/>
      <c r="M132" s="1066"/>
      <c r="N132" s="848"/>
      <c r="O132" s="848"/>
      <c r="P132" s="848"/>
      <c r="Q132" s="848"/>
      <c r="R132" s="848"/>
      <c r="S132" s="848"/>
      <c r="T132" s="849"/>
      <c r="U132" s="1082"/>
      <c r="V132" s="1135"/>
      <c r="W132" s="1072"/>
      <c r="X132" s="1072"/>
      <c r="Y132" s="1072"/>
      <c r="Z132" s="1072"/>
      <c r="AA132" s="1072"/>
      <c r="AB132" s="1072"/>
      <c r="AM132" s="3"/>
      <c r="AN132" s="3"/>
      <c r="AO132" s="3"/>
      <c r="AP132" s="3"/>
      <c r="AQ132" s="3"/>
      <c r="AR132" s="3"/>
      <c r="AS132" s="3"/>
      <c r="AT132" s="3"/>
    </row>
    <row r="133" spans="1:46" ht="12" x14ac:dyDescent="0.25">
      <c r="A133" s="3"/>
      <c r="B133" s="1080"/>
      <c r="C133" s="748" t="s">
        <v>941</v>
      </c>
      <c r="D133" s="738" t="s">
        <v>959</v>
      </c>
      <c r="E133" s="738"/>
      <c r="F133" s="738"/>
      <c r="G133" s="79"/>
      <c r="H133" s="738"/>
      <c r="I133" s="776"/>
      <c r="J133" s="776"/>
      <c r="K133" s="776"/>
      <c r="L133" s="776"/>
      <c r="M133" s="776"/>
      <c r="N133" s="776"/>
      <c r="O133" s="776"/>
      <c r="P133" s="776"/>
      <c r="Q133" s="776"/>
      <c r="R133" s="776"/>
      <c r="S133" s="776"/>
      <c r="T133" s="1069"/>
      <c r="U133" s="1083"/>
      <c r="V133" s="1135"/>
      <c r="W133" s="75"/>
      <c r="X133" s="75"/>
      <c r="Y133" s="75"/>
      <c r="Z133" s="75"/>
      <c r="AA133" s="75"/>
      <c r="AB133" s="75"/>
      <c r="AM133" s="3"/>
      <c r="AN133" s="3"/>
      <c r="AO133" s="3"/>
      <c r="AP133" s="3"/>
      <c r="AQ133" s="3"/>
      <c r="AR133" s="3"/>
      <c r="AS133" s="3"/>
      <c r="AT133" s="3"/>
    </row>
    <row r="134" spans="1:46" ht="12" x14ac:dyDescent="0.25">
      <c r="A134" s="3"/>
      <c r="B134" s="1080"/>
      <c r="C134" s="492"/>
      <c r="D134" s="493"/>
      <c r="E134" s="560" t="s">
        <v>943</v>
      </c>
      <c r="F134" s="560" t="s">
        <v>943</v>
      </c>
      <c r="G134" s="560" t="s">
        <v>943</v>
      </c>
      <c r="H134" s="560" t="s">
        <v>943</v>
      </c>
      <c r="I134" s="560" t="s">
        <v>943</v>
      </c>
      <c r="J134" s="560" t="s">
        <v>944</v>
      </c>
      <c r="K134" s="560" t="s">
        <v>944</v>
      </c>
      <c r="L134" s="560" t="s">
        <v>944</v>
      </c>
      <c r="M134" s="560" t="s">
        <v>944</v>
      </c>
      <c r="N134" s="560" t="s">
        <v>944</v>
      </c>
      <c r="O134" s="560" t="str">
        <f>N134</f>
        <v>Forecast</v>
      </c>
      <c r="P134" s="560" t="str">
        <f t="shared" ref="P134" si="17">O134</f>
        <v>Forecast</v>
      </c>
      <c r="Q134" s="560" t="str">
        <f t="shared" ref="Q134" si="18">P134</f>
        <v>Forecast</v>
      </c>
      <c r="R134" s="560" t="str">
        <f t="shared" ref="R134" si="19">Q134</f>
        <v>Forecast</v>
      </c>
      <c r="S134" s="560" t="str">
        <f t="shared" ref="S134" si="20">R134</f>
        <v>Forecast</v>
      </c>
      <c r="T134" s="850" t="str">
        <f t="shared" ref="T134" si="21">S134</f>
        <v>Forecast</v>
      </c>
      <c r="U134" s="1086"/>
      <c r="V134" s="9"/>
      <c r="W134" s="1073"/>
      <c r="X134" s="1073"/>
      <c r="Y134" s="1073"/>
      <c r="Z134" s="1073"/>
      <c r="AA134" s="1073"/>
      <c r="AB134" s="1073"/>
      <c r="AM134" s="3"/>
      <c r="AN134" s="3"/>
      <c r="AO134" s="3"/>
      <c r="AP134" s="3"/>
      <c r="AQ134" s="3"/>
      <c r="AR134" s="3"/>
      <c r="AS134" s="3"/>
      <c r="AT134" s="3"/>
    </row>
    <row r="135" spans="1:46" ht="12" x14ac:dyDescent="0.2">
      <c r="A135" s="3"/>
      <c r="B135" s="1080"/>
      <c r="C135" s="135"/>
      <c r="D135" s="3"/>
      <c r="E135" s="1075" t="str">
        <f>'WK0 - Input data'!C58</f>
        <v>2017-18</v>
      </c>
      <c r="F135" s="1076" t="str">
        <f>'WK0 - Input data'!D58</f>
        <v>2018-19</v>
      </c>
      <c r="G135" s="1076" t="str">
        <f>'WK0 - Input data'!E58</f>
        <v>2019-20</v>
      </c>
      <c r="H135" s="1076" t="str">
        <f>'WK0 - Input data'!F58</f>
        <v>2020-21</v>
      </c>
      <c r="I135" s="1076" t="str">
        <f>'WK0 - Input data'!G58</f>
        <v>2021-22</v>
      </c>
      <c r="J135" s="1076" t="str">
        <f>'WK0 - Input data'!H58</f>
        <v>2022-23</v>
      </c>
      <c r="K135" s="1076" t="str">
        <f>'WK0 - Input data'!I58</f>
        <v>2023-24</v>
      </c>
      <c r="L135" s="1076" t="str">
        <f>'WK0 - Input data'!J58</f>
        <v>2024-25</v>
      </c>
      <c r="M135" s="1076" t="str">
        <f>'WK0 - Input data'!K58</f>
        <v>2025-26</v>
      </c>
      <c r="N135" s="1076" t="str">
        <f>'WK0 - Input data'!L58</f>
        <v>2026-27</v>
      </c>
      <c r="O135" s="1076" t="str">
        <f>'WK0 - Input data'!M58</f>
        <v>2027-28</v>
      </c>
      <c r="P135" s="1076" t="str">
        <f>'WK0 - Input data'!N58</f>
        <v>2028-29</v>
      </c>
      <c r="Q135" s="1076" t="str">
        <f>'WK0 - Input data'!O58</f>
        <v>2029-30</v>
      </c>
      <c r="R135" s="1076" t="str">
        <f>'WK0 - Input data'!P58</f>
        <v>2030-31</v>
      </c>
      <c r="S135" s="1076" t="str">
        <f>'WK0 - Input data'!Q58</f>
        <v>2031-32</v>
      </c>
      <c r="T135" s="1077" t="str">
        <f>'WK0 - Input data'!R58</f>
        <v>2032-33</v>
      </c>
      <c r="U135" s="1085"/>
      <c r="V135" s="9"/>
      <c r="AM135" s="3"/>
      <c r="AN135" s="3"/>
      <c r="AO135" s="3"/>
      <c r="AP135" s="3"/>
      <c r="AQ135" s="3"/>
      <c r="AR135" s="3"/>
      <c r="AS135" s="3"/>
      <c r="AT135" s="3"/>
    </row>
    <row r="136" spans="1:46" ht="13.8" x14ac:dyDescent="0.25">
      <c r="A136" s="3"/>
      <c r="B136" s="1080"/>
      <c r="C136" s="253" t="s">
        <v>953</v>
      </c>
      <c r="D136" s="3"/>
      <c r="E136" s="1197"/>
      <c r="F136" s="1197"/>
      <c r="G136" s="1197"/>
      <c r="H136" s="1197"/>
      <c r="I136" s="1197"/>
      <c r="J136" s="1197"/>
      <c r="K136" s="1197"/>
      <c r="L136" s="1197"/>
      <c r="M136" s="1197"/>
      <c r="N136" s="1197"/>
      <c r="O136" s="1197"/>
      <c r="P136" s="1197"/>
      <c r="Q136" s="1197"/>
      <c r="R136" s="1197"/>
      <c r="S136" s="1197"/>
      <c r="T136" s="1197"/>
      <c r="U136" s="1085"/>
      <c r="AM136" s="3"/>
      <c r="AN136" s="3"/>
      <c r="AO136" s="3"/>
      <c r="AP136" s="3"/>
      <c r="AQ136" s="3"/>
      <c r="AR136" s="3"/>
      <c r="AS136" s="3"/>
      <c r="AT136" s="3"/>
    </row>
    <row r="137" spans="1:46" ht="30.6" x14ac:dyDescent="0.2">
      <c r="A137" s="3"/>
      <c r="B137" s="1080"/>
      <c r="C137" s="1067" t="s">
        <v>954</v>
      </c>
      <c r="D137" s="529"/>
      <c r="E137" s="1139">
        <f>E126</f>
        <v>1913524</v>
      </c>
      <c r="F137" s="1139">
        <f t="shared" ref="F137:H138" si="22">F126</f>
        <v>1937222</v>
      </c>
      <c r="G137" s="1139">
        <f t="shared" si="22"/>
        <v>1955398</v>
      </c>
      <c r="H137" s="1139">
        <f t="shared" si="22"/>
        <v>1973532</v>
      </c>
      <c r="I137" s="1139">
        <f>I126</f>
        <v>2131480</v>
      </c>
      <c r="J137" s="497">
        <v>2180202.4340100004</v>
      </c>
      <c r="K137" s="497">
        <v>2232659.4594700001</v>
      </c>
      <c r="L137" s="497">
        <v>2328539.7454400002</v>
      </c>
      <c r="M137" s="497">
        <v>2361327.0748299998</v>
      </c>
      <c r="N137" s="497">
        <v>2444265.7914300002</v>
      </c>
      <c r="O137" s="497">
        <v>2486128.8050400005</v>
      </c>
      <c r="P137" s="497">
        <v>2537058.5824100003</v>
      </c>
      <c r="Q137" s="497">
        <v>2587761.19404</v>
      </c>
      <c r="R137" s="497">
        <v>2623714.17019</v>
      </c>
      <c r="S137" s="497">
        <v>2660554.1224699998</v>
      </c>
      <c r="T137" s="497">
        <v>2698249.4695199993</v>
      </c>
      <c r="U137" s="1085"/>
      <c r="AM137" s="3"/>
      <c r="AN137" s="3"/>
      <c r="AO137" s="3"/>
      <c r="AP137" s="3"/>
      <c r="AQ137" s="3"/>
      <c r="AR137" s="3"/>
      <c r="AS137" s="3"/>
      <c r="AT137" s="3"/>
    </row>
    <row r="138" spans="1:46" ht="30.6" x14ac:dyDescent="0.2">
      <c r="A138" s="3"/>
      <c r="B138" s="1080"/>
      <c r="C138" s="1067" t="s">
        <v>955</v>
      </c>
      <c r="D138" s="529"/>
      <c r="E138" s="1139">
        <f>E127</f>
        <v>326755</v>
      </c>
      <c r="F138" s="1139">
        <f t="shared" si="22"/>
        <v>342481</v>
      </c>
      <c r="G138" s="1139">
        <f t="shared" si="22"/>
        <v>357733</v>
      </c>
      <c r="H138" s="1139">
        <f t="shared" si="22"/>
        <v>371343</v>
      </c>
      <c r="I138" s="1139">
        <f>I127</f>
        <v>406844</v>
      </c>
      <c r="J138" s="497">
        <v>427607.55529000005</v>
      </c>
      <c r="K138" s="497">
        <v>449236.95084</v>
      </c>
      <c r="L138" s="497">
        <v>471768.29221000004</v>
      </c>
      <c r="M138" s="497">
        <v>495239.19050000008</v>
      </c>
      <c r="N138" s="497">
        <v>519688.82523000007</v>
      </c>
      <c r="O138" s="497">
        <v>545158.00973000005</v>
      </c>
      <c r="P138" s="497">
        <v>571689.25922999997</v>
      </c>
      <c r="Q138" s="497">
        <v>599326.86182000011</v>
      </c>
      <c r="R138" s="497">
        <v>628116.95243000006</v>
      </c>
      <c r="S138" s="497">
        <v>658107.58981000003</v>
      </c>
      <c r="T138" s="497">
        <v>689348.83676000009</v>
      </c>
      <c r="U138" s="1085"/>
      <c r="AM138" s="3"/>
      <c r="AN138" s="3"/>
      <c r="AO138" s="3"/>
      <c r="AP138" s="3"/>
      <c r="AQ138" s="3"/>
      <c r="AR138" s="3"/>
      <c r="AS138" s="3"/>
      <c r="AT138" s="3"/>
    </row>
    <row r="139" spans="1:46" ht="34.200000000000003" x14ac:dyDescent="0.2">
      <c r="A139" s="3"/>
      <c r="B139" s="1080"/>
      <c r="C139" s="1070" t="s">
        <v>956</v>
      </c>
      <c r="D139" s="1071"/>
      <c r="E139" s="1079">
        <f>E128</f>
        <v>1586769</v>
      </c>
      <c r="F139" s="1079">
        <f t="shared" ref="F139:I139" si="23">F128</f>
        <v>1594741</v>
      </c>
      <c r="G139" s="1079">
        <f t="shared" si="23"/>
        <v>1597665</v>
      </c>
      <c r="H139" s="1079">
        <f t="shared" si="23"/>
        <v>1602189</v>
      </c>
      <c r="I139" s="1079">
        <f t="shared" si="23"/>
        <v>1724636</v>
      </c>
      <c r="J139" s="1079">
        <f t="shared" ref="J139:T139" si="24">J137-J138</f>
        <v>1752594.8787200004</v>
      </c>
      <c r="K139" s="1079">
        <f t="shared" si="24"/>
        <v>1783422.5086300001</v>
      </c>
      <c r="L139" s="1079">
        <f t="shared" si="24"/>
        <v>1856771.4532300001</v>
      </c>
      <c r="M139" s="1079">
        <f t="shared" si="24"/>
        <v>1866087.8843299998</v>
      </c>
      <c r="N139" s="1079">
        <f t="shared" si="24"/>
        <v>1924576.9662000001</v>
      </c>
      <c r="O139" s="1079">
        <f t="shared" si="24"/>
        <v>1940970.7953100004</v>
      </c>
      <c r="P139" s="1079">
        <f t="shared" si="24"/>
        <v>1965369.3231800003</v>
      </c>
      <c r="Q139" s="1079">
        <f t="shared" si="24"/>
        <v>1988434.3322199997</v>
      </c>
      <c r="R139" s="1079">
        <f t="shared" si="24"/>
        <v>1995597.2177599999</v>
      </c>
      <c r="S139" s="1079">
        <f t="shared" si="24"/>
        <v>2002446.5326599998</v>
      </c>
      <c r="T139" s="1079">
        <f t="shared" si="24"/>
        <v>2008900.6327599993</v>
      </c>
      <c r="U139" s="1081"/>
      <c r="X139" s="3"/>
      <c r="Y139" s="3"/>
      <c r="Z139" s="3"/>
      <c r="AA139" s="3"/>
      <c r="AB139" s="3"/>
      <c r="AC139" s="3"/>
      <c r="AD139" s="3"/>
      <c r="AE139" s="3"/>
      <c r="AF139" s="3"/>
      <c r="AG139" s="3"/>
      <c r="AH139" s="3"/>
      <c r="AI139" s="3"/>
      <c r="AJ139" s="3"/>
      <c r="AK139" s="3"/>
      <c r="AL139" s="3"/>
      <c r="AM139" s="3"/>
      <c r="AN139" s="3"/>
      <c r="AO139" s="3"/>
      <c r="AP139" s="3"/>
    </row>
    <row r="140" spans="1:46" x14ac:dyDescent="0.2">
      <c r="A140" s="3"/>
      <c r="B140" s="1080"/>
      <c r="C140" s="76" t="s">
        <v>957</v>
      </c>
      <c r="D140" s="3"/>
      <c r="E140" s="3"/>
      <c r="F140" s="3"/>
      <c r="G140" s="3"/>
      <c r="H140" s="3"/>
      <c r="I140" s="3"/>
      <c r="J140" s="3"/>
      <c r="K140" s="3"/>
      <c r="L140" s="3"/>
      <c r="M140" s="3"/>
      <c r="N140" s="3"/>
      <c r="O140" s="3"/>
      <c r="P140" s="3"/>
      <c r="Q140" s="3"/>
      <c r="R140" s="3"/>
      <c r="S140" s="3"/>
      <c r="T140" s="3"/>
      <c r="U140" s="1081"/>
      <c r="X140" s="3"/>
      <c r="Y140" s="3"/>
      <c r="Z140" s="3"/>
      <c r="AA140" s="3"/>
      <c r="AB140" s="3"/>
      <c r="AC140" s="3"/>
      <c r="AD140" s="3"/>
      <c r="AE140" s="3"/>
      <c r="AF140" s="3"/>
      <c r="AG140" s="3"/>
      <c r="AH140" s="3"/>
      <c r="AI140" s="3"/>
      <c r="AJ140" s="3"/>
      <c r="AK140" s="3"/>
      <c r="AL140" s="3"/>
      <c r="AM140" s="3"/>
      <c r="AN140" s="3"/>
      <c r="AO140" s="3"/>
      <c r="AP140" s="3"/>
    </row>
    <row r="141" spans="1:46" x14ac:dyDescent="0.2">
      <c r="A141" s="3"/>
      <c r="B141" s="1080"/>
      <c r="C141" s="76" t="s">
        <v>960</v>
      </c>
      <c r="D141" s="3"/>
      <c r="E141" s="3"/>
      <c r="F141" s="3"/>
      <c r="G141" s="3"/>
      <c r="H141" s="3"/>
      <c r="I141" s="3"/>
      <c r="J141" s="3"/>
      <c r="K141" s="3"/>
      <c r="L141" s="3"/>
      <c r="M141" s="3"/>
      <c r="N141" s="3"/>
      <c r="O141" s="3"/>
      <c r="P141" s="3"/>
      <c r="Q141" s="3"/>
      <c r="R141" s="3"/>
      <c r="S141" s="3"/>
      <c r="T141" s="3"/>
      <c r="U141" s="1081"/>
      <c r="X141" s="3"/>
      <c r="Y141" s="3"/>
      <c r="Z141" s="3"/>
      <c r="AA141" s="3"/>
      <c r="AB141" s="3"/>
      <c r="AC141" s="3"/>
      <c r="AD141" s="3"/>
      <c r="AE141" s="3"/>
      <c r="AF141" s="3"/>
      <c r="AG141" s="3"/>
      <c r="AH141" s="3"/>
      <c r="AI141" s="3"/>
      <c r="AJ141" s="3"/>
      <c r="AK141" s="3"/>
      <c r="AL141" s="3"/>
      <c r="AM141" s="3"/>
      <c r="AN141" s="3"/>
      <c r="AO141" s="3"/>
      <c r="AP141" s="3"/>
    </row>
    <row r="142" spans="1:46" x14ac:dyDescent="0.2">
      <c r="A142" s="3"/>
      <c r="B142" s="1080"/>
      <c r="C142" s="3"/>
      <c r="D142" s="3"/>
      <c r="E142" s="3"/>
      <c r="F142" s="3"/>
      <c r="G142" s="3"/>
      <c r="H142" s="3"/>
      <c r="I142" s="3"/>
      <c r="J142" s="3"/>
      <c r="K142" s="3"/>
      <c r="L142" s="3"/>
      <c r="M142" s="3"/>
      <c r="N142" s="3"/>
      <c r="O142" s="3"/>
      <c r="P142" s="3"/>
      <c r="Q142" s="3"/>
      <c r="R142" s="3"/>
      <c r="S142" s="3"/>
      <c r="T142" s="3"/>
      <c r="U142" s="1081"/>
      <c r="X142" s="3"/>
      <c r="Y142" s="3"/>
      <c r="Z142" s="3"/>
      <c r="AA142" s="3"/>
      <c r="AB142" s="3"/>
      <c r="AC142" s="3"/>
      <c r="AD142" s="3"/>
      <c r="AE142" s="3"/>
      <c r="AF142" s="3"/>
      <c r="AG142" s="3"/>
      <c r="AH142" s="3"/>
      <c r="AI142" s="3"/>
      <c r="AJ142" s="3"/>
      <c r="AK142" s="3"/>
      <c r="AL142" s="3"/>
      <c r="AM142" s="3"/>
      <c r="AN142" s="3"/>
      <c r="AO142" s="3"/>
      <c r="AP142" s="3"/>
    </row>
    <row r="143" spans="1:46" ht="16.2" x14ac:dyDescent="0.25">
      <c r="A143" s="3"/>
      <c r="B143" s="1080"/>
      <c r="C143" s="1246" t="s">
        <v>961</v>
      </c>
      <c r="D143" s="1064"/>
      <c r="E143" s="1064"/>
      <c r="F143" s="1065"/>
      <c r="G143" s="848"/>
      <c r="H143" s="1065"/>
      <c r="I143" s="848"/>
      <c r="J143" s="848"/>
      <c r="K143" s="848"/>
      <c r="L143" s="848"/>
      <c r="M143" s="1064"/>
      <c r="N143" s="1064"/>
      <c r="O143" s="1064"/>
      <c r="P143" s="1064"/>
      <c r="Q143" s="1064"/>
      <c r="R143" s="1064"/>
      <c r="S143" s="1064"/>
      <c r="T143" s="1074"/>
      <c r="U143" s="1081"/>
      <c r="V143" s="26"/>
      <c r="X143" s="3"/>
      <c r="Y143" s="3"/>
      <c r="Z143" s="3"/>
      <c r="AA143" s="3"/>
      <c r="AB143" s="3"/>
      <c r="AC143" s="3"/>
      <c r="AD143" s="3"/>
      <c r="AE143" s="3"/>
      <c r="AF143" s="3"/>
      <c r="AG143" s="3"/>
      <c r="AH143" s="3"/>
      <c r="AI143" s="3"/>
      <c r="AJ143" s="3"/>
      <c r="AK143" s="3"/>
      <c r="AL143" s="3"/>
      <c r="AM143" s="3"/>
      <c r="AN143" s="3"/>
      <c r="AO143" s="3"/>
      <c r="AP143" s="3"/>
    </row>
    <row r="144" spans="1:46" ht="12" x14ac:dyDescent="0.25">
      <c r="A144" s="3"/>
      <c r="B144" s="1080"/>
      <c r="C144" s="748" t="s">
        <v>941</v>
      </c>
      <c r="D144" s="738" t="s">
        <v>962</v>
      </c>
      <c r="E144" s="738"/>
      <c r="F144" s="738"/>
      <c r="G144" s="79"/>
      <c r="H144" s="738"/>
      <c r="I144" s="777" t="str">
        <f>I75</f>
        <v>$'000 nominal</v>
      </c>
      <c r="J144" s="777"/>
      <c r="K144" s="776"/>
      <c r="L144" s="776"/>
      <c r="M144" s="776"/>
      <c r="N144" s="776"/>
      <c r="O144" s="776"/>
      <c r="P144" s="776"/>
      <c r="Q144" s="776"/>
      <c r="R144" s="776"/>
      <c r="S144" s="776"/>
      <c r="T144" s="1069"/>
      <c r="U144" s="1081"/>
      <c r="X144" s="3"/>
      <c r="Y144" s="3"/>
      <c r="Z144" s="3"/>
      <c r="AA144" s="3"/>
      <c r="AB144" s="3"/>
      <c r="AC144" s="3"/>
      <c r="AD144" s="3"/>
      <c r="AE144" s="3"/>
      <c r="AF144" s="3"/>
      <c r="AG144" s="3"/>
      <c r="AH144" s="3"/>
      <c r="AI144" s="3"/>
      <c r="AJ144" s="3"/>
      <c r="AK144" s="3"/>
      <c r="AL144" s="3"/>
      <c r="AM144" s="3"/>
      <c r="AN144" s="3"/>
      <c r="AO144" s="3"/>
      <c r="AP144" s="3"/>
    </row>
    <row r="145" spans="1:42" ht="12" x14ac:dyDescent="0.25">
      <c r="A145" s="3"/>
      <c r="B145" s="1080"/>
      <c r="C145" s="748"/>
      <c r="D145" s="738"/>
      <c r="E145" s="776" t="s">
        <v>943</v>
      </c>
      <c r="F145" s="776" t="s">
        <v>943</v>
      </c>
      <c r="G145" s="776" t="s">
        <v>943</v>
      </c>
      <c r="H145" s="776" t="s">
        <v>943</v>
      </c>
      <c r="I145" s="776" t="s">
        <v>943</v>
      </c>
      <c r="J145" s="560" t="s">
        <v>944</v>
      </c>
      <c r="K145" s="560" t="s">
        <v>944</v>
      </c>
      <c r="L145" s="560" t="s">
        <v>944</v>
      </c>
      <c r="M145" s="560" t="s">
        <v>944</v>
      </c>
      <c r="N145" s="776" t="s">
        <v>944</v>
      </c>
      <c r="O145" s="776" t="str">
        <f>N145</f>
        <v>Forecast</v>
      </c>
      <c r="P145" s="776" t="str">
        <f t="shared" ref="P145" si="25">O145</f>
        <v>Forecast</v>
      </c>
      <c r="Q145" s="776" t="str">
        <f t="shared" ref="Q145" si="26">P145</f>
        <v>Forecast</v>
      </c>
      <c r="R145" s="776" t="str">
        <f t="shared" ref="R145" si="27">Q145</f>
        <v>Forecast</v>
      </c>
      <c r="S145" s="776" t="str">
        <f t="shared" ref="S145" si="28">R145</f>
        <v>Forecast</v>
      </c>
      <c r="T145" s="1069" t="str">
        <f t="shared" ref="T145" si="29">S145</f>
        <v>Forecast</v>
      </c>
      <c r="U145" s="1081"/>
      <c r="X145" s="3"/>
      <c r="Y145" s="3"/>
      <c r="Z145" s="3"/>
      <c r="AA145" s="3"/>
      <c r="AB145" s="3"/>
      <c r="AC145" s="3"/>
      <c r="AD145" s="3"/>
      <c r="AE145" s="3"/>
      <c r="AF145" s="3"/>
      <c r="AG145" s="3"/>
      <c r="AH145" s="3"/>
      <c r="AI145" s="3"/>
      <c r="AJ145" s="3"/>
      <c r="AK145" s="3"/>
      <c r="AL145" s="3"/>
      <c r="AM145" s="3"/>
      <c r="AN145" s="3"/>
      <c r="AO145" s="3"/>
      <c r="AP145" s="3"/>
    </row>
    <row r="146" spans="1:42" ht="12" x14ac:dyDescent="0.25">
      <c r="A146" s="3"/>
      <c r="B146" s="1080"/>
      <c r="C146" s="1199"/>
      <c r="D146" s="815"/>
      <c r="E146" s="845" t="str">
        <f>'WK0 - Input data'!C58</f>
        <v>2017-18</v>
      </c>
      <c r="F146" s="846" t="str">
        <f>'WK0 - Input data'!D58</f>
        <v>2018-19</v>
      </c>
      <c r="G146" s="846" t="str">
        <f>'WK0 - Input data'!E58</f>
        <v>2019-20</v>
      </c>
      <c r="H146" s="846" t="str">
        <f>'WK0 - Input data'!F58</f>
        <v>2020-21</v>
      </c>
      <c r="I146" s="846" t="str">
        <f>'WK0 - Input data'!G58</f>
        <v>2021-22</v>
      </c>
      <c r="J146" s="846" t="str">
        <f>'WK0 - Input data'!H58</f>
        <v>2022-23</v>
      </c>
      <c r="K146" s="846" t="str">
        <f>'WK0 - Input data'!I58</f>
        <v>2023-24</v>
      </c>
      <c r="L146" s="846" t="str">
        <f>'WK0 - Input data'!J58</f>
        <v>2024-25</v>
      </c>
      <c r="M146" s="846" t="str">
        <f>'WK0 - Input data'!K58</f>
        <v>2025-26</v>
      </c>
      <c r="N146" s="846" t="str">
        <f>'WK0 - Input data'!L58</f>
        <v>2026-27</v>
      </c>
      <c r="O146" s="846" t="str">
        <f>'WK0 - Input data'!M58</f>
        <v>2027-28</v>
      </c>
      <c r="P146" s="846" t="str">
        <f>'WK0 - Input data'!N58</f>
        <v>2028-29</v>
      </c>
      <c r="Q146" s="846" t="str">
        <f>'WK0 - Input data'!O58</f>
        <v>2029-30</v>
      </c>
      <c r="R146" s="846" t="str">
        <f>'WK0 - Input data'!P58</f>
        <v>2030-31</v>
      </c>
      <c r="S146" s="846" t="str">
        <f>'WK0 - Input data'!Q58</f>
        <v>2031-32</v>
      </c>
      <c r="T146" s="847" t="str">
        <f>'WK0 - Input data'!R58</f>
        <v>2032-33</v>
      </c>
      <c r="U146" s="1081"/>
      <c r="X146" s="3"/>
      <c r="Y146" s="3"/>
      <c r="Z146" s="3"/>
      <c r="AA146" s="3"/>
      <c r="AB146" s="3"/>
      <c r="AC146" s="3"/>
      <c r="AD146" s="3"/>
      <c r="AE146" s="3"/>
      <c r="AF146" s="3"/>
      <c r="AG146" s="3"/>
      <c r="AH146" s="3"/>
      <c r="AI146" s="3"/>
      <c r="AJ146" s="3"/>
      <c r="AK146" s="3"/>
      <c r="AL146" s="3"/>
      <c r="AM146" s="3"/>
      <c r="AN146" s="3"/>
      <c r="AO146" s="3"/>
      <c r="AP146" s="3"/>
    </row>
    <row r="147" spans="1:42" ht="45.6" x14ac:dyDescent="0.2">
      <c r="A147" s="3"/>
      <c r="B147" s="1080"/>
      <c r="C147" s="1140" t="s">
        <v>963</v>
      </c>
      <c r="D147" s="3"/>
      <c r="E147" s="497">
        <v>122828</v>
      </c>
      <c r="F147" s="497">
        <v>30399</v>
      </c>
      <c r="G147" s="497">
        <v>37525</v>
      </c>
      <c r="H147" s="497">
        <v>41134</v>
      </c>
      <c r="I147" s="497">
        <v>52970</v>
      </c>
      <c r="J147" s="497">
        <v>27160.904705056386</v>
      </c>
      <c r="K147" s="497">
        <v>32956.247026512829</v>
      </c>
      <c r="L147" s="497">
        <v>34829.933756138758</v>
      </c>
      <c r="M147" s="497">
        <v>33029.608143270976</v>
      </c>
      <c r="N147" s="497">
        <v>80596.586198724632</v>
      </c>
      <c r="O147" s="497">
        <v>32949.77202995924</v>
      </c>
      <c r="P147" s="497">
        <v>31282.447352437997</v>
      </c>
      <c r="Q147" s="497">
        <v>33307.525698269303</v>
      </c>
      <c r="R147" s="497">
        <v>33586.288290410273</v>
      </c>
      <c r="S147" s="497">
        <v>33765.281516232222</v>
      </c>
      <c r="T147" s="497">
        <v>33737.278562791042</v>
      </c>
      <c r="U147" s="1081"/>
      <c r="X147" s="3"/>
      <c r="Y147" s="3"/>
      <c r="Z147" s="3"/>
      <c r="AA147" s="3"/>
      <c r="AB147" s="3"/>
      <c r="AC147" s="3"/>
      <c r="AD147" s="3"/>
      <c r="AE147" s="3"/>
      <c r="AF147" s="3"/>
      <c r="AG147" s="3"/>
      <c r="AH147" s="3"/>
      <c r="AI147" s="3"/>
      <c r="AJ147" s="3"/>
      <c r="AK147" s="3"/>
      <c r="AL147" s="3"/>
      <c r="AM147" s="3"/>
      <c r="AN147" s="3"/>
      <c r="AO147" s="3"/>
      <c r="AP147" s="3"/>
    </row>
    <row r="148" spans="1:42" ht="45.6" x14ac:dyDescent="0.2">
      <c r="A148" s="3"/>
      <c r="B148" s="1080"/>
      <c r="C148" s="1078" t="s">
        <v>964</v>
      </c>
      <c r="D148" s="1071"/>
      <c r="E148" s="1079">
        <f>E147</f>
        <v>122828</v>
      </c>
      <c r="F148" s="1079">
        <f t="shared" ref="F148:I148" si="30">F147</f>
        <v>30399</v>
      </c>
      <c r="G148" s="1079">
        <f t="shared" si="30"/>
        <v>37525</v>
      </c>
      <c r="H148" s="1079">
        <f t="shared" si="30"/>
        <v>41134</v>
      </c>
      <c r="I148" s="1079">
        <f t="shared" si="30"/>
        <v>52970</v>
      </c>
      <c r="J148" s="1068">
        <v>27160.904705056386</v>
      </c>
      <c r="K148" s="1068">
        <v>34921.992148052559</v>
      </c>
      <c r="L148" s="1068">
        <v>39884.307143600097</v>
      </c>
      <c r="M148" s="1068">
        <v>41203.728397668958</v>
      </c>
      <c r="N148" s="1068">
        <v>91712.469422031587</v>
      </c>
      <c r="O148" s="1068">
        <v>44566.382608641186</v>
      </c>
      <c r="P148" s="1068">
        <v>43209.848739282883</v>
      </c>
      <c r="Q148" s="1068">
        <v>45528.297830654992</v>
      </c>
      <c r="R148" s="1068">
        <v>46327.901975571731</v>
      </c>
      <c r="S148" s="1068">
        <v>46839.874164404471</v>
      </c>
      <c r="T148" s="1068">
        <v>47214.821229289395</v>
      </c>
      <c r="U148" s="1081"/>
      <c r="X148" s="3"/>
      <c r="Y148" s="3"/>
      <c r="Z148" s="3"/>
      <c r="AA148" s="3"/>
      <c r="AB148" s="3"/>
      <c r="AC148" s="3"/>
      <c r="AD148" s="3"/>
      <c r="AE148" s="3"/>
      <c r="AF148" s="3"/>
      <c r="AG148" s="3"/>
      <c r="AH148" s="3"/>
      <c r="AI148" s="3"/>
      <c r="AJ148" s="3"/>
      <c r="AK148" s="3"/>
      <c r="AL148" s="3"/>
      <c r="AM148" s="3"/>
      <c r="AN148" s="3"/>
      <c r="AO148" s="3"/>
      <c r="AP148" s="3"/>
    </row>
    <row r="149" spans="1:42" ht="36" customHeight="1" thickBot="1" x14ac:dyDescent="0.25">
      <c r="A149" s="3"/>
      <c r="B149" s="1087"/>
      <c r="C149" s="1146" t="s">
        <v>965</v>
      </c>
      <c r="D149" s="1088"/>
      <c r="E149" s="1088"/>
      <c r="F149" s="1088"/>
      <c r="G149" s="1088"/>
      <c r="H149" s="1088"/>
      <c r="I149" s="1088"/>
      <c r="J149" s="1088"/>
      <c r="K149" s="1088"/>
      <c r="L149" s="1088"/>
      <c r="M149" s="1088"/>
      <c r="N149" s="1088"/>
      <c r="O149" s="1088"/>
      <c r="P149" s="1088"/>
      <c r="Q149" s="1088"/>
      <c r="R149" s="1088"/>
      <c r="S149" s="1088"/>
      <c r="T149" s="1088"/>
      <c r="U149" s="1089"/>
      <c r="X149" s="3"/>
      <c r="Y149" s="3"/>
      <c r="Z149" s="3"/>
      <c r="AA149" s="3"/>
      <c r="AB149" s="3"/>
      <c r="AC149" s="3"/>
      <c r="AD149" s="3"/>
      <c r="AE149" s="3"/>
      <c r="AF149" s="3"/>
      <c r="AG149" s="3"/>
      <c r="AH149" s="3"/>
      <c r="AI149" s="3"/>
      <c r="AJ149" s="3"/>
      <c r="AK149" s="3"/>
      <c r="AL149" s="3"/>
      <c r="AM149" s="3"/>
      <c r="AN149" s="3"/>
      <c r="AO149" s="3"/>
      <c r="AP149" s="3"/>
    </row>
    <row r="150" spans="1:42"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1:42"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1:42"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1:42"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1:42"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1:42"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1:42"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1:42"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1:42"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1:42"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1:42"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1:42"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1:42"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1:42"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1:42"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1:42"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1:42"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1:42"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1:42"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1:42"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1:42"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1:42"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1:42"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1:42"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1:42"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1:42"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1:42"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1:42"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1:42"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1:42"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1:42"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1:42"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1:42"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1:42"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1:42"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1:42"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1:42"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1:42"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1:42"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1:42"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1:42"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1:42"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1:42"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1:42"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1:42"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1:42"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1:42"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1:42"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1:42"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1:42"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1:42"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1:42"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1:42"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1:42"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1:42"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1:42"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1:42"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1:42"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1:42"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1:42"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1:42"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1:42"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1:42"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1:42"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1:42"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1:42"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1:42"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1:42"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1:42"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1:42"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1:42"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1:42"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1:42"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1:42"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1:42"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1:42"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1:42"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1:42"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1:42"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1:42"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1:42"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1:42"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1:42"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1:42"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1:42"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1:42"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1:42"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1:42"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1:42"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1:42"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1:42"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1:42"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1:42"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1:42"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1:42"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1:42"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1:42"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1:42"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1:42"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1:42"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1:42"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1:42"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1:42"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1:42"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1:42"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1:42"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1:42"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spans="1:42"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spans="1:42"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spans="1:42"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spans="1:42"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spans="1:42"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spans="1:42"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spans="1:42"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spans="1:42"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spans="1:42"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spans="1:42"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spans="1:42"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spans="1:42"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spans="1:42"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spans="1:42"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spans="1:42"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spans="1:42"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spans="1:42"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spans="1:42"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spans="1:42"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spans="1:42"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spans="1:42"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spans="1:42"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spans="1:42"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spans="1:42"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spans="1:42"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spans="1:42"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spans="1:42"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spans="1:42"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spans="1:42"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spans="1:42"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spans="1:42"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spans="1:42"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spans="1:42"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spans="1:42"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spans="1:42"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spans="1:42"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spans="1:42"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spans="1:42"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row r="335" spans="1:42"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row>
    <row r="336" spans="1:42"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row>
    <row r="337" spans="1:42"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row>
    <row r="338" spans="1:42"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row>
    <row r="339" spans="1:42"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row>
    <row r="340" spans="1:42"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row>
    <row r="341" spans="1:42"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row>
    <row r="342" spans="1:42"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row>
    <row r="343" spans="1:42"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row>
    <row r="344" spans="1:42"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row>
    <row r="345" spans="1:42"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row>
    <row r="346" spans="1:42"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row>
    <row r="347" spans="1:42"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row>
    <row r="348" spans="1:42"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row>
    <row r="349" spans="1:42"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row>
    <row r="350" spans="1:42"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row>
    <row r="351" spans="1:42"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row>
    <row r="352" spans="1:42"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row>
    <row r="353" spans="1:42"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row>
    <row r="354" spans="1:42"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row>
    <row r="355" spans="1:42"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row>
    <row r="356" spans="1:42"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row>
    <row r="357" spans="1:42"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row>
    <row r="358" spans="1:42"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row>
    <row r="359" spans="1:42"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row>
    <row r="360" spans="1:42"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row>
    <row r="361" spans="1:42"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row>
    <row r="362" spans="1:42"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row>
    <row r="363" spans="1:42"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row>
    <row r="364" spans="1:42"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row>
    <row r="365" spans="1:42"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row>
    <row r="366" spans="1:42"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row>
    <row r="367" spans="1:42"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row>
    <row r="368" spans="1:42"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row>
    <row r="369" spans="1:42"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row>
    <row r="370" spans="1:42"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row>
    <row r="371" spans="1:42"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row>
    <row r="372" spans="1:42"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row>
    <row r="373" spans="1:42"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row>
    <row r="374" spans="1:42"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row>
    <row r="375" spans="1:42"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row>
    <row r="376" spans="1:42"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row>
    <row r="377" spans="1:42"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row>
    <row r="378" spans="1:42"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row>
    <row r="379" spans="1:42"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row>
    <row r="380" spans="1:42"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row>
    <row r="381" spans="1:42"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row>
    <row r="382" spans="1:42"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row>
    <row r="383" spans="1:42"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row>
    <row r="384" spans="1:42"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row>
    <row r="385" spans="1:42"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row>
    <row r="386" spans="1:42"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row>
    <row r="387" spans="1:42"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row>
    <row r="388" spans="1:42"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row>
    <row r="389" spans="1:42"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row>
    <row r="390" spans="1:42"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row>
    <row r="391" spans="1:42"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row>
  </sheetData>
  <sheetProtection algorithmName="SHA-512" hashValue="A/IKJAsFjzHo6+2FB66+OHHlQBi76B6jd3PFvzaodHMUPCrEzhb7ewOdR/fUHRCG8oVZP32Ns1073zxGWct6WQ==" saltValue="Vpc5b9g7Pjq4Cwp86T/ytQ==" spinCount="100000" sheet="1" formatColumns="0" formatRows="0"/>
  <mergeCells count="3">
    <mergeCell ref="C29:F29"/>
    <mergeCell ref="C44:F44"/>
    <mergeCell ref="C47:F47"/>
  </mergeCells>
  <conditionalFormatting sqref="C3">
    <cfRule type="cellIs" dxfId="2" priority="1" operator="equal">
      <formula>0</formula>
    </cfRule>
  </conditionalFormatting>
  <pageMargins left="0.7" right="0.7" top="0.75" bottom="0.75" header="0.3" footer="0.3"/>
  <pageSetup paperSize="9" scale="70" orientation="landscape" r:id="rId1"/>
  <rowBreaks count="2" manualBreakCount="2">
    <brk id="29" max="20" man="1"/>
    <brk id="74"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AP285"/>
  <sheetViews>
    <sheetView showGridLines="0" topLeftCell="A172" zoomScale="90" zoomScaleNormal="90" workbookViewId="0">
      <selection activeCell="AM213" sqref="AM213"/>
    </sheetView>
  </sheetViews>
  <sheetFormatPr defaultColWidth="9.125" defaultRowHeight="11.4" outlineLevelRow="2" x14ac:dyDescent="0.2"/>
  <cols>
    <col min="1" max="1" width="1.625" style="9" customWidth="1"/>
    <col min="2" max="2" width="3.625" customWidth="1"/>
    <col min="3" max="3" width="36.875" style="9" customWidth="1"/>
    <col min="4" max="4" width="6.625" style="9" customWidth="1"/>
    <col min="5" max="5" width="10.25" style="9" customWidth="1"/>
    <col min="6" max="8" width="11.25" style="75" customWidth="1"/>
    <col min="9" max="9" width="11.25" style="169" customWidth="1"/>
    <col min="10" max="16" width="11.25" style="75" customWidth="1"/>
    <col min="17" max="17" width="14.875" style="75" bestFit="1" customWidth="1"/>
    <col min="18" max="18" width="1.375" style="75" customWidth="1"/>
    <col min="19" max="19" width="12" style="75" customWidth="1"/>
    <col min="20" max="20" width="12.375" style="75" customWidth="1"/>
    <col min="21" max="21" width="3.125" style="75" customWidth="1"/>
    <col min="22" max="22" width="9.125" style="75"/>
    <col min="23" max="23" width="15.625" style="75" customWidth="1"/>
    <col min="24" max="42" width="9.125" style="75"/>
    <col min="43" max="16384" width="9.125" style="9"/>
  </cols>
  <sheetData>
    <row r="1" spans="1:42" ht="12" thickBot="1" x14ac:dyDescent="0.25">
      <c r="A1" s="1"/>
      <c r="B1" s="3"/>
      <c r="C1" s="1"/>
      <c r="D1" s="1"/>
      <c r="E1" s="1"/>
      <c r="F1" s="77"/>
      <c r="G1" s="77"/>
      <c r="H1" s="77"/>
      <c r="I1" s="80"/>
      <c r="J1" s="77"/>
      <c r="K1" s="77"/>
      <c r="L1" s="77"/>
      <c r="M1" s="77"/>
      <c r="N1" s="77"/>
      <c r="O1" s="77"/>
      <c r="P1" s="77"/>
      <c r="Q1" s="77"/>
      <c r="R1" s="77"/>
      <c r="S1" s="77"/>
      <c r="T1" s="77"/>
      <c r="U1" s="77"/>
      <c r="V1" s="77"/>
      <c r="W1" s="77"/>
      <c r="X1" s="77"/>
      <c r="Y1" s="77"/>
      <c r="Z1" s="77"/>
      <c r="AA1" s="77"/>
      <c r="AB1" s="77"/>
      <c r="AC1" s="77"/>
      <c r="AD1" s="77"/>
      <c r="AE1" s="77"/>
      <c r="AF1" s="77"/>
      <c r="AG1" s="77"/>
    </row>
    <row r="2" spans="1:42" x14ac:dyDescent="0.2">
      <c r="A2" s="1"/>
      <c r="B2" s="209"/>
      <c r="C2" s="228"/>
      <c r="D2" s="228"/>
      <c r="E2" s="228"/>
      <c r="F2" s="552"/>
      <c r="G2" s="552"/>
      <c r="H2" s="552"/>
      <c r="I2" s="743"/>
      <c r="J2" s="552"/>
      <c r="K2" s="552"/>
      <c r="L2" s="552"/>
      <c r="M2" s="552"/>
      <c r="N2" s="552"/>
      <c r="O2" s="552"/>
      <c r="P2" s="552"/>
      <c r="Q2" s="552"/>
      <c r="R2" s="552"/>
      <c r="S2" s="552"/>
      <c r="T2" s="552"/>
      <c r="U2" s="744"/>
      <c r="V2" s="77"/>
      <c r="W2" s="77"/>
      <c r="X2" s="77"/>
      <c r="Y2" s="77"/>
      <c r="Z2" s="77"/>
      <c r="AA2" s="77"/>
      <c r="AB2" s="77"/>
      <c r="AC2" s="77"/>
      <c r="AD2" s="77"/>
      <c r="AE2" s="77"/>
      <c r="AF2" s="77"/>
      <c r="AG2" s="77"/>
    </row>
    <row r="3" spans="1:42" s="145" customFormat="1" ht="15" x14ac:dyDescent="0.25">
      <c r="A3" s="1"/>
      <c r="B3" s="215"/>
      <c r="C3" s="695" t="str">
        <f>'WK2 - Notional General Income'!$C$3</f>
        <v>Hornsby, The Council of the Shire of</v>
      </c>
      <c r="D3" s="282"/>
      <c r="E3" s="282"/>
      <c r="F3" s="226"/>
      <c r="G3" s="226"/>
      <c r="H3" s="226"/>
      <c r="I3" s="227"/>
      <c r="J3" s="745"/>
      <c r="K3" s="745"/>
      <c r="L3" s="745"/>
      <c r="M3" s="745"/>
      <c r="N3" s="745"/>
      <c r="O3" s="745"/>
      <c r="P3" s="77"/>
      <c r="Q3" s="77"/>
      <c r="R3" s="77"/>
      <c r="S3" s="143"/>
      <c r="T3" s="143"/>
      <c r="U3" s="746"/>
      <c r="V3" s="143"/>
      <c r="W3" s="143"/>
      <c r="X3" s="143"/>
      <c r="Y3" s="143"/>
      <c r="Z3" s="143"/>
      <c r="AA3" s="143"/>
      <c r="AB3" s="143"/>
      <c r="AC3" s="143"/>
      <c r="AD3" s="143"/>
      <c r="AE3" s="143"/>
      <c r="AF3" s="143"/>
      <c r="AG3" s="143"/>
      <c r="AH3" s="144"/>
      <c r="AI3" s="144"/>
      <c r="AJ3" s="144"/>
      <c r="AK3" s="144"/>
      <c r="AL3" s="144"/>
      <c r="AM3" s="144"/>
      <c r="AN3" s="144"/>
      <c r="AO3" s="144"/>
      <c r="AP3" s="144"/>
    </row>
    <row r="4" spans="1:42" s="145" customFormat="1" ht="3.75" customHeight="1" x14ac:dyDescent="0.25">
      <c r="A4" s="1"/>
      <c r="B4" s="215"/>
      <c r="C4" s="1"/>
      <c r="D4" s="1"/>
      <c r="E4" s="1"/>
      <c r="F4" s="1"/>
      <c r="G4" s="1"/>
      <c r="H4" s="1"/>
      <c r="I4" s="747"/>
      <c r="J4" s="77"/>
      <c r="K4" s="77"/>
      <c r="L4" s="77"/>
      <c r="M4" s="77"/>
      <c r="N4" s="77"/>
      <c r="O4" s="77"/>
      <c r="P4" s="77"/>
      <c r="Q4" s="77"/>
      <c r="R4" s="77"/>
      <c r="S4" s="143"/>
      <c r="T4" s="143"/>
      <c r="U4" s="746"/>
      <c r="V4" s="143"/>
      <c r="W4" s="143"/>
      <c r="X4" s="143"/>
      <c r="Y4" s="143"/>
      <c r="Z4" s="143"/>
      <c r="AA4" s="143"/>
      <c r="AB4" s="143"/>
      <c r="AC4" s="143"/>
      <c r="AD4" s="143"/>
      <c r="AE4" s="143"/>
      <c r="AF4" s="143"/>
      <c r="AG4" s="143"/>
      <c r="AH4" s="144"/>
      <c r="AI4" s="144"/>
      <c r="AJ4" s="144"/>
      <c r="AK4" s="144"/>
      <c r="AL4" s="144"/>
      <c r="AM4" s="144"/>
      <c r="AN4" s="144"/>
      <c r="AO4" s="144"/>
      <c r="AP4" s="144"/>
    </row>
    <row r="5" spans="1:42" s="145" customFormat="1" ht="28.95" customHeight="1" x14ac:dyDescent="0.25">
      <c r="A5" s="1"/>
      <c r="B5" s="367"/>
      <c r="C5" s="736"/>
      <c r="D5" s="736"/>
      <c r="E5" s="736"/>
      <c r="F5" s="736"/>
      <c r="G5" s="736"/>
      <c r="H5" s="736"/>
      <c r="I5" s="736" t="s">
        <v>966</v>
      </c>
      <c r="J5" s="736"/>
      <c r="K5" s="736"/>
      <c r="L5" s="736"/>
      <c r="M5" s="736"/>
      <c r="N5" s="736"/>
      <c r="O5" s="736"/>
      <c r="P5" s="736"/>
      <c r="Q5" s="736"/>
      <c r="R5" s="736"/>
      <c r="S5" s="736"/>
      <c r="T5" s="736"/>
      <c r="U5" s="342"/>
      <c r="V5" s="77"/>
      <c r="W5" s="77"/>
      <c r="X5" s="77"/>
      <c r="Y5" s="77"/>
      <c r="Z5" s="77"/>
      <c r="AA5" s="77"/>
      <c r="AB5" s="77"/>
      <c r="AC5" s="77"/>
      <c r="AD5" s="77"/>
      <c r="AE5" s="77"/>
      <c r="AF5" s="77"/>
      <c r="AG5" s="77"/>
      <c r="AH5" s="144"/>
      <c r="AI5" s="144"/>
      <c r="AJ5" s="144"/>
      <c r="AK5" s="144"/>
      <c r="AL5" s="144"/>
      <c r="AM5" s="144"/>
      <c r="AN5" s="144"/>
      <c r="AO5" s="144"/>
      <c r="AP5" s="144"/>
    </row>
    <row r="6" spans="1:42" s="145" customFormat="1" ht="12.75" customHeight="1" x14ac:dyDescent="0.25">
      <c r="A6" s="1"/>
      <c r="B6" s="215"/>
      <c r="C6" s="3"/>
      <c r="D6" s="3"/>
      <c r="E6" s="3"/>
      <c r="F6" s="3"/>
      <c r="G6" s="3"/>
      <c r="H6" s="3"/>
      <c r="I6" s="3"/>
      <c r="J6" s="3"/>
      <c r="K6" s="3"/>
      <c r="L6" s="3"/>
      <c r="M6" s="3"/>
      <c r="N6" s="3"/>
      <c r="O6" s="3"/>
      <c r="P6" s="3"/>
      <c r="Q6" s="3"/>
      <c r="R6" s="3"/>
      <c r="S6" s="3"/>
      <c r="T6" s="3"/>
      <c r="U6" s="342"/>
      <c r="V6" s="77"/>
      <c r="W6" s="77"/>
      <c r="X6" s="77"/>
      <c r="Y6" s="77"/>
      <c r="Z6" s="77"/>
      <c r="AA6" s="77"/>
      <c r="AB6" s="77"/>
      <c r="AC6" s="77"/>
      <c r="AD6" s="77"/>
      <c r="AE6" s="77"/>
      <c r="AF6" s="77"/>
      <c r="AG6" s="77"/>
      <c r="AH6" s="144"/>
      <c r="AI6" s="144"/>
      <c r="AJ6" s="144"/>
      <c r="AK6" s="144"/>
      <c r="AL6" s="144"/>
      <c r="AM6" s="144"/>
      <c r="AN6" s="144"/>
      <c r="AO6" s="144"/>
      <c r="AP6" s="144"/>
    </row>
    <row r="7" spans="1:42" s="145" customFormat="1" ht="15.6" x14ac:dyDescent="0.25">
      <c r="A7" s="1"/>
      <c r="B7" s="367"/>
      <c r="C7" s="263"/>
      <c r="D7" s="263"/>
      <c r="E7" s="263"/>
      <c r="F7" s="263"/>
      <c r="G7" s="263"/>
      <c r="H7" s="263"/>
      <c r="I7" s="263" t="s">
        <v>967</v>
      </c>
      <c r="J7" s="263"/>
      <c r="K7" s="263"/>
      <c r="L7" s="263"/>
      <c r="M7" s="263"/>
      <c r="N7" s="263"/>
      <c r="O7" s="263"/>
      <c r="P7" s="263"/>
      <c r="Q7" s="263"/>
      <c r="R7" s="263"/>
      <c r="S7" s="263"/>
      <c r="T7" s="263"/>
      <c r="U7" s="236"/>
      <c r="V7" s="1"/>
      <c r="W7" s="1"/>
      <c r="X7" s="1"/>
      <c r="Y7" s="1"/>
      <c r="Z7" s="1"/>
      <c r="AA7" s="1"/>
      <c r="AB7" s="1"/>
      <c r="AC7" s="1"/>
      <c r="AD7" s="1"/>
      <c r="AE7" s="1"/>
      <c r="AF7" s="1"/>
      <c r="AG7" s="1"/>
    </row>
    <row r="8" spans="1:42" ht="25.5" customHeight="1" x14ac:dyDescent="0.25">
      <c r="A8" s="1"/>
      <c r="B8" s="212"/>
      <c r="C8" s="2"/>
      <c r="D8" s="2"/>
      <c r="E8" s="2"/>
      <c r="F8" s="2"/>
      <c r="G8" s="2"/>
      <c r="H8" s="1"/>
      <c r="I8" s="151" t="s">
        <v>840</v>
      </c>
      <c r="J8" s="2"/>
      <c r="K8" s="2"/>
      <c r="L8" s="2"/>
      <c r="M8" s="2"/>
      <c r="N8" s="2"/>
      <c r="O8" s="2"/>
      <c r="P8" s="2"/>
      <c r="Q8" s="2"/>
      <c r="R8" s="2"/>
      <c r="S8" s="2"/>
      <c r="T8" s="2"/>
      <c r="U8" s="342"/>
      <c r="V8" s="77"/>
      <c r="W8" s="77"/>
      <c r="X8" s="77"/>
      <c r="Y8" s="77"/>
      <c r="Z8" s="77"/>
      <c r="AA8" s="77"/>
      <c r="AB8" s="77"/>
      <c r="AC8" s="77"/>
      <c r="AD8" s="77"/>
      <c r="AE8" s="77"/>
      <c r="AF8" s="77"/>
      <c r="AG8" s="77"/>
    </row>
    <row r="9" spans="1:42" ht="13.5" customHeight="1" x14ac:dyDescent="0.25">
      <c r="A9" s="1"/>
      <c r="B9" s="212"/>
      <c r="C9" s="2"/>
      <c r="D9" s="2"/>
      <c r="E9" s="2"/>
      <c r="F9" s="2"/>
      <c r="G9" s="2"/>
      <c r="H9" s="2"/>
      <c r="I9" s="2"/>
      <c r="J9" s="2"/>
      <c r="K9" s="2"/>
      <c r="L9" s="2"/>
      <c r="M9" s="2"/>
      <c r="N9" s="2"/>
      <c r="O9" s="2"/>
      <c r="P9" s="2"/>
      <c r="Q9" s="2"/>
      <c r="R9" s="2"/>
      <c r="S9" s="2"/>
      <c r="T9" s="2"/>
      <c r="U9" s="342"/>
      <c r="V9" s="77"/>
      <c r="W9" s="77"/>
      <c r="X9" s="77"/>
      <c r="Y9" s="77"/>
      <c r="Z9" s="77"/>
      <c r="AA9" s="77"/>
      <c r="AB9" s="77"/>
      <c r="AC9" s="77"/>
      <c r="AD9" s="77"/>
      <c r="AE9" s="77"/>
      <c r="AF9" s="77"/>
      <c r="AG9" s="77"/>
    </row>
    <row r="10" spans="1:42" x14ac:dyDescent="0.2">
      <c r="A10" s="1"/>
      <c r="B10" s="212"/>
      <c r="C10" s="195"/>
      <c r="D10" s="195"/>
      <c r="E10" s="195" t="s">
        <v>968</v>
      </c>
      <c r="F10" s="195"/>
      <c r="G10" s="195"/>
      <c r="H10" s="195"/>
      <c r="I10" s="195"/>
      <c r="J10" s="195"/>
      <c r="K10" s="195"/>
      <c r="L10" s="195"/>
      <c r="M10" s="195"/>
      <c r="N10" s="195"/>
      <c r="O10" s="195"/>
      <c r="P10" s="195"/>
      <c r="Q10" s="195"/>
      <c r="R10" s="195"/>
      <c r="S10" s="195"/>
      <c r="T10" s="195"/>
      <c r="U10" s="342"/>
      <c r="V10" s="77"/>
      <c r="W10" s="77"/>
      <c r="X10" s="77"/>
      <c r="Y10" s="77"/>
      <c r="Z10" s="77"/>
      <c r="AA10" s="77"/>
      <c r="AB10" s="77"/>
      <c r="AC10" s="77"/>
      <c r="AD10" s="77"/>
      <c r="AE10" s="77"/>
      <c r="AF10" s="77"/>
      <c r="AG10" s="77"/>
    </row>
    <row r="11" spans="1:42" ht="12" x14ac:dyDescent="0.2">
      <c r="A11" s="1"/>
      <c r="B11" s="212"/>
      <c r="C11" s="195"/>
      <c r="D11" s="195"/>
      <c r="E11" s="195" t="s">
        <v>969</v>
      </c>
      <c r="F11" s="195"/>
      <c r="G11" s="195"/>
      <c r="H11" s="195"/>
      <c r="I11" s="195"/>
      <c r="J11" s="195"/>
      <c r="K11" s="195"/>
      <c r="L11" s="195"/>
      <c r="M11" s="195"/>
      <c r="N11" s="195"/>
      <c r="O11" s="195"/>
      <c r="P11" s="195"/>
      <c r="Q11" s="195"/>
      <c r="R11" s="195"/>
      <c r="S11" s="195"/>
      <c r="T11" s="195"/>
      <c r="U11" s="342"/>
      <c r="V11" s="77"/>
      <c r="W11" s="77"/>
      <c r="X11" s="77"/>
      <c r="Y11" s="77"/>
      <c r="Z11" s="77"/>
      <c r="AA11" s="77"/>
      <c r="AB11" s="77"/>
      <c r="AC11" s="77"/>
      <c r="AD11" s="77"/>
      <c r="AE11" s="77"/>
      <c r="AF11" s="77"/>
      <c r="AG11" s="77"/>
    </row>
    <row r="12" spans="1:42" ht="5.7" customHeight="1" x14ac:dyDescent="0.2">
      <c r="A12" s="1"/>
      <c r="B12" s="212"/>
      <c r="C12" s="195"/>
      <c r="D12" s="195"/>
      <c r="E12" s="195"/>
      <c r="F12" s="195"/>
      <c r="G12" s="195"/>
      <c r="H12" s="195"/>
      <c r="I12" s="195"/>
      <c r="J12" s="195"/>
      <c r="K12" s="195"/>
      <c r="L12" s="195"/>
      <c r="M12" s="195"/>
      <c r="N12" s="195"/>
      <c r="O12" s="195"/>
      <c r="P12" s="195"/>
      <c r="Q12" s="195"/>
      <c r="R12" s="195"/>
      <c r="S12" s="195"/>
      <c r="T12" s="195"/>
      <c r="U12" s="342"/>
      <c r="V12" s="77"/>
      <c r="W12" s="77"/>
      <c r="X12" s="77"/>
      <c r="Y12" s="77"/>
      <c r="Z12" s="77"/>
      <c r="AA12" s="77"/>
      <c r="AB12" s="77"/>
      <c r="AC12" s="77"/>
      <c r="AD12" s="77"/>
      <c r="AE12" s="77"/>
      <c r="AF12" s="77"/>
      <c r="AG12" s="77"/>
    </row>
    <row r="13" spans="1:42" ht="12" x14ac:dyDescent="0.2">
      <c r="A13" s="1"/>
      <c r="B13" s="212"/>
      <c r="C13" s="195"/>
      <c r="D13" s="195"/>
      <c r="E13" s="195" t="s">
        <v>970</v>
      </c>
      <c r="F13" s="195"/>
      <c r="G13" s="195"/>
      <c r="H13" s="195"/>
      <c r="I13" s="195"/>
      <c r="J13" s="195"/>
      <c r="K13" s="195"/>
      <c r="L13" s="195"/>
      <c r="M13" s="195"/>
      <c r="N13" s="195"/>
      <c r="O13" s="195"/>
      <c r="P13" s="195"/>
      <c r="Q13" s="195"/>
      <c r="R13" s="195"/>
      <c r="S13" s="195"/>
      <c r="T13" s="195"/>
      <c r="U13" s="342"/>
      <c r="V13" s="77"/>
      <c r="W13" s="77"/>
      <c r="X13" s="77"/>
      <c r="Y13" s="77"/>
      <c r="Z13" s="77"/>
      <c r="AA13" s="77"/>
      <c r="AB13" s="77"/>
      <c r="AC13" s="77"/>
      <c r="AD13" s="77"/>
      <c r="AE13" s="77"/>
      <c r="AF13" s="77"/>
      <c r="AG13" s="77"/>
    </row>
    <row r="14" spans="1:42" x14ac:dyDescent="0.2">
      <c r="A14" s="1"/>
      <c r="B14" s="212"/>
      <c r="C14" s="195"/>
      <c r="D14" s="195"/>
      <c r="E14" s="195" t="s">
        <v>971</v>
      </c>
      <c r="F14" s="195"/>
      <c r="G14" s="195"/>
      <c r="H14" s="195"/>
      <c r="I14" s="195"/>
      <c r="J14" s="195"/>
      <c r="K14" s="195"/>
      <c r="L14" s="195"/>
      <c r="M14" s="195"/>
      <c r="N14" s="195"/>
      <c r="O14" s="195"/>
      <c r="P14" s="195"/>
      <c r="Q14" s="195"/>
      <c r="R14" s="195"/>
      <c r="S14" s="195"/>
      <c r="T14" s="195"/>
      <c r="U14" s="342"/>
      <c r="V14" s="77"/>
      <c r="W14" s="77"/>
      <c r="X14" s="77"/>
      <c r="Y14" s="77"/>
      <c r="Z14" s="77"/>
      <c r="AA14" s="77"/>
      <c r="AB14" s="77"/>
      <c r="AC14" s="77"/>
      <c r="AD14" s="77"/>
      <c r="AE14" s="77"/>
      <c r="AF14" s="77"/>
      <c r="AG14" s="77"/>
    </row>
    <row r="15" spans="1:42" ht="17.7" customHeight="1" x14ac:dyDescent="0.2">
      <c r="A15" s="1"/>
      <c r="B15" s="212"/>
      <c r="C15" s="3"/>
      <c r="D15" s="3"/>
      <c r="E15" s="3"/>
      <c r="F15" s="3"/>
      <c r="G15" s="3"/>
      <c r="H15" s="3"/>
      <c r="I15" s="3"/>
      <c r="J15" s="3"/>
      <c r="K15" s="3"/>
      <c r="L15" s="3"/>
      <c r="M15" s="3"/>
      <c r="N15" s="3"/>
      <c r="O15" s="3"/>
      <c r="P15" s="3"/>
      <c r="Q15" s="3"/>
      <c r="R15" s="3"/>
      <c r="S15" s="3"/>
      <c r="T15" s="3"/>
      <c r="U15" s="342"/>
      <c r="V15" s="77"/>
      <c r="W15" s="77"/>
      <c r="X15" s="77"/>
      <c r="Y15" s="77"/>
      <c r="Z15" s="77"/>
      <c r="AA15" s="77"/>
      <c r="AB15" s="77"/>
      <c r="AC15" s="77"/>
      <c r="AD15" s="77"/>
      <c r="AE15" s="77"/>
      <c r="AF15" s="77"/>
      <c r="AG15" s="77"/>
    </row>
    <row r="16" spans="1:42" customFormat="1" ht="19.95" customHeight="1" x14ac:dyDescent="0.25">
      <c r="A16" s="3"/>
      <c r="B16" s="212"/>
      <c r="C16" s="1246" t="s">
        <v>972</v>
      </c>
      <c r="D16" s="740"/>
      <c r="E16" s="740"/>
      <c r="F16" s="203"/>
      <c r="G16" s="187"/>
      <c r="H16" s="204"/>
      <c r="I16" s="204"/>
      <c r="J16" s="204"/>
      <c r="K16" s="204"/>
      <c r="L16" s="204"/>
      <c r="M16" s="204"/>
      <c r="N16" s="204"/>
      <c r="O16" s="204"/>
      <c r="P16" s="204"/>
      <c r="Q16" s="204"/>
      <c r="R16" s="204"/>
      <c r="S16" s="204"/>
      <c r="T16" s="326"/>
      <c r="U16" s="214"/>
      <c r="V16" s="3"/>
      <c r="W16" s="3"/>
      <c r="X16" s="3"/>
      <c r="Y16" s="3"/>
      <c r="Z16" s="3"/>
      <c r="AA16" s="3"/>
      <c r="AB16" s="3"/>
      <c r="AC16" s="3"/>
      <c r="AD16" s="3"/>
      <c r="AE16" s="3"/>
      <c r="AF16" s="3"/>
      <c r="AG16" s="3"/>
    </row>
    <row r="17" spans="1:33" ht="21" customHeight="1" x14ac:dyDescent="0.25">
      <c r="A17" s="1"/>
      <c r="B17" s="212"/>
      <c r="C17" s="1212"/>
      <c r="D17" s="727"/>
      <c r="E17" s="727"/>
      <c r="F17" s="1249" t="str">
        <f>'WK0 - Input data'!H55</f>
        <v>Year 0</v>
      </c>
      <c r="G17" s="1249" t="str">
        <f>'WK0 - Input data'!I55</f>
        <v>Year 1</v>
      </c>
      <c r="H17" s="1249" t="str">
        <f>'WK0 - Input data'!J55</f>
        <v>Year 2</v>
      </c>
      <c r="I17" s="1249" t="str">
        <f>'WK0 - Input data'!K55</f>
        <v>Year 3</v>
      </c>
      <c r="J17" s="1249" t="str">
        <f>'WK0 - Input data'!L55</f>
        <v>Year 4</v>
      </c>
      <c r="K17" s="1249" t="str">
        <f>'WK0 - Input data'!M55</f>
        <v>Year 5</v>
      </c>
      <c r="L17" s="1249" t="str">
        <f>'WK0 - Input data'!N55</f>
        <v>Year 6</v>
      </c>
      <c r="M17" s="1249" t="str">
        <f>'WK0 - Input data'!O55</f>
        <v>Year 7</v>
      </c>
      <c r="N17" s="1249" t="str">
        <f>'WK0 - Input data'!P55</f>
        <v>Year 8</v>
      </c>
      <c r="O17" s="1249" t="str">
        <f>'WK0 - Input data'!Q55</f>
        <v>Year 9</v>
      </c>
      <c r="P17" s="1249" t="str">
        <f>'WK0 - Input data'!R55</f>
        <v>Year 10</v>
      </c>
      <c r="Q17" s="1215" t="s">
        <v>973</v>
      </c>
      <c r="R17" s="1216"/>
      <c r="S17" s="1187" t="s">
        <v>974</v>
      </c>
      <c r="T17" s="1188"/>
      <c r="U17" s="342"/>
      <c r="V17" s="77"/>
      <c r="W17" s="77"/>
      <c r="X17" s="77"/>
      <c r="Y17" s="77"/>
      <c r="Z17" s="77"/>
      <c r="AA17" s="77"/>
      <c r="AB17" s="77"/>
      <c r="AC17" s="77"/>
      <c r="AD17" s="77"/>
      <c r="AE17" s="77"/>
      <c r="AF17" s="77"/>
      <c r="AG17" s="77"/>
    </row>
    <row r="18" spans="1:33" ht="16.2" customHeight="1" x14ac:dyDescent="0.25">
      <c r="A18" s="1"/>
      <c r="B18" s="212"/>
      <c r="C18" s="328"/>
      <c r="D18" s="312"/>
      <c r="E18" s="304"/>
      <c r="F18" s="310" t="str">
        <f>'WK0 - Input data'!H58</f>
        <v>2022-23</v>
      </c>
      <c r="G18" s="310" t="str">
        <f>'WK0 - Input data'!I58</f>
        <v>2023-24</v>
      </c>
      <c r="H18" s="310" t="str">
        <f>'WK0 - Input data'!J58</f>
        <v>2024-25</v>
      </c>
      <c r="I18" s="310" t="str">
        <f>'WK0 - Input data'!K58</f>
        <v>2025-26</v>
      </c>
      <c r="J18" s="310" t="str">
        <f>'WK0 - Input data'!L58</f>
        <v>2026-27</v>
      </c>
      <c r="K18" s="310" t="str">
        <f>'WK0 - Input data'!M58</f>
        <v>2027-28</v>
      </c>
      <c r="L18" s="310" t="str">
        <f>'WK0 - Input data'!N58</f>
        <v>2028-29</v>
      </c>
      <c r="M18" s="310" t="str">
        <f>'WK0 - Input data'!O58</f>
        <v>2029-30</v>
      </c>
      <c r="N18" s="310" t="str">
        <f>'WK0 - Input data'!P58</f>
        <v>2030-31</v>
      </c>
      <c r="O18" s="310" t="str">
        <f>'WK0 - Input data'!Q58</f>
        <v>2031-32</v>
      </c>
      <c r="P18" s="310" t="str">
        <f>'WK0 - Input data'!R58</f>
        <v>2032-33</v>
      </c>
      <c r="Q18" s="311"/>
      <c r="R18" s="330"/>
      <c r="S18" s="149" t="s">
        <v>573</v>
      </c>
      <c r="T18" s="329" t="s">
        <v>7</v>
      </c>
      <c r="U18" s="342"/>
      <c r="V18" s="77"/>
      <c r="W18" s="77"/>
      <c r="X18" s="77"/>
      <c r="Y18" s="77"/>
      <c r="Z18" s="77"/>
      <c r="AA18" s="77"/>
      <c r="AB18" s="77"/>
      <c r="AC18" s="77"/>
      <c r="AD18" s="77"/>
      <c r="AE18" s="77"/>
      <c r="AF18" s="77"/>
      <c r="AG18" s="77"/>
    </row>
    <row r="19" spans="1:33" customFormat="1" ht="15.75" customHeight="1" x14ac:dyDescent="0.25">
      <c r="A19" s="3"/>
      <c r="B19" s="212"/>
      <c r="C19" s="1253" t="s">
        <v>975</v>
      </c>
      <c r="D19" s="738"/>
      <c r="E19" s="738"/>
      <c r="F19" s="688" t="str">
        <f>'WK6 - Expenditure Program'!$G$26</f>
        <v>$ nominal per year</v>
      </c>
      <c r="G19" s="327"/>
      <c r="H19" s="325"/>
      <c r="I19" s="774"/>
      <c r="J19" s="325"/>
      <c r="K19" s="325"/>
      <c r="L19" s="325"/>
      <c r="M19" s="325"/>
      <c r="N19" s="325"/>
      <c r="O19" s="325"/>
      <c r="P19" s="325"/>
      <c r="Q19" s="325"/>
      <c r="R19" s="325"/>
      <c r="S19" s="325"/>
      <c r="T19" s="333"/>
      <c r="U19" s="214"/>
      <c r="V19" s="3"/>
      <c r="W19" s="77"/>
      <c r="X19" s="3"/>
      <c r="Y19" s="3"/>
      <c r="Z19" s="3"/>
      <c r="AA19" s="3"/>
      <c r="AB19" s="3"/>
      <c r="AC19" s="3"/>
      <c r="AD19" s="3"/>
      <c r="AE19" s="3"/>
      <c r="AF19" s="3"/>
      <c r="AG19" s="3"/>
    </row>
    <row r="20" spans="1:33" ht="12" x14ac:dyDescent="0.25">
      <c r="A20" s="1"/>
      <c r="B20" s="212"/>
      <c r="C20" s="405" t="s">
        <v>976</v>
      </c>
      <c r="D20" s="1"/>
      <c r="E20" s="1"/>
      <c r="F20" s="278"/>
      <c r="G20" s="908"/>
      <c r="H20" s="908"/>
      <c r="I20" s="908"/>
      <c r="J20" s="908"/>
      <c r="K20" s="908"/>
      <c r="L20" s="908"/>
      <c r="M20" s="908"/>
      <c r="N20" s="908"/>
      <c r="O20" s="908"/>
      <c r="P20" s="908"/>
      <c r="Q20" s="576"/>
      <c r="R20" s="576"/>
      <c r="S20" s="455"/>
      <c r="T20" s="347"/>
      <c r="U20" s="342"/>
      <c r="V20" s="77"/>
      <c r="W20" s="77"/>
      <c r="X20" s="77"/>
      <c r="Y20" s="77"/>
      <c r="Z20" s="77"/>
      <c r="AA20" s="77"/>
      <c r="AB20" s="77"/>
      <c r="AC20" s="77"/>
      <c r="AD20" s="77"/>
      <c r="AE20" s="77"/>
      <c r="AF20" s="77"/>
      <c r="AG20" s="77"/>
    </row>
    <row r="21" spans="1:33" ht="11.7" customHeight="1" x14ac:dyDescent="0.2">
      <c r="A21" s="1"/>
      <c r="B21" s="212"/>
      <c r="C21" s="354" t="s">
        <v>977</v>
      </c>
      <c r="D21" s="307"/>
      <c r="E21" s="307"/>
      <c r="F21" s="319">
        <v>109152098.48</v>
      </c>
      <c r="G21" s="319">
        <v>116736122.89999998</v>
      </c>
      <c r="H21" s="319">
        <v>123878396.76999995</v>
      </c>
      <c r="I21" s="319">
        <v>130595508.03999996</v>
      </c>
      <c r="J21" s="319">
        <v>136628442.43000004</v>
      </c>
      <c r="K21" s="319">
        <v>140006172.39000005</v>
      </c>
      <c r="L21" s="319">
        <v>143467433.99999997</v>
      </c>
      <c r="M21" s="319">
        <v>147014293.81000003</v>
      </c>
      <c r="N21" s="319">
        <v>150648869.25</v>
      </c>
      <c r="O21" s="319">
        <v>154415090.97</v>
      </c>
      <c r="P21" s="319">
        <v>158972184.64000005</v>
      </c>
      <c r="Q21" s="208">
        <f t="shared" ref="Q21:Q27" si="0">SUM(G21:P21)</f>
        <v>1402362515.2000003</v>
      </c>
      <c r="R21" s="207"/>
      <c r="S21" s="324">
        <f t="shared" ref="S21:S27" si="1">P21-F21</f>
        <v>49820086.160000041</v>
      </c>
      <c r="T21" s="317">
        <f t="shared" ref="T21:T27" si="2">IF(F21=0,0,(S21/F21))</f>
        <v>0.45642811135810274</v>
      </c>
      <c r="U21" s="342"/>
      <c r="V21" s="77"/>
      <c r="W21" s="77"/>
      <c r="X21" s="77"/>
      <c r="Y21" s="77"/>
      <c r="Z21" s="77"/>
      <c r="AA21" s="77"/>
      <c r="AB21" s="77"/>
      <c r="AC21" s="77"/>
      <c r="AD21" s="77"/>
      <c r="AE21" s="77"/>
      <c r="AF21" s="77"/>
      <c r="AG21" s="77"/>
    </row>
    <row r="22" spans="1:33" ht="11.7" customHeight="1" x14ac:dyDescent="0.2">
      <c r="A22" s="1"/>
      <c r="B22" s="212"/>
      <c r="C22" s="354" t="s">
        <v>887</v>
      </c>
      <c r="D22" s="307"/>
      <c r="E22" s="307"/>
      <c r="F22" s="319">
        <v>14233153.67</v>
      </c>
      <c r="G22" s="319">
        <v>14731617.310000002</v>
      </c>
      <c r="H22" s="319">
        <v>15158826.139999997</v>
      </c>
      <c r="I22" s="319">
        <v>15583266.986250004</v>
      </c>
      <c r="J22" s="319">
        <v>15957267.47065625</v>
      </c>
      <c r="K22" s="319">
        <v>16340244.055922654</v>
      </c>
      <c r="L22" s="319">
        <v>16732412.215570724</v>
      </c>
      <c r="M22" s="319">
        <v>17133992.393959992</v>
      </c>
      <c r="N22" s="319">
        <v>17545210.596308984</v>
      </c>
      <c r="O22" s="319">
        <v>17983840.898716718</v>
      </c>
      <c r="P22" s="319">
        <v>18433436.938184626</v>
      </c>
      <c r="Q22" s="208">
        <f t="shared" si="0"/>
        <v>165600115.00556993</v>
      </c>
      <c r="R22" s="207"/>
      <c r="S22" s="324">
        <f t="shared" si="1"/>
        <v>4200283.2681846265</v>
      </c>
      <c r="T22" s="317">
        <f t="shared" si="2"/>
        <v>0.29510559399339548</v>
      </c>
      <c r="U22" s="342"/>
      <c r="V22" s="77"/>
      <c r="W22" s="77"/>
      <c r="X22" s="77"/>
      <c r="Y22" s="77"/>
      <c r="Z22" s="77"/>
      <c r="AA22" s="77"/>
      <c r="AB22" s="77"/>
      <c r="AC22" s="77"/>
      <c r="AD22" s="77"/>
      <c r="AE22" s="77"/>
      <c r="AF22" s="77"/>
      <c r="AG22" s="77"/>
    </row>
    <row r="23" spans="1:33" ht="11.7" customHeight="1" x14ac:dyDescent="0.2">
      <c r="A23" s="1"/>
      <c r="B23" s="212"/>
      <c r="C23" s="354" t="s">
        <v>978</v>
      </c>
      <c r="D23" s="307"/>
      <c r="E23" s="307"/>
      <c r="F23" s="319">
        <v>4929651.41</v>
      </c>
      <c r="G23" s="319">
        <v>5491283.6799999997</v>
      </c>
      <c r="H23" s="319">
        <v>4882424.41</v>
      </c>
      <c r="I23" s="319">
        <v>3678321.14</v>
      </c>
      <c r="J23" s="319">
        <v>3769582.1399999997</v>
      </c>
      <c r="K23" s="319">
        <v>3830571.7800000003</v>
      </c>
      <c r="L23" s="319">
        <v>3836224.2600000002</v>
      </c>
      <c r="M23" s="319">
        <v>3867236.2600000002</v>
      </c>
      <c r="N23" s="319">
        <v>3895738.7199999997</v>
      </c>
      <c r="O23" s="319">
        <v>3850908.34</v>
      </c>
      <c r="P23" s="319">
        <v>3804680.5300000003</v>
      </c>
      <c r="Q23" s="208">
        <f t="shared" si="0"/>
        <v>40906971.260000005</v>
      </c>
      <c r="R23" s="207"/>
      <c r="S23" s="324">
        <f t="shared" si="1"/>
        <v>-1124970.8799999999</v>
      </c>
      <c r="T23" s="317">
        <f t="shared" si="2"/>
        <v>-0.2282049553682336</v>
      </c>
      <c r="U23" s="342"/>
      <c r="V23" s="77"/>
      <c r="W23" s="77"/>
      <c r="X23" s="77"/>
      <c r="Y23" s="77"/>
      <c r="Z23" s="77"/>
      <c r="AA23" s="77"/>
      <c r="AB23" s="77"/>
      <c r="AC23" s="77"/>
      <c r="AD23" s="77"/>
      <c r="AE23" s="77"/>
      <c r="AF23" s="77"/>
      <c r="AG23" s="77"/>
    </row>
    <row r="24" spans="1:33" ht="11.7" customHeight="1" x14ac:dyDescent="0.2">
      <c r="A24" s="1"/>
      <c r="B24" s="212"/>
      <c r="C24" s="354" t="s">
        <v>889</v>
      </c>
      <c r="D24" s="307"/>
      <c r="E24" s="307"/>
      <c r="F24" s="258">
        <v>6784074.0800000001</v>
      </c>
      <c r="G24" s="258">
        <v>7021516.7699999996</v>
      </c>
      <c r="H24" s="258">
        <v>7225140.8199999984</v>
      </c>
      <c r="I24" s="319">
        <v>7427444.7599999961</v>
      </c>
      <c r="J24" s="258">
        <v>7605703.4300000016</v>
      </c>
      <c r="K24" s="258">
        <v>7788240.290000001</v>
      </c>
      <c r="L24" s="258">
        <v>7975158.0500000007</v>
      </c>
      <c r="M24" s="258">
        <v>8166561.8299999973</v>
      </c>
      <c r="N24" s="258">
        <v>8362559.3200000022</v>
      </c>
      <c r="O24" s="258">
        <v>8571623.3100000005</v>
      </c>
      <c r="P24" s="258">
        <v>8785913.889999995</v>
      </c>
      <c r="Q24" s="655">
        <f t="shared" si="0"/>
        <v>78929862.469999984</v>
      </c>
      <c r="R24" s="207"/>
      <c r="S24" s="324">
        <f t="shared" si="1"/>
        <v>2001839.8099999949</v>
      </c>
      <c r="T24" s="317">
        <f t="shared" si="2"/>
        <v>0.29507929695248769</v>
      </c>
      <c r="U24" s="342"/>
      <c r="V24" s="77"/>
      <c r="W24" s="77"/>
      <c r="X24" s="77"/>
      <c r="Y24" s="77"/>
      <c r="Z24" s="77"/>
      <c r="AA24" s="77"/>
      <c r="AB24" s="77"/>
      <c r="AC24" s="77"/>
      <c r="AD24" s="77"/>
      <c r="AE24" s="77"/>
      <c r="AF24" s="77"/>
      <c r="AG24" s="77"/>
    </row>
    <row r="25" spans="1:33" ht="11.7" customHeight="1" x14ac:dyDescent="0.2">
      <c r="A25" s="1"/>
      <c r="B25" s="212"/>
      <c r="C25" s="354" t="s">
        <v>979</v>
      </c>
      <c r="D25" s="307"/>
      <c r="E25" s="307"/>
      <c r="F25" s="258">
        <v>12770693.92</v>
      </c>
      <c r="G25" s="258">
        <v>13217668.210000001</v>
      </c>
      <c r="H25" s="258">
        <v>13600980.630000001</v>
      </c>
      <c r="I25" s="319">
        <v>13981808.059999999</v>
      </c>
      <c r="J25" s="258">
        <v>14317371.470000003</v>
      </c>
      <c r="K25" s="258">
        <v>14660988.369999999</v>
      </c>
      <c r="L25" s="258">
        <v>15012852.100000001</v>
      </c>
      <c r="M25" s="258">
        <v>15373160.559999999</v>
      </c>
      <c r="N25" s="258">
        <v>15742116.439999998</v>
      </c>
      <c r="O25" s="258">
        <v>16135669.369999999</v>
      </c>
      <c r="P25" s="258">
        <v>16539061.149999999</v>
      </c>
      <c r="Q25" s="655">
        <f t="shared" si="0"/>
        <v>148581676.36000001</v>
      </c>
      <c r="R25" s="207"/>
      <c r="S25" s="324">
        <f t="shared" si="1"/>
        <v>3768367.2299999986</v>
      </c>
      <c r="T25" s="317">
        <f t="shared" si="2"/>
        <v>0.29507928493207508</v>
      </c>
      <c r="U25" s="342"/>
      <c r="V25" s="77"/>
      <c r="W25" s="77"/>
      <c r="X25" s="77"/>
      <c r="Y25" s="77"/>
      <c r="Z25" s="77"/>
      <c r="AA25" s="77"/>
      <c r="AB25" s="77"/>
      <c r="AC25" s="77"/>
      <c r="AD25" s="77"/>
      <c r="AE25" s="77"/>
      <c r="AF25" s="77"/>
      <c r="AG25" s="77"/>
    </row>
    <row r="26" spans="1:33" ht="11.7" customHeight="1" x14ac:dyDescent="0.2">
      <c r="A26" s="1"/>
      <c r="B26" s="212"/>
      <c r="C26" s="354" t="s">
        <v>980</v>
      </c>
      <c r="D26" s="307"/>
      <c r="E26" s="307"/>
      <c r="F26" s="258">
        <v>8350000</v>
      </c>
      <c r="G26" s="258">
        <v>9327953</v>
      </c>
      <c r="H26" s="258">
        <v>9450563.6500000004</v>
      </c>
      <c r="I26" s="319">
        <v>9572379.4499999993</v>
      </c>
      <c r="J26" s="258">
        <v>58289716.539999999</v>
      </c>
      <c r="K26" s="258">
        <v>9789629.7399999984</v>
      </c>
      <c r="L26" s="258">
        <v>9902180.870000001</v>
      </c>
      <c r="M26" s="258">
        <v>10017433.199999999</v>
      </c>
      <c r="N26" s="258">
        <v>10135451.58</v>
      </c>
      <c r="O26" s="258">
        <v>10261337.890000001</v>
      </c>
      <c r="P26" s="258">
        <v>10390371.34</v>
      </c>
      <c r="Q26" s="655">
        <f t="shared" si="0"/>
        <v>147137017.26000002</v>
      </c>
      <c r="R26" s="207"/>
      <c r="S26" s="324">
        <f t="shared" si="1"/>
        <v>2040371.3399999999</v>
      </c>
      <c r="T26" s="317">
        <f t="shared" si="2"/>
        <v>0.24435584910179639</v>
      </c>
      <c r="U26" s="342"/>
      <c r="V26" s="77"/>
      <c r="W26" s="77"/>
      <c r="X26" s="77"/>
      <c r="Y26" s="77"/>
      <c r="Z26" s="77"/>
      <c r="AA26" s="77"/>
      <c r="AB26" s="77"/>
      <c r="AC26" s="77"/>
      <c r="AD26" s="77"/>
      <c r="AE26" s="77"/>
      <c r="AF26" s="77"/>
      <c r="AG26" s="77"/>
    </row>
    <row r="27" spans="1:33" ht="11.7" customHeight="1" x14ac:dyDescent="0.2">
      <c r="A27" s="1"/>
      <c r="B27" s="212"/>
      <c r="C27" s="280" t="s">
        <v>981</v>
      </c>
      <c r="D27" s="307"/>
      <c r="E27" s="307"/>
      <c r="F27" s="258"/>
      <c r="G27" s="258"/>
      <c r="H27" s="258"/>
      <c r="I27" s="319"/>
      <c r="J27" s="258"/>
      <c r="K27" s="258"/>
      <c r="L27" s="258"/>
      <c r="M27" s="258"/>
      <c r="N27" s="258"/>
      <c r="O27" s="258"/>
      <c r="P27" s="258"/>
      <c r="Q27" s="655">
        <f t="shared" si="0"/>
        <v>0</v>
      </c>
      <c r="R27" s="207"/>
      <c r="S27" s="324">
        <f t="shared" si="1"/>
        <v>0</v>
      </c>
      <c r="T27" s="317">
        <f t="shared" si="2"/>
        <v>0</v>
      </c>
      <c r="U27" s="342"/>
      <c r="V27" s="77"/>
      <c r="W27" s="77"/>
      <c r="X27" s="77"/>
      <c r="Y27" s="77"/>
      <c r="Z27" s="77"/>
      <c r="AA27" s="77"/>
      <c r="AB27" s="77"/>
      <c r="AC27" s="77"/>
      <c r="AD27" s="77"/>
      <c r="AE27" s="77"/>
      <c r="AF27" s="77"/>
      <c r="AG27" s="77"/>
    </row>
    <row r="28" spans="1:33" ht="11.7" customHeight="1" x14ac:dyDescent="0.25">
      <c r="A28" s="1"/>
      <c r="B28" s="212"/>
      <c r="C28" s="737" t="s">
        <v>982</v>
      </c>
      <c r="D28" s="1"/>
      <c r="E28" s="1"/>
      <c r="F28" s="500"/>
      <c r="G28" s="500"/>
      <c r="H28" s="500"/>
      <c r="I28" s="576"/>
      <c r="J28" s="500"/>
      <c r="K28" s="500"/>
      <c r="L28" s="500"/>
      <c r="M28" s="500"/>
      <c r="N28" s="500"/>
      <c r="O28" s="500"/>
      <c r="P28" s="500"/>
      <c r="Q28" s="248"/>
      <c r="R28" s="576"/>
      <c r="S28" s="455"/>
      <c r="T28" s="347"/>
      <c r="U28" s="342"/>
      <c r="V28" s="77"/>
      <c r="W28" s="77"/>
      <c r="X28" s="77"/>
      <c r="Y28" s="77"/>
      <c r="Z28" s="77"/>
      <c r="AA28" s="77"/>
      <c r="AB28" s="77"/>
      <c r="AC28" s="77"/>
      <c r="AD28" s="77"/>
      <c r="AE28" s="77"/>
      <c r="AF28" s="77"/>
      <c r="AG28" s="77"/>
    </row>
    <row r="29" spans="1:33" ht="11.7" customHeight="1" x14ac:dyDescent="0.2">
      <c r="A29" s="1"/>
      <c r="B29" s="212"/>
      <c r="C29" s="354" t="s">
        <v>983</v>
      </c>
      <c r="D29" s="307"/>
      <c r="E29" s="307"/>
      <c r="F29" s="258"/>
      <c r="G29" s="258"/>
      <c r="H29" s="258"/>
      <c r="I29" s="319"/>
      <c r="J29" s="258"/>
      <c r="K29" s="258"/>
      <c r="L29" s="258"/>
      <c r="M29" s="258"/>
      <c r="N29" s="258"/>
      <c r="O29" s="258"/>
      <c r="P29" s="258"/>
      <c r="Q29" s="655">
        <f>SUM(G29:P29)</f>
        <v>0</v>
      </c>
      <c r="R29" s="207"/>
      <c r="S29" s="324">
        <f>P29-F29</f>
        <v>0</v>
      </c>
      <c r="T29" s="317">
        <f>IF(F29=0,0,(S29/F29))</f>
        <v>0</v>
      </c>
      <c r="U29" s="342"/>
      <c r="V29" s="77"/>
      <c r="W29" s="77"/>
      <c r="X29" s="77"/>
      <c r="Y29" s="77"/>
      <c r="Z29" s="77"/>
      <c r="AA29" s="77"/>
      <c r="AB29" s="77"/>
      <c r="AC29" s="77"/>
      <c r="AD29" s="77"/>
      <c r="AE29" s="77"/>
      <c r="AF29" s="77"/>
      <c r="AG29" s="77"/>
    </row>
    <row r="30" spans="1:33" ht="11.7" customHeight="1" x14ac:dyDescent="0.2">
      <c r="A30" s="1"/>
      <c r="B30" s="212"/>
      <c r="C30" s="354" t="s">
        <v>893</v>
      </c>
      <c r="D30" s="307"/>
      <c r="E30" s="307"/>
      <c r="F30" s="258">
        <v>100000</v>
      </c>
      <c r="G30" s="258">
        <v>103500</v>
      </c>
      <c r="H30" s="258">
        <v>106501.5</v>
      </c>
      <c r="I30" s="319">
        <v>109483.54</v>
      </c>
      <c r="J30" s="258">
        <v>112111.14</v>
      </c>
      <c r="K30" s="258">
        <v>114801.81</v>
      </c>
      <c r="L30" s="258">
        <v>117557.05</v>
      </c>
      <c r="M30" s="258">
        <v>120378.42</v>
      </c>
      <c r="N30" s="258">
        <v>123267.5</v>
      </c>
      <c r="O30" s="258">
        <v>126349.19</v>
      </c>
      <c r="P30" s="258">
        <v>129507.92</v>
      </c>
      <c r="Q30" s="655">
        <f>SUM(G30:P30)</f>
        <v>1163458.07</v>
      </c>
      <c r="R30" s="207"/>
      <c r="S30" s="324">
        <f>P30-F30</f>
        <v>29507.919999999998</v>
      </c>
      <c r="T30" s="317">
        <f>IF(F30=0,0,(S30/F30))</f>
        <v>0.29507919999999999</v>
      </c>
      <c r="U30" s="342"/>
      <c r="V30" s="77"/>
      <c r="W30" s="77"/>
      <c r="X30" s="77"/>
      <c r="Y30" s="77"/>
      <c r="Z30" s="77"/>
      <c r="AA30" s="77"/>
      <c r="AB30" s="77"/>
      <c r="AC30" s="77"/>
      <c r="AD30" s="77"/>
      <c r="AE30" s="77"/>
      <c r="AF30" s="77"/>
      <c r="AG30" s="77"/>
    </row>
    <row r="31" spans="1:33" ht="11.7" customHeight="1" x14ac:dyDescent="0.2">
      <c r="A31" s="1"/>
      <c r="B31" s="212"/>
      <c r="C31" s="354" t="s">
        <v>984</v>
      </c>
      <c r="D31" s="307"/>
      <c r="E31" s="307"/>
      <c r="F31" s="258"/>
      <c r="G31" s="258"/>
      <c r="H31" s="258"/>
      <c r="I31" s="258"/>
      <c r="J31" s="258"/>
      <c r="K31" s="258"/>
      <c r="L31" s="258"/>
      <c r="M31" s="258"/>
      <c r="N31" s="258"/>
      <c r="O31" s="258"/>
      <c r="P31" s="258"/>
      <c r="Q31" s="655">
        <f>SUM(G31:P31)</f>
        <v>0</v>
      </c>
      <c r="R31" s="207"/>
      <c r="S31" s="324">
        <f>P31-F31</f>
        <v>0</v>
      </c>
      <c r="T31" s="317">
        <f>IF(F31=0,0,(S31/F31))</f>
        <v>0</v>
      </c>
      <c r="U31" s="342"/>
      <c r="V31" s="77"/>
      <c r="W31" s="77"/>
      <c r="X31" s="77"/>
      <c r="Y31" s="77"/>
      <c r="Z31" s="77"/>
      <c r="AA31" s="77"/>
      <c r="AB31" s="77"/>
      <c r="AC31" s="77"/>
      <c r="AD31" s="77"/>
      <c r="AE31" s="77"/>
      <c r="AF31" s="77"/>
      <c r="AG31" s="77"/>
    </row>
    <row r="32" spans="1:33" ht="11.7" customHeight="1" x14ac:dyDescent="0.2">
      <c r="A32" s="1"/>
      <c r="B32" s="212"/>
      <c r="C32" s="334"/>
      <c r="D32" s="1"/>
      <c r="E32" s="1"/>
      <c r="F32" s="500"/>
      <c r="G32" s="500"/>
      <c r="H32" s="500"/>
      <c r="I32" s="576"/>
      <c r="J32" s="500"/>
      <c r="K32" s="500"/>
      <c r="L32" s="500"/>
      <c r="M32" s="500"/>
      <c r="N32" s="500"/>
      <c r="O32" s="500"/>
      <c r="P32" s="500"/>
      <c r="Q32" s="248"/>
      <c r="R32" s="576"/>
      <c r="S32" s="455"/>
      <c r="T32" s="347"/>
      <c r="U32" s="342"/>
      <c r="V32" s="77"/>
      <c r="W32" s="77"/>
      <c r="X32" s="77"/>
      <c r="Y32" s="77"/>
      <c r="Z32" s="77"/>
      <c r="AA32" s="77"/>
      <c r="AB32" s="77"/>
      <c r="AC32" s="77"/>
      <c r="AD32" s="77"/>
      <c r="AE32" s="77"/>
      <c r="AF32" s="77"/>
      <c r="AG32" s="77"/>
    </row>
    <row r="33" spans="1:33" ht="11.7" customHeight="1" x14ac:dyDescent="0.25">
      <c r="A33" s="1"/>
      <c r="B33" s="212"/>
      <c r="C33" s="405" t="s">
        <v>985</v>
      </c>
      <c r="D33" s="307"/>
      <c r="E33" s="307"/>
      <c r="F33" s="772">
        <f t="shared" ref="F33:P33" si="3">SUM(F21:F31)</f>
        <v>156319671.56</v>
      </c>
      <c r="G33" s="772">
        <f t="shared" si="3"/>
        <v>166629661.87</v>
      </c>
      <c r="H33" s="772">
        <f t="shared" si="3"/>
        <v>174302833.91999993</v>
      </c>
      <c r="I33" s="772">
        <f t="shared" si="3"/>
        <v>180948211.97624993</v>
      </c>
      <c r="J33" s="772">
        <f t="shared" si="3"/>
        <v>236680194.62065625</v>
      </c>
      <c r="K33" s="772">
        <f t="shared" si="3"/>
        <v>192530648.43592271</v>
      </c>
      <c r="L33" s="772">
        <f t="shared" si="3"/>
        <v>197043818.5455707</v>
      </c>
      <c r="M33" s="772">
        <f t="shared" si="3"/>
        <v>201693056.47395998</v>
      </c>
      <c r="N33" s="772">
        <f t="shared" si="3"/>
        <v>206453213.40630898</v>
      </c>
      <c r="O33" s="772">
        <f t="shared" si="3"/>
        <v>211344819.96871674</v>
      </c>
      <c r="P33" s="772">
        <f t="shared" si="3"/>
        <v>217055156.40818465</v>
      </c>
      <c r="Q33" s="676">
        <f>SUM(G33:P33)</f>
        <v>1984681615.6255698</v>
      </c>
      <c r="R33" s="297"/>
      <c r="S33" s="344">
        <f>P33-F33</f>
        <v>60735484.848184645</v>
      </c>
      <c r="T33" s="318">
        <f>IF(F33=0,0,(S33/F33))</f>
        <v>0.38853385656502365</v>
      </c>
      <c r="U33" s="342"/>
      <c r="V33" s="77"/>
      <c r="W33" s="77"/>
      <c r="X33" s="77"/>
      <c r="Y33" s="77"/>
      <c r="Z33" s="77"/>
      <c r="AA33" s="77"/>
      <c r="AB33" s="77"/>
      <c r="AC33" s="77"/>
      <c r="AD33" s="77"/>
      <c r="AE33" s="77"/>
      <c r="AF33" s="77"/>
      <c r="AG33" s="77"/>
    </row>
    <row r="34" spans="1:33" ht="11.7" customHeight="1" x14ac:dyDescent="0.25">
      <c r="A34" s="1"/>
      <c r="B34" s="212"/>
      <c r="C34" s="405"/>
      <c r="D34" s="307"/>
      <c r="E34" s="307"/>
      <c r="F34" s="658"/>
      <c r="G34" s="658"/>
      <c r="H34" s="658"/>
      <c r="I34" s="207"/>
      <c r="J34" s="658"/>
      <c r="K34" s="658"/>
      <c r="L34" s="658"/>
      <c r="M34" s="658"/>
      <c r="N34" s="658"/>
      <c r="O34" s="658"/>
      <c r="P34" s="658"/>
      <c r="Q34" s="655"/>
      <c r="R34" s="207"/>
      <c r="S34" s="324"/>
      <c r="T34" s="317"/>
      <c r="U34" s="342"/>
      <c r="V34" s="77"/>
      <c r="W34" s="77"/>
      <c r="X34" s="77"/>
      <c r="Y34" s="77"/>
      <c r="Z34" s="77"/>
      <c r="AA34" s="77"/>
      <c r="AB34" s="77"/>
      <c r="AC34" s="77"/>
      <c r="AD34" s="77"/>
      <c r="AE34" s="77"/>
      <c r="AF34" s="77"/>
      <c r="AG34" s="77"/>
    </row>
    <row r="35" spans="1:33" ht="11.7" customHeight="1" x14ac:dyDescent="0.25">
      <c r="A35" s="1"/>
      <c r="B35" s="212"/>
      <c r="C35" s="405" t="s">
        <v>986</v>
      </c>
      <c r="D35" s="307"/>
      <c r="E35" s="307"/>
      <c r="F35" s="658">
        <f t="shared" ref="F35:P35" si="4">F33-F26</f>
        <v>147969671.56</v>
      </c>
      <c r="G35" s="658">
        <f t="shared" si="4"/>
        <v>157301708.87</v>
      </c>
      <c r="H35" s="658">
        <f t="shared" si="4"/>
        <v>164852270.26999992</v>
      </c>
      <c r="I35" s="658">
        <f t="shared" si="4"/>
        <v>171375832.52624995</v>
      </c>
      <c r="J35" s="658">
        <f t="shared" si="4"/>
        <v>178390478.08065626</v>
      </c>
      <c r="K35" s="658">
        <f t="shared" si="4"/>
        <v>182741018.6959227</v>
      </c>
      <c r="L35" s="658">
        <f t="shared" si="4"/>
        <v>187141637.6755707</v>
      </c>
      <c r="M35" s="658">
        <f t="shared" si="4"/>
        <v>191675623.27395999</v>
      </c>
      <c r="N35" s="658">
        <f t="shared" si="4"/>
        <v>196317761.82630897</v>
      </c>
      <c r="O35" s="658">
        <f t="shared" si="4"/>
        <v>201083482.07871675</v>
      </c>
      <c r="P35" s="658">
        <f t="shared" si="4"/>
        <v>206664785.06818464</v>
      </c>
      <c r="Q35" s="655">
        <f>SUM(G35:P35)</f>
        <v>1837544598.3655701</v>
      </c>
      <c r="R35" s="207"/>
      <c r="S35" s="324">
        <f>P35-F35</f>
        <v>58695113.508184642</v>
      </c>
      <c r="T35" s="317">
        <f>IF(F35=0,0,(S35/F35))</f>
        <v>0.39666989112957818</v>
      </c>
      <c r="U35" s="342"/>
      <c r="V35" s="77"/>
      <c r="W35" s="77"/>
      <c r="X35" s="77"/>
      <c r="Y35" s="77"/>
      <c r="Z35" s="77"/>
      <c r="AA35" s="77"/>
      <c r="AB35" s="77"/>
      <c r="AC35" s="77"/>
      <c r="AD35" s="77"/>
      <c r="AE35" s="77"/>
      <c r="AF35" s="77"/>
      <c r="AG35" s="77"/>
    </row>
    <row r="36" spans="1:33" ht="11.7" customHeight="1" x14ac:dyDescent="0.25">
      <c r="A36" s="1"/>
      <c r="B36" s="212"/>
      <c r="C36" s="405"/>
      <c r="D36" s="307"/>
      <c r="E36" s="307"/>
      <c r="F36" s="658"/>
      <c r="G36" s="658"/>
      <c r="H36" s="658"/>
      <c r="I36" s="207"/>
      <c r="J36" s="658"/>
      <c r="K36" s="658"/>
      <c r="L36" s="658"/>
      <c r="M36" s="658"/>
      <c r="N36" s="658"/>
      <c r="O36" s="658"/>
      <c r="P36" s="658"/>
      <c r="Q36" s="655"/>
      <c r="R36" s="207"/>
      <c r="S36" s="324"/>
      <c r="T36" s="317"/>
      <c r="U36" s="342"/>
      <c r="V36" s="77"/>
      <c r="W36" s="77"/>
      <c r="X36" s="77"/>
      <c r="Y36" s="77"/>
      <c r="Z36" s="77"/>
      <c r="AA36" s="77"/>
      <c r="AB36" s="77"/>
      <c r="AC36" s="77"/>
      <c r="AD36" s="77"/>
      <c r="AE36" s="77"/>
      <c r="AF36" s="77"/>
      <c r="AG36" s="77"/>
    </row>
    <row r="37" spans="1:33" ht="52.05" customHeight="1" x14ac:dyDescent="0.2">
      <c r="A37" s="1"/>
      <c r="B37" s="212"/>
      <c r="C37" s="995" t="s">
        <v>987</v>
      </c>
      <c r="D37" s="307"/>
      <c r="E37" s="307"/>
      <c r="F37" s="658">
        <f t="shared" ref="F37:P37" si="5">F33-F26-SUM(F29:F31)</f>
        <v>147869671.56</v>
      </c>
      <c r="G37" s="658">
        <f t="shared" si="5"/>
        <v>157198208.87</v>
      </c>
      <c r="H37" s="658">
        <f t="shared" si="5"/>
        <v>164745768.76999992</v>
      </c>
      <c r="I37" s="658">
        <f t="shared" si="5"/>
        <v>171266348.98624995</v>
      </c>
      <c r="J37" s="658">
        <f t="shared" si="5"/>
        <v>178278366.94065627</v>
      </c>
      <c r="K37" s="658">
        <f t="shared" si="5"/>
        <v>182626216.8859227</v>
      </c>
      <c r="L37" s="658">
        <f t="shared" si="5"/>
        <v>187024080.62557068</v>
      </c>
      <c r="M37" s="658">
        <f t="shared" si="5"/>
        <v>191555244.85396001</v>
      </c>
      <c r="N37" s="658">
        <f t="shared" si="5"/>
        <v>196194494.32630897</v>
      </c>
      <c r="O37" s="658">
        <f t="shared" si="5"/>
        <v>200957132.88871676</v>
      </c>
      <c r="P37" s="658">
        <f t="shared" si="5"/>
        <v>206535277.14818466</v>
      </c>
      <c r="Q37" s="655">
        <f>SUM(G37:P37)</f>
        <v>1836381140.2955699</v>
      </c>
      <c r="R37" s="207"/>
      <c r="S37" s="324">
        <f>P37-F37</f>
        <v>58665605.588184655</v>
      </c>
      <c r="T37" s="317">
        <f>IF(F37=0,0,(S37/F37))</f>
        <v>0.39673859398801964</v>
      </c>
      <c r="U37" s="342"/>
      <c r="V37" s="77"/>
      <c r="W37" s="77"/>
      <c r="X37" s="77"/>
      <c r="Y37" s="77"/>
      <c r="Z37" s="77"/>
      <c r="AA37" s="77"/>
      <c r="AB37" s="77"/>
      <c r="AC37" s="77"/>
      <c r="AD37" s="77"/>
      <c r="AE37" s="77"/>
      <c r="AF37" s="77"/>
      <c r="AG37" s="77"/>
    </row>
    <row r="38" spans="1:33" ht="11.7" customHeight="1" x14ac:dyDescent="0.2">
      <c r="A38" s="1"/>
      <c r="B38" s="212"/>
      <c r="C38" s="428"/>
      <c r="D38" s="1"/>
      <c r="E38" s="1"/>
      <c r="F38" s="500"/>
      <c r="G38" s="500"/>
      <c r="H38" s="500"/>
      <c r="I38" s="576"/>
      <c r="J38" s="500"/>
      <c r="K38" s="500"/>
      <c r="L38" s="500"/>
      <c r="M38" s="500"/>
      <c r="N38" s="500"/>
      <c r="O38" s="500"/>
      <c r="P38" s="500"/>
      <c r="Q38" s="248"/>
      <c r="R38" s="576"/>
      <c r="S38" s="455"/>
      <c r="T38" s="347"/>
      <c r="U38" s="342"/>
      <c r="V38" s="77"/>
      <c r="W38" s="77"/>
      <c r="X38" s="77"/>
      <c r="Y38" s="77"/>
      <c r="Z38" s="77"/>
      <c r="AA38" s="77"/>
      <c r="AB38" s="77"/>
      <c r="AC38" s="77"/>
      <c r="AD38" s="77"/>
      <c r="AE38" s="77"/>
      <c r="AF38" s="77"/>
      <c r="AG38" s="77"/>
    </row>
    <row r="39" spans="1:33" customFormat="1" ht="11.7" customHeight="1" x14ac:dyDescent="0.25">
      <c r="A39" s="3"/>
      <c r="B39" s="212"/>
      <c r="C39" s="748" t="s">
        <v>988</v>
      </c>
      <c r="D39" s="738"/>
      <c r="E39" s="738"/>
      <c r="F39" s="749" t="str">
        <f>$F$19</f>
        <v>$ nominal per year</v>
      </c>
      <c r="G39" s="738"/>
      <c r="H39" s="79"/>
      <c r="I39" s="776"/>
      <c r="J39" s="79"/>
      <c r="K39" s="79"/>
      <c r="L39" s="79"/>
      <c r="M39" s="79"/>
      <c r="N39" s="79"/>
      <c r="O39" s="79"/>
      <c r="P39" s="79"/>
      <c r="Q39" s="79"/>
      <c r="R39" s="79"/>
      <c r="S39" s="79"/>
      <c r="T39" s="564"/>
      <c r="U39" s="214"/>
      <c r="V39" s="77"/>
      <c r="W39" s="77"/>
      <c r="X39" s="3"/>
      <c r="Y39" s="3"/>
      <c r="Z39" s="3"/>
      <c r="AA39" s="3"/>
      <c r="AB39" s="3"/>
      <c r="AC39" s="3"/>
      <c r="AD39" s="3"/>
      <c r="AE39" s="3"/>
      <c r="AF39" s="3"/>
      <c r="AG39" s="3"/>
    </row>
    <row r="40" spans="1:33" ht="11.7" customHeight="1" x14ac:dyDescent="0.25">
      <c r="A40" s="1"/>
      <c r="B40" s="212"/>
      <c r="C40" s="405"/>
      <c r="D40" s="1"/>
      <c r="E40" s="1"/>
      <c r="F40" s="278"/>
      <c r="G40" s="969"/>
      <c r="H40" s="969"/>
      <c r="I40" s="969"/>
      <c r="J40" s="969"/>
      <c r="K40" s="969"/>
      <c r="L40" s="969"/>
      <c r="M40" s="969"/>
      <c r="N40" s="969"/>
      <c r="O40" s="969"/>
      <c r="P40" s="969"/>
      <c r="Q40" s="576"/>
      <c r="R40" s="576"/>
      <c r="S40" s="455"/>
      <c r="T40" s="347"/>
      <c r="U40" s="342"/>
      <c r="V40" s="77"/>
      <c r="W40" s="77"/>
      <c r="X40" s="77"/>
      <c r="Y40" s="77"/>
      <c r="Z40" s="77"/>
      <c r="AA40" s="77"/>
      <c r="AB40" s="77"/>
      <c r="AC40" s="77"/>
      <c r="AD40" s="77"/>
      <c r="AE40" s="77"/>
      <c r="AF40" s="77"/>
      <c r="AG40" s="77"/>
    </row>
    <row r="41" spans="1:33" ht="11.7" customHeight="1" x14ac:dyDescent="0.2">
      <c r="A41" s="1"/>
      <c r="B41" s="212"/>
      <c r="C41" s="354" t="s">
        <v>899</v>
      </c>
      <c r="D41" s="307"/>
      <c r="E41" s="305"/>
      <c r="F41" s="258">
        <v>52421815.940000035</v>
      </c>
      <c r="G41" s="258">
        <v>54842236.430000037</v>
      </c>
      <c r="H41" s="258">
        <v>57032826.319999985</v>
      </c>
      <c r="I41" s="319">
        <v>59081173.50000003</v>
      </c>
      <c r="J41" s="258">
        <v>60865572.220000006</v>
      </c>
      <c r="K41" s="258">
        <v>62874136.140000008</v>
      </c>
      <c r="L41" s="258">
        <v>64948982.589999989</v>
      </c>
      <c r="M41" s="258">
        <v>67092299.030000009</v>
      </c>
      <c r="N41" s="773">
        <v>69306344.889999941</v>
      </c>
      <c r="O41" s="258">
        <v>71524147.909999996</v>
      </c>
      <c r="P41" s="773">
        <v>73812920.589999989</v>
      </c>
      <c r="Q41" s="655">
        <f t="shared" ref="Q41:Q46" si="6">SUM(G41:P41)</f>
        <v>641380639.62</v>
      </c>
      <c r="R41" s="207"/>
      <c r="S41" s="324">
        <f t="shared" ref="S41:S46" si="7">P41-F41</f>
        <v>21391104.649999954</v>
      </c>
      <c r="T41" s="317">
        <f t="shared" ref="T41:T46" si="8">IF(F41=0,0,(S41/F41))</f>
        <v>0.40805729955031272</v>
      </c>
      <c r="U41" s="342"/>
      <c r="V41" s="77"/>
      <c r="W41" s="77"/>
      <c r="X41" s="77"/>
      <c r="Y41" s="77"/>
      <c r="Z41" s="77"/>
      <c r="AA41" s="77"/>
      <c r="AB41" s="77"/>
      <c r="AC41" s="77"/>
      <c r="AD41" s="77"/>
      <c r="AE41" s="77"/>
      <c r="AF41" s="77"/>
      <c r="AG41" s="77"/>
    </row>
    <row r="42" spans="1:33" ht="11.7" customHeight="1" x14ac:dyDescent="0.2">
      <c r="A42" s="1"/>
      <c r="B42" s="212"/>
      <c r="C42" s="354" t="s">
        <v>900</v>
      </c>
      <c r="D42" s="307"/>
      <c r="E42" s="305"/>
      <c r="F42" s="258">
        <v>223161</v>
      </c>
      <c r="G42" s="258">
        <v>192158</v>
      </c>
      <c r="H42" s="258">
        <v>159071</v>
      </c>
      <c r="I42" s="319">
        <v>121216</v>
      </c>
      <c r="J42" s="258">
        <v>77525</v>
      </c>
      <c r="K42" s="258">
        <v>28162</v>
      </c>
      <c r="L42" s="258">
        <v>10000</v>
      </c>
      <c r="M42" s="258">
        <v>10000</v>
      </c>
      <c r="N42" s="773">
        <v>10000</v>
      </c>
      <c r="O42" s="258">
        <v>10000</v>
      </c>
      <c r="P42" s="773">
        <v>10000</v>
      </c>
      <c r="Q42" s="655">
        <f t="shared" si="6"/>
        <v>628132</v>
      </c>
      <c r="R42" s="207"/>
      <c r="S42" s="324">
        <f t="shared" si="7"/>
        <v>-213161</v>
      </c>
      <c r="T42" s="317">
        <f t="shared" si="8"/>
        <v>-0.95518930279036207</v>
      </c>
      <c r="U42" s="342"/>
      <c r="V42" s="77"/>
      <c r="W42" s="77"/>
      <c r="X42" s="77"/>
      <c r="Y42" s="77"/>
      <c r="Z42" s="77"/>
      <c r="AA42" s="77"/>
      <c r="AB42" s="77"/>
      <c r="AC42" s="77"/>
      <c r="AD42" s="77"/>
      <c r="AE42" s="77"/>
      <c r="AF42" s="77"/>
      <c r="AG42" s="77"/>
    </row>
    <row r="43" spans="1:33" ht="11.7" customHeight="1" x14ac:dyDescent="0.2">
      <c r="A43" s="1"/>
      <c r="B43" s="212"/>
      <c r="C43" s="354" t="s">
        <v>901</v>
      </c>
      <c r="D43" s="307"/>
      <c r="E43" s="305"/>
      <c r="F43" s="258">
        <v>66681605.490000002</v>
      </c>
      <c r="G43" s="258">
        <v>71076801.210000008</v>
      </c>
      <c r="H43" s="258">
        <v>73676702.969999924</v>
      </c>
      <c r="I43" s="319">
        <v>76650992.290000007</v>
      </c>
      <c r="J43" s="258">
        <v>79136429.009999961</v>
      </c>
      <c r="K43" s="258">
        <v>82042580.820000008</v>
      </c>
      <c r="L43" s="258">
        <v>84906782.409999952</v>
      </c>
      <c r="M43" s="258">
        <v>84687416.979999989</v>
      </c>
      <c r="N43" s="773">
        <v>86518605.199999973</v>
      </c>
      <c r="O43" s="258">
        <v>88630394.37000002</v>
      </c>
      <c r="P43" s="773">
        <v>91696580.949999988</v>
      </c>
      <c r="Q43" s="655">
        <f t="shared" si="6"/>
        <v>819023286.2099998</v>
      </c>
      <c r="R43" s="207"/>
      <c r="S43" s="324">
        <f t="shared" si="7"/>
        <v>25014975.459999986</v>
      </c>
      <c r="T43" s="317">
        <f t="shared" si="8"/>
        <v>0.37514056951960151</v>
      </c>
      <c r="U43" s="342"/>
      <c r="V43" s="77"/>
      <c r="W43" s="77"/>
      <c r="X43" s="77"/>
      <c r="Y43" s="77"/>
      <c r="Z43" s="77"/>
      <c r="AA43" s="77"/>
      <c r="AB43" s="77"/>
      <c r="AC43" s="77"/>
      <c r="AD43" s="77"/>
      <c r="AE43" s="77"/>
      <c r="AF43" s="77"/>
      <c r="AG43" s="77"/>
    </row>
    <row r="44" spans="1:33" ht="11.7" customHeight="1" x14ac:dyDescent="0.2">
      <c r="A44" s="1"/>
      <c r="B44" s="212"/>
      <c r="C44" s="354" t="s">
        <v>902</v>
      </c>
      <c r="D44" s="307"/>
      <c r="E44" s="305"/>
      <c r="F44" s="258">
        <v>21215275.289999999</v>
      </c>
      <c r="G44" s="258">
        <v>22170865.68</v>
      </c>
      <c r="H44" s="258">
        <v>23078600.990000006</v>
      </c>
      <c r="I44" s="319">
        <v>24024188.829999998</v>
      </c>
      <c r="J44" s="258">
        <v>25009207.669999998</v>
      </c>
      <c r="K44" s="258">
        <v>25946946.399999995</v>
      </c>
      <c r="L44" s="258">
        <v>26742064.68</v>
      </c>
      <c r="M44" s="258">
        <v>27876769.329999998</v>
      </c>
      <c r="N44" s="773">
        <v>29036655.039999999</v>
      </c>
      <c r="O44" s="258">
        <v>30266157.989999995</v>
      </c>
      <c r="P44" s="773">
        <v>31441781.089999996</v>
      </c>
      <c r="Q44" s="655">
        <f t="shared" si="6"/>
        <v>265593237.69999996</v>
      </c>
      <c r="R44" s="207"/>
      <c r="S44" s="324">
        <f t="shared" si="7"/>
        <v>10226505.799999997</v>
      </c>
      <c r="T44" s="317">
        <f t="shared" si="8"/>
        <v>0.48203502713068014</v>
      </c>
      <c r="U44" s="342"/>
      <c r="V44" s="77"/>
      <c r="W44" s="77"/>
      <c r="X44" s="77"/>
      <c r="Y44" s="77"/>
      <c r="Z44" s="77"/>
      <c r="AA44" s="77"/>
      <c r="AB44" s="77"/>
      <c r="AC44" s="77"/>
      <c r="AD44" s="77"/>
      <c r="AE44" s="77"/>
      <c r="AF44" s="77"/>
      <c r="AG44" s="77"/>
    </row>
    <row r="45" spans="1:33" ht="11.7" customHeight="1" x14ac:dyDescent="0.2">
      <c r="A45" s="1"/>
      <c r="B45" s="212"/>
      <c r="C45" s="354" t="s">
        <v>904</v>
      </c>
      <c r="D45" s="307"/>
      <c r="E45" s="305"/>
      <c r="F45" s="258">
        <v>3874129.58</v>
      </c>
      <c r="G45" s="258">
        <v>4009724.1100000003</v>
      </c>
      <c r="H45" s="258">
        <v>4126006.1399999992</v>
      </c>
      <c r="I45" s="319">
        <v>4241534.3199999984</v>
      </c>
      <c r="J45" s="258">
        <v>4343331.1599999983</v>
      </c>
      <c r="K45" s="258">
        <v>4447571.1199999992</v>
      </c>
      <c r="L45" s="258">
        <v>4554312.8299999991</v>
      </c>
      <c r="M45" s="258">
        <v>4663616.3400000008</v>
      </c>
      <c r="N45" s="773">
        <v>4775543.1199999992</v>
      </c>
      <c r="O45" s="258">
        <v>4894931.6900000004</v>
      </c>
      <c r="P45" s="773">
        <v>5017304.9899999993</v>
      </c>
      <c r="Q45" s="655">
        <f t="shared" si="6"/>
        <v>45073875.819999993</v>
      </c>
      <c r="R45" s="207"/>
      <c r="S45" s="324">
        <f t="shared" si="7"/>
        <v>1143175.4099999992</v>
      </c>
      <c r="T45" s="317">
        <f t="shared" si="8"/>
        <v>0.29507929107523534</v>
      </c>
      <c r="U45" s="342"/>
      <c r="V45" s="77"/>
      <c r="W45" s="77"/>
      <c r="X45" s="77"/>
      <c r="Y45" s="77"/>
      <c r="Z45" s="77"/>
      <c r="AA45" s="77"/>
      <c r="AB45" s="77"/>
      <c r="AC45" s="77"/>
      <c r="AD45" s="77"/>
      <c r="AE45" s="77"/>
      <c r="AF45" s="77"/>
      <c r="AG45" s="77"/>
    </row>
    <row r="46" spans="1:33" ht="11.7" customHeight="1" x14ac:dyDescent="0.2">
      <c r="A46" s="1"/>
      <c r="B46" s="212"/>
      <c r="C46" s="280" t="s">
        <v>981</v>
      </c>
      <c r="D46" s="307"/>
      <c r="E46" s="305"/>
      <c r="F46" s="258"/>
      <c r="G46" s="258"/>
      <c r="H46" s="258"/>
      <c r="I46" s="319"/>
      <c r="J46" s="258"/>
      <c r="K46" s="258"/>
      <c r="L46" s="258"/>
      <c r="M46" s="258"/>
      <c r="N46" s="773"/>
      <c r="O46" s="258"/>
      <c r="P46" s="773"/>
      <c r="Q46" s="655">
        <f t="shared" si="6"/>
        <v>0</v>
      </c>
      <c r="R46" s="207"/>
      <c r="S46" s="324">
        <f t="shared" si="7"/>
        <v>0</v>
      </c>
      <c r="T46" s="317">
        <f t="shared" si="8"/>
        <v>0</v>
      </c>
      <c r="U46" s="342"/>
      <c r="V46" s="77"/>
      <c r="W46" s="77"/>
      <c r="X46" s="77"/>
      <c r="Y46" s="77"/>
      <c r="Z46" s="77"/>
      <c r="AA46" s="77"/>
      <c r="AB46" s="77"/>
      <c r="AC46" s="77"/>
      <c r="AD46" s="77"/>
      <c r="AE46" s="77"/>
      <c r="AF46" s="77"/>
      <c r="AG46" s="77"/>
    </row>
    <row r="47" spans="1:33" ht="11.7" customHeight="1" x14ac:dyDescent="0.25">
      <c r="A47" s="1"/>
      <c r="B47" s="212"/>
      <c r="C47" s="737" t="s">
        <v>989</v>
      </c>
      <c r="D47" s="307"/>
      <c r="E47" s="305"/>
      <c r="F47" s="500"/>
      <c r="G47" s="500"/>
      <c r="H47" s="500"/>
      <c r="I47" s="576"/>
      <c r="J47" s="500"/>
      <c r="K47" s="500"/>
      <c r="L47" s="500"/>
      <c r="M47" s="500"/>
      <c r="N47" s="500"/>
      <c r="O47" s="500"/>
      <c r="P47" s="500"/>
      <c r="Q47" s="248"/>
      <c r="R47" s="576"/>
      <c r="S47" s="455"/>
      <c r="T47" s="347"/>
      <c r="U47" s="342"/>
      <c r="V47" s="77"/>
      <c r="W47" s="77"/>
      <c r="X47" s="77"/>
      <c r="Y47" s="77"/>
      <c r="Z47" s="77"/>
      <c r="AA47" s="77"/>
      <c r="AB47" s="77"/>
      <c r="AC47" s="77"/>
      <c r="AD47" s="77"/>
      <c r="AE47" s="77"/>
      <c r="AF47" s="77"/>
      <c r="AG47" s="77"/>
    </row>
    <row r="48" spans="1:33" ht="11.7" customHeight="1" x14ac:dyDescent="0.2">
      <c r="A48" s="1"/>
      <c r="B48" s="212"/>
      <c r="C48" s="354" t="s">
        <v>990</v>
      </c>
      <c r="D48" s="307"/>
      <c r="E48" s="305"/>
      <c r="F48" s="258"/>
      <c r="G48" s="258"/>
      <c r="H48" s="258"/>
      <c r="I48" s="258"/>
      <c r="J48" s="258"/>
      <c r="K48" s="258"/>
      <c r="L48" s="258"/>
      <c r="M48" s="258"/>
      <c r="N48" s="258"/>
      <c r="O48" s="258"/>
      <c r="P48" s="258"/>
      <c r="Q48" s="655">
        <f>SUM(G48:P48)</f>
        <v>0</v>
      </c>
      <c r="R48" s="207"/>
      <c r="S48" s="324">
        <f>P48-F48</f>
        <v>0</v>
      </c>
      <c r="T48" s="317">
        <f>IF(F48=0,0,(S48/F48))</f>
        <v>0</v>
      </c>
      <c r="U48" s="342"/>
      <c r="V48" s="77"/>
      <c r="W48" s="77"/>
      <c r="X48" s="77"/>
      <c r="Y48" s="77"/>
      <c r="Z48" s="77"/>
      <c r="AA48" s="77"/>
      <c r="AB48" s="77"/>
      <c r="AC48" s="77"/>
      <c r="AD48" s="77"/>
      <c r="AE48" s="77"/>
      <c r="AF48" s="77"/>
      <c r="AG48" s="77"/>
    </row>
    <row r="49" spans="1:39" ht="11.7" customHeight="1" x14ac:dyDescent="0.2">
      <c r="A49" s="1"/>
      <c r="B49" s="212"/>
      <c r="C49" s="354" t="s">
        <v>907</v>
      </c>
      <c r="D49" s="307"/>
      <c r="E49" s="305"/>
      <c r="F49" s="258"/>
      <c r="G49" s="258"/>
      <c r="H49" s="258"/>
      <c r="I49" s="258"/>
      <c r="J49" s="258"/>
      <c r="K49" s="258"/>
      <c r="L49" s="258"/>
      <c r="M49" s="258"/>
      <c r="N49" s="258"/>
      <c r="O49" s="258"/>
      <c r="P49" s="258"/>
      <c r="Q49" s="655">
        <f>SUM(G49:P49)</f>
        <v>0</v>
      </c>
      <c r="R49" s="207"/>
      <c r="S49" s="324">
        <f>P49-F49</f>
        <v>0</v>
      </c>
      <c r="T49" s="317">
        <f>IF(F49=0,0,(S49/F49))</f>
        <v>0</v>
      </c>
      <c r="U49" s="342"/>
      <c r="V49" s="77"/>
      <c r="W49" s="77"/>
      <c r="X49" s="77"/>
      <c r="Y49" s="77"/>
      <c r="Z49" s="77"/>
      <c r="AA49" s="77"/>
      <c r="AB49" s="77"/>
      <c r="AC49" s="77"/>
      <c r="AD49" s="77"/>
      <c r="AE49" s="77"/>
      <c r="AF49" s="77"/>
      <c r="AG49" s="77"/>
    </row>
    <row r="50" spans="1:39" ht="11.7" customHeight="1" x14ac:dyDescent="0.2">
      <c r="A50" s="1"/>
      <c r="B50" s="212"/>
      <c r="C50" s="354" t="s">
        <v>906</v>
      </c>
      <c r="D50" s="307"/>
      <c r="E50" s="305"/>
      <c r="F50" s="294"/>
      <c r="G50" s="294"/>
      <c r="H50" s="294"/>
      <c r="I50" s="294"/>
      <c r="J50" s="294"/>
      <c r="K50" s="294"/>
      <c r="L50" s="294"/>
      <c r="M50" s="294"/>
      <c r="N50" s="294"/>
      <c r="O50" s="294"/>
      <c r="P50" s="294"/>
      <c r="Q50" s="655">
        <f>SUM(G50:P50)</f>
        <v>0</v>
      </c>
      <c r="R50" s="207"/>
      <c r="S50" s="324">
        <f>P50-F50</f>
        <v>0</v>
      </c>
      <c r="T50" s="317">
        <f>IF(F50=0,0,(S50/F50))</f>
        <v>0</v>
      </c>
      <c r="U50" s="342"/>
      <c r="V50" s="77"/>
      <c r="W50" s="77"/>
      <c r="X50" s="77"/>
      <c r="Y50" s="77"/>
      <c r="Z50" s="77"/>
      <c r="AA50" s="77"/>
      <c r="AB50" s="77"/>
      <c r="AC50" s="77"/>
      <c r="AD50" s="77"/>
      <c r="AE50" s="77"/>
      <c r="AF50" s="77"/>
      <c r="AG50" s="77"/>
    </row>
    <row r="51" spans="1:39" ht="11.7" customHeight="1" x14ac:dyDescent="0.2">
      <c r="A51" s="1"/>
      <c r="B51" s="212"/>
      <c r="C51" s="334"/>
      <c r="D51" s="1"/>
      <c r="E51" s="1"/>
      <c r="F51" s="500"/>
      <c r="G51" s="500"/>
      <c r="H51" s="500"/>
      <c r="I51" s="576"/>
      <c r="J51" s="500"/>
      <c r="K51" s="500"/>
      <c r="L51" s="500"/>
      <c r="M51" s="500"/>
      <c r="N51" s="500"/>
      <c r="O51" s="500"/>
      <c r="P51" s="500"/>
      <c r="Q51" s="248"/>
      <c r="R51" s="576"/>
      <c r="S51" s="455"/>
      <c r="T51" s="347"/>
      <c r="U51" s="342"/>
      <c r="V51" s="77"/>
      <c r="W51" s="77"/>
      <c r="X51" s="77"/>
      <c r="Y51" s="77"/>
      <c r="Z51" s="77"/>
      <c r="AA51" s="77"/>
      <c r="AB51" s="77"/>
      <c r="AC51" s="77"/>
      <c r="AD51" s="77"/>
      <c r="AE51" s="77"/>
      <c r="AF51" s="77"/>
      <c r="AG51" s="77"/>
    </row>
    <row r="52" spans="1:39" ht="11.7" customHeight="1" x14ac:dyDescent="0.25">
      <c r="A52" s="1"/>
      <c r="B52" s="212"/>
      <c r="C52" s="405" t="s">
        <v>991</v>
      </c>
      <c r="D52" s="307"/>
      <c r="E52" s="307"/>
      <c r="F52" s="772">
        <f t="shared" ref="F52:Q52" si="9">SUM(F41:F50)</f>
        <v>144415987.30000004</v>
      </c>
      <c r="G52" s="772">
        <f t="shared" si="9"/>
        <v>152291785.43000007</v>
      </c>
      <c r="H52" s="772">
        <f t="shared" si="9"/>
        <v>158073207.4199999</v>
      </c>
      <c r="I52" s="297">
        <f t="shared" si="9"/>
        <v>164119104.94</v>
      </c>
      <c r="J52" s="772">
        <f t="shared" si="9"/>
        <v>169432065.05999994</v>
      </c>
      <c r="K52" s="772">
        <f t="shared" si="9"/>
        <v>175339396.48000002</v>
      </c>
      <c r="L52" s="772">
        <f t="shared" si="9"/>
        <v>181162142.50999996</v>
      </c>
      <c r="M52" s="772">
        <f t="shared" si="9"/>
        <v>184330101.67999998</v>
      </c>
      <c r="N52" s="772">
        <f t="shared" si="9"/>
        <v>189647148.24999991</v>
      </c>
      <c r="O52" s="772">
        <f t="shared" si="9"/>
        <v>195325631.96000004</v>
      </c>
      <c r="P52" s="772">
        <f t="shared" si="9"/>
        <v>201978587.61999997</v>
      </c>
      <c r="Q52" s="676">
        <f t="shared" si="9"/>
        <v>1771699171.3499999</v>
      </c>
      <c r="R52" s="297"/>
      <c r="S52" s="344">
        <f>SUM(S41:S50)</f>
        <v>57562600.319999933</v>
      </c>
      <c r="T52" s="318">
        <f>IF(F52=0,0,(S52/F52))</f>
        <v>0.39858883629291864</v>
      </c>
      <c r="U52" s="342"/>
      <c r="V52" s="77"/>
      <c r="W52" s="77"/>
      <c r="X52" s="77"/>
      <c r="Y52" s="77"/>
      <c r="Z52" s="77"/>
      <c r="AA52" s="77"/>
      <c r="AB52" s="77"/>
      <c r="AC52" s="77"/>
      <c r="AD52" s="77"/>
      <c r="AE52" s="77"/>
      <c r="AF52" s="77"/>
      <c r="AG52" s="77"/>
    </row>
    <row r="53" spans="1:39" ht="11.7" customHeight="1" x14ac:dyDescent="0.25">
      <c r="A53" s="1"/>
      <c r="B53" s="212"/>
      <c r="C53" s="405"/>
      <c r="D53" s="307"/>
      <c r="E53" s="307"/>
      <c r="F53" s="772"/>
      <c r="G53" s="772"/>
      <c r="H53" s="772"/>
      <c r="I53" s="344"/>
      <c r="J53" s="772"/>
      <c r="K53" s="772"/>
      <c r="L53" s="772"/>
      <c r="M53" s="772"/>
      <c r="N53" s="772"/>
      <c r="O53" s="772"/>
      <c r="P53" s="772"/>
      <c r="Q53" s="676"/>
      <c r="R53" s="297"/>
      <c r="S53" s="344"/>
      <c r="T53" s="318"/>
      <c r="U53" s="342"/>
      <c r="V53" s="77"/>
      <c r="W53" s="77"/>
      <c r="X53" s="77"/>
      <c r="Y53" s="77"/>
      <c r="Z53" s="77"/>
      <c r="AA53" s="77"/>
      <c r="AB53" s="77"/>
      <c r="AC53" s="77"/>
      <c r="AD53" s="77"/>
      <c r="AE53" s="77"/>
      <c r="AF53" s="77"/>
      <c r="AG53" s="77"/>
    </row>
    <row r="54" spans="1:39" ht="42" customHeight="1" x14ac:dyDescent="0.2">
      <c r="A54" s="1"/>
      <c r="B54" s="212"/>
      <c r="C54" s="995" t="s">
        <v>992</v>
      </c>
      <c r="D54" s="307"/>
      <c r="E54" s="307"/>
      <c r="F54" s="658">
        <f t="shared" ref="F54:P54" si="10">F52-SUM(F48:F50)</f>
        <v>144415987.30000004</v>
      </c>
      <c r="G54" s="658">
        <f t="shared" si="10"/>
        <v>152291785.43000007</v>
      </c>
      <c r="H54" s="658">
        <f t="shared" si="10"/>
        <v>158073207.4199999</v>
      </c>
      <c r="I54" s="658">
        <f t="shared" si="10"/>
        <v>164119104.94</v>
      </c>
      <c r="J54" s="658">
        <f t="shared" si="10"/>
        <v>169432065.05999994</v>
      </c>
      <c r="K54" s="658">
        <f t="shared" si="10"/>
        <v>175339396.48000002</v>
      </c>
      <c r="L54" s="658">
        <f t="shared" si="10"/>
        <v>181162142.50999996</v>
      </c>
      <c r="M54" s="658">
        <f t="shared" si="10"/>
        <v>184330101.67999998</v>
      </c>
      <c r="N54" s="658">
        <f t="shared" si="10"/>
        <v>189647148.24999991</v>
      </c>
      <c r="O54" s="658">
        <f t="shared" si="10"/>
        <v>195325631.96000004</v>
      </c>
      <c r="P54" s="658">
        <f t="shared" si="10"/>
        <v>201978587.61999997</v>
      </c>
      <c r="Q54" s="655">
        <f>Q52-Q50</f>
        <v>1771699171.3499999</v>
      </c>
      <c r="R54" s="207"/>
      <c r="S54" s="324">
        <f>P54-F54</f>
        <v>57562600.319999933</v>
      </c>
      <c r="T54" s="317">
        <f>IF(F54=0,0,(S54/F54))</f>
        <v>0.39858883629291864</v>
      </c>
      <c r="U54" s="342"/>
      <c r="V54" s="77"/>
      <c r="W54" s="77"/>
      <c r="X54" s="77"/>
      <c r="Y54" s="77"/>
      <c r="Z54" s="77"/>
      <c r="AA54" s="77"/>
      <c r="AB54" s="77"/>
      <c r="AC54" s="77"/>
      <c r="AD54" s="77"/>
      <c r="AE54" s="77"/>
      <c r="AF54" s="77"/>
      <c r="AG54" s="77"/>
    </row>
    <row r="55" spans="1:39" ht="11.7" customHeight="1" x14ac:dyDescent="0.2">
      <c r="A55" s="1"/>
      <c r="B55" s="212"/>
      <c r="C55" s="334"/>
      <c r="D55" s="307"/>
      <c r="E55" s="305"/>
      <c r="F55" s="658"/>
      <c r="G55" s="658"/>
      <c r="H55" s="658"/>
      <c r="I55" s="324"/>
      <c r="J55" s="658"/>
      <c r="K55" s="658"/>
      <c r="L55" s="658"/>
      <c r="M55" s="658"/>
      <c r="N55" s="658"/>
      <c r="O55" s="658"/>
      <c r="P55" s="658"/>
      <c r="Q55" s="655"/>
      <c r="R55" s="207"/>
      <c r="S55" s="324"/>
      <c r="T55" s="317"/>
      <c r="U55" s="342"/>
      <c r="V55" s="77"/>
      <c r="W55" s="77"/>
      <c r="X55" s="77"/>
      <c r="Y55" s="77"/>
      <c r="Z55" s="77"/>
      <c r="AA55" s="77"/>
      <c r="AB55" s="77"/>
      <c r="AC55" s="77"/>
      <c r="AD55" s="77"/>
      <c r="AE55" s="77"/>
      <c r="AF55" s="77"/>
      <c r="AG55" s="77"/>
    </row>
    <row r="56" spans="1:39" customFormat="1" ht="11.7" customHeight="1" x14ac:dyDescent="0.25">
      <c r="A56" s="3"/>
      <c r="B56" s="212"/>
      <c r="C56" s="748" t="s">
        <v>993</v>
      </c>
      <c r="D56" s="738"/>
      <c r="E56" s="738"/>
      <c r="F56" s="749" t="str">
        <f>$F$19</f>
        <v>$ nominal per year</v>
      </c>
      <c r="G56" s="327"/>
      <c r="H56" s="738"/>
      <c r="I56" s="777"/>
      <c r="J56" s="79"/>
      <c r="K56" s="79"/>
      <c r="L56" s="79"/>
      <c r="M56" s="79"/>
      <c r="N56" s="79"/>
      <c r="O56" s="79"/>
      <c r="P56" s="79"/>
      <c r="Q56" s="79"/>
      <c r="R56" s="79"/>
      <c r="S56" s="79"/>
      <c r="T56" s="564"/>
      <c r="U56" s="214"/>
      <c r="V56" s="77"/>
      <c r="W56" s="77"/>
      <c r="X56" s="3"/>
      <c r="Y56" s="3"/>
      <c r="Z56" s="3"/>
      <c r="AA56" s="3"/>
      <c r="AB56" s="3"/>
      <c r="AC56" s="3"/>
      <c r="AD56" s="3"/>
      <c r="AE56" s="3"/>
      <c r="AF56" s="3"/>
      <c r="AG56" s="3"/>
    </row>
    <row r="57" spans="1:39" ht="11.7" customHeight="1" x14ac:dyDescent="0.25">
      <c r="A57" s="1"/>
      <c r="B57" s="212"/>
      <c r="C57" s="405"/>
      <c r="D57" s="1"/>
      <c r="E57" s="1"/>
      <c r="F57" s="278"/>
      <c r="G57" s="278"/>
      <c r="H57" s="278"/>
      <c r="I57" s="775"/>
      <c r="J57" s="278"/>
      <c r="K57" s="278"/>
      <c r="L57" s="278"/>
      <c r="M57" s="278"/>
      <c r="N57" s="278"/>
      <c r="O57" s="278"/>
      <c r="P57" s="278"/>
      <c r="Q57" s="576"/>
      <c r="R57" s="576"/>
      <c r="S57" s="455"/>
      <c r="T57" s="347"/>
      <c r="U57" s="342"/>
      <c r="V57" s="77"/>
      <c r="W57" s="77"/>
      <c r="X57" s="77"/>
      <c r="Y57" s="77"/>
      <c r="Z57" s="77"/>
      <c r="AA57" s="77"/>
      <c r="AB57" s="77"/>
      <c r="AC57" s="77"/>
      <c r="AD57" s="77"/>
      <c r="AE57" s="77"/>
      <c r="AF57" s="77"/>
      <c r="AG57" s="77"/>
    </row>
    <row r="58" spans="1:39" ht="11.7" customHeight="1" x14ac:dyDescent="0.2">
      <c r="A58" s="1"/>
      <c r="B58" s="212"/>
      <c r="C58" s="334" t="s">
        <v>911</v>
      </c>
      <c r="D58" s="307"/>
      <c r="E58" s="305"/>
      <c r="F58" s="207">
        <f t="shared" ref="F58:P58" si="11">F33-F52</f>
        <v>11903684.259999961</v>
      </c>
      <c r="G58" s="207">
        <f t="shared" si="11"/>
        <v>14337876.439999938</v>
      </c>
      <c r="H58" s="207">
        <f t="shared" si="11"/>
        <v>16229626.50000003</v>
      </c>
      <c r="I58" s="324">
        <f t="shared" si="11"/>
        <v>16829107.036249936</v>
      </c>
      <c r="J58" s="207">
        <f t="shared" si="11"/>
        <v>67248129.560656309</v>
      </c>
      <c r="K58" s="207">
        <f t="shared" si="11"/>
        <v>17191251.955922693</v>
      </c>
      <c r="L58" s="207">
        <f t="shared" si="11"/>
        <v>15881676.035570741</v>
      </c>
      <c r="M58" s="207">
        <f t="shared" si="11"/>
        <v>17362954.793960005</v>
      </c>
      <c r="N58" s="207">
        <f t="shared" si="11"/>
        <v>16806065.156309068</v>
      </c>
      <c r="O58" s="207">
        <f t="shared" si="11"/>
        <v>16019188.008716702</v>
      </c>
      <c r="P58" s="207">
        <f t="shared" si="11"/>
        <v>15076568.788184673</v>
      </c>
      <c r="Q58" s="208">
        <f>SUM(G58:P58)</f>
        <v>212982444.27557009</v>
      </c>
      <c r="R58" s="207"/>
      <c r="S58" s="324">
        <f>P58-F58</f>
        <v>3172884.5281847119</v>
      </c>
      <c r="T58" s="317">
        <f>IF(F58=0,0,(S58/F58))</f>
        <v>0.26654642872598522</v>
      </c>
      <c r="U58" s="342"/>
      <c r="V58" s="77"/>
      <c r="W58" s="77"/>
      <c r="X58" s="77"/>
      <c r="Y58" s="77"/>
      <c r="Z58" s="77"/>
      <c r="AA58" s="77"/>
      <c r="AB58" s="77"/>
      <c r="AC58" s="77"/>
      <c r="AD58" s="77"/>
      <c r="AE58" s="77"/>
      <c r="AF58" s="77"/>
      <c r="AG58" s="77"/>
    </row>
    <row r="59" spans="1:39" ht="26.25" customHeight="1" x14ac:dyDescent="0.25">
      <c r="A59" s="1"/>
      <c r="B59" s="212"/>
      <c r="C59" s="896" t="s">
        <v>994</v>
      </c>
      <c r="D59" s="307"/>
      <c r="E59" s="305"/>
      <c r="F59" s="297">
        <f t="shared" ref="F59:P59" si="12">F35-F52</f>
        <v>3553684.2599999607</v>
      </c>
      <c r="G59" s="297">
        <f t="shared" si="12"/>
        <v>5009923.439999938</v>
      </c>
      <c r="H59" s="297">
        <f t="shared" si="12"/>
        <v>6779062.8500000238</v>
      </c>
      <c r="I59" s="297">
        <f t="shared" si="12"/>
        <v>7256727.5862499475</v>
      </c>
      <c r="J59" s="297">
        <f t="shared" si="12"/>
        <v>8958413.0206563175</v>
      </c>
      <c r="K59" s="297">
        <f t="shared" si="12"/>
        <v>7401622.2159226835</v>
      </c>
      <c r="L59" s="297">
        <f t="shared" si="12"/>
        <v>5979495.1655707359</v>
      </c>
      <c r="M59" s="297">
        <f t="shared" si="12"/>
        <v>7345521.593960017</v>
      </c>
      <c r="N59" s="297">
        <f t="shared" si="12"/>
        <v>6670613.5763090551</v>
      </c>
      <c r="O59" s="297">
        <f t="shared" si="12"/>
        <v>5757850.1187167168</v>
      </c>
      <c r="P59" s="297">
        <f t="shared" si="12"/>
        <v>4686197.448184669</v>
      </c>
      <c r="Q59" s="297">
        <f>SUM(G59:P59)</f>
        <v>65845427.015570104</v>
      </c>
      <c r="R59" s="207"/>
      <c r="S59" s="344">
        <f>P59-F59</f>
        <v>1132513.1881847084</v>
      </c>
      <c r="T59" s="318">
        <f>IF(F59=0,0,(S59/F59))</f>
        <v>0.3186870597740501</v>
      </c>
      <c r="U59" s="342"/>
      <c r="V59" s="77"/>
      <c r="W59" s="77"/>
      <c r="X59" s="77"/>
      <c r="Y59" s="77"/>
      <c r="Z59" s="77"/>
      <c r="AA59" s="77"/>
      <c r="AB59" s="77"/>
      <c r="AC59" s="77"/>
      <c r="AD59" s="77"/>
      <c r="AE59" s="77"/>
      <c r="AF59" s="77"/>
      <c r="AG59" s="77"/>
    </row>
    <row r="60" spans="1:39" ht="50.25" customHeight="1" x14ac:dyDescent="0.25">
      <c r="A60" s="1"/>
      <c r="B60" s="212"/>
      <c r="C60" s="909" t="s">
        <v>995</v>
      </c>
      <c r="D60" s="307"/>
      <c r="E60" s="305"/>
      <c r="F60" s="207">
        <f t="shared" ref="F60:P60" si="13">F37-F54</f>
        <v>3453684.2599999607</v>
      </c>
      <c r="G60" s="207">
        <f t="shared" si="13"/>
        <v>4906423.439999938</v>
      </c>
      <c r="H60" s="207">
        <f t="shared" si="13"/>
        <v>6672561.3500000238</v>
      </c>
      <c r="I60" s="207">
        <f t="shared" si="13"/>
        <v>7147244.0462499559</v>
      </c>
      <c r="J60" s="207">
        <f t="shared" si="13"/>
        <v>8846301.8806563318</v>
      </c>
      <c r="K60" s="207">
        <f t="shared" si="13"/>
        <v>7286820.4059226811</v>
      </c>
      <c r="L60" s="207">
        <f t="shared" si="13"/>
        <v>5861938.115570724</v>
      </c>
      <c r="M60" s="207">
        <f t="shared" si="13"/>
        <v>7225143.1739600301</v>
      </c>
      <c r="N60" s="207">
        <f t="shared" si="13"/>
        <v>6547346.0763090551</v>
      </c>
      <c r="O60" s="207">
        <f t="shared" si="13"/>
        <v>5631500.9287167192</v>
      </c>
      <c r="P60" s="207">
        <f t="shared" si="13"/>
        <v>4556689.5281846821</v>
      </c>
      <c r="Q60" s="208">
        <f>SUM(G60:P60)</f>
        <v>64681968.945570141</v>
      </c>
      <c r="R60" s="297"/>
      <c r="S60" s="324">
        <f>P60-F60</f>
        <v>1103005.2681847215</v>
      </c>
      <c r="T60" s="317">
        <f>IF(F60=0,0,(S60/F60))</f>
        <v>0.31937061559435487</v>
      </c>
      <c r="U60" s="342"/>
      <c r="V60" s="77"/>
      <c r="W60" s="77"/>
      <c r="X60" s="77"/>
      <c r="Y60" s="77"/>
      <c r="Z60" s="77"/>
      <c r="AA60" s="77"/>
      <c r="AB60" s="77"/>
      <c r="AC60" s="77"/>
      <c r="AD60" s="77"/>
      <c r="AE60" s="77"/>
      <c r="AF60" s="77"/>
      <c r="AG60" s="77"/>
    </row>
    <row r="61" spans="1:39" ht="11.7" customHeight="1" x14ac:dyDescent="0.25">
      <c r="A61" s="1"/>
      <c r="B61" s="212"/>
      <c r="C61" s="405"/>
      <c r="D61" s="1"/>
      <c r="E61" s="1"/>
      <c r="F61" s="278"/>
      <c r="G61" s="278"/>
      <c r="H61" s="278"/>
      <c r="I61" s="775"/>
      <c r="J61" s="278"/>
      <c r="K61" s="278"/>
      <c r="L61" s="278"/>
      <c r="M61" s="278"/>
      <c r="N61" s="278"/>
      <c r="O61" s="278"/>
      <c r="P61" s="278"/>
      <c r="Q61" s="576"/>
      <c r="R61" s="576"/>
      <c r="S61" s="455"/>
      <c r="T61" s="347"/>
      <c r="U61" s="342"/>
      <c r="V61" s="77"/>
      <c r="W61" s="77"/>
      <c r="X61" s="77"/>
      <c r="Y61" s="77"/>
      <c r="Z61" s="77"/>
      <c r="AA61" s="77"/>
      <c r="AB61" s="77"/>
      <c r="AC61" s="77"/>
      <c r="AD61" s="77"/>
      <c r="AE61" s="77"/>
      <c r="AF61" s="77"/>
      <c r="AG61" s="77"/>
    </row>
    <row r="62" spans="1:39" customFormat="1" ht="11.7" customHeight="1" x14ac:dyDescent="0.25">
      <c r="A62" s="3"/>
      <c r="B62" s="212"/>
      <c r="C62" s="748" t="s">
        <v>996</v>
      </c>
      <c r="D62" s="738"/>
      <c r="E62" s="738"/>
      <c r="F62" s="738"/>
      <c r="G62" s="327"/>
      <c r="H62" s="738"/>
      <c r="I62" s="777"/>
      <c r="J62" s="79"/>
      <c r="K62" s="79"/>
      <c r="L62" s="79"/>
      <c r="M62" s="79"/>
      <c r="N62" s="79"/>
      <c r="O62" s="79"/>
      <c r="P62" s="79"/>
      <c r="Q62" s="79"/>
      <c r="R62" s="79"/>
      <c r="S62" s="79"/>
      <c r="T62" s="564"/>
      <c r="U62" s="214"/>
      <c r="V62" s="77"/>
      <c r="W62" s="77"/>
      <c r="X62" s="77"/>
      <c r="Y62" s="77"/>
      <c r="Z62" s="77"/>
      <c r="AA62" s="77"/>
      <c r="AB62" s="77"/>
      <c r="AC62" s="77"/>
      <c r="AD62" s="77"/>
      <c r="AE62" s="77"/>
      <c r="AF62" s="77"/>
      <c r="AG62" s="77"/>
      <c r="AH62" s="75"/>
      <c r="AI62" s="75"/>
      <c r="AJ62" s="75"/>
      <c r="AK62" s="75"/>
      <c r="AL62" s="75"/>
      <c r="AM62" s="75"/>
    </row>
    <row r="63" spans="1:39" ht="11.7" customHeight="1" x14ac:dyDescent="0.25">
      <c r="A63" s="1"/>
      <c r="B63" s="212"/>
      <c r="C63" s="405"/>
      <c r="D63" s="1"/>
      <c r="E63" s="1"/>
      <c r="F63" s="278"/>
      <c r="G63" s="278"/>
      <c r="H63" s="278"/>
      <c r="I63" s="775"/>
      <c r="J63" s="278"/>
      <c r="K63" s="278"/>
      <c r="L63" s="278"/>
      <c r="M63" s="278"/>
      <c r="N63" s="278"/>
      <c r="O63" s="278"/>
      <c r="P63" s="278"/>
      <c r="Q63" s="576"/>
      <c r="R63" s="576"/>
      <c r="S63" s="455"/>
      <c r="T63" s="347"/>
      <c r="U63" s="342"/>
      <c r="V63" s="77"/>
      <c r="W63" s="77"/>
      <c r="X63" s="77"/>
      <c r="Y63" s="77"/>
      <c r="Z63" s="77"/>
      <c r="AA63" s="77"/>
      <c r="AB63" s="77"/>
      <c r="AC63" s="77"/>
      <c r="AD63" s="77"/>
      <c r="AE63" s="77"/>
      <c r="AF63" s="77"/>
      <c r="AG63" s="77"/>
    </row>
    <row r="64" spans="1:39" ht="11.7" customHeight="1" x14ac:dyDescent="0.2">
      <c r="A64" s="1"/>
      <c r="B64" s="212"/>
      <c r="C64" s="334" t="s">
        <v>997</v>
      </c>
      <c r="D64" s="307"/>
      <c r="E64" s="305"/>
      <c r="F64" s="207"/>
      <c r="G64" s="207">
        <f t="shared" ref="G64:P64" si="14">G21-F21</f>
        <v>7584024.419999972</v>
      </c>
      <c r="H64" s="207">
        <f t="shared" si="14"/>
        <v>7142273.869999975</v>
      </c>
      <c r="I64" s="324">
        <f t="shared" si="14"/>
        <v>6717111.2700000107</v>
      </c>
      <c r="J64" s="207">
        <f t="shared" si="14"/>
        <v>6032934.3900000751</v>
      </c>
      <c r="K64" s="207">
        <f t="shared" si="14"/>
        <v>3377729.9600000083</v>
      </c>
      <c r="L64" s="207">
        <f t="shared" si="14"/>
        <v>3461261.6099999249</v>
      </c>
      <c r="M64" s="207">
        <f t="shared" si="14"/>
        <v>3546859.810000062</v>
      </c>
      <c r="N64" s="207">
        <f t="shared" si="14"/>
        <v>3634575.4399999678</v>
      </c>
      <c r="O64" s="207">
        <f t="shared" si="14"/>
        <v>3766221.7199999988</v>
      </c>
      <c r="P64" s="207">
        <f t="shared" si="14"/>
        <v>4557093.6700000465</v>
      </c>
      <c r="Q64" s="208">
        <f>SUM(G64:P64)</f>
        <v>49820086.160000041</v>
      </c>
      <c r="R64" s="207"/>
      <c r="S64" s="341"/>
      <c r="T64" s="332"/>
      <c r="U64" s="342"/>
      <c r="V64" s="77"/>
      <c r="W64" s="77"/>
      <c r="X64" s="77"/>
      <c r="Y64" s="77"/>
      <c r="Z64" s="77"/>
      <c r="AA64" s="77"/>
      <c r="AB64" s="77"/>
      <c r="AC64" s="77"/>
      <c r="AD64" s="77"/>
      <c r="AE64" s="77"/>
      <c r="AF64" s="77"/>
      <c r="AG64" s="77"/>
    </row>
    <row r="65" spans="1:33" ht="11.7" customHeight="1" x14ac:dyDescent="0.2">
      <c r="A65" s="1"/>
      <c r="B65" s="212"/>
      <c r="C65" s="336" t="s">
        <v>998</v>
      </c>
      <c r="D65" s="313"/>
      <c r="E65" s="306"/>
      <c r="F65" s="337"/>
      <c r="G65" s="154">
        <f t="shared" ref="G65:P65" si="15">IF(F21=0,0,G21/F21-1)</f>
        <v>6.9481251626047236E-2</v>
      </c>
      <c r="H65" s="154">
        <f t="shared" si="15"/>
        <v>6.1183065640429746E-2</v>
      </c>
      <c r="I65" s="154">
        <f t="shared" si="15"/>
        <v>5.4223427531689739E-2</v>
      </c>
      <c r="J65" s="154">
        <f t="shared" si="15"/>
        <v>4.619557349669523E-2</v>
      </c>
      <c r="K65" s="154">
        <f t="shared" si="15"/>
        <v>2.4722011756304285E-2</v>
      </c>
      <c r="L65" s="154">
        <f t="shared" si="15"/>
        <v>2.4722207249250783E-2</v>
      </c>
      <c r="M65" s="154">
        <f t="shared" si="15"/>
        <v>2.4722403622274847E-2</v>
      </c>
      <c r="N65" s="154">
        <f t="shared" si="15"/>
        <v>2.4722599046710814E-2</v>
      </c>
      <c r="O65" s="154">
        <f t="shared" si="15"/>
        <v>2.499999992532298E-2</v>
      </c>
      <c r="P65" s="154">
        <f t="shared" si="15"/>
        <v>2.9511970892051043E-2</v>
      </c>
      <c r="Q65" s="338">
        <f>IF(F21=0,0,P21/F21-1)</f>
        <v>0.45642811135810279</v>
      </c>
      <c r="R65" s="154"/>
      <c r="S65" s="346"/>
      <c r="T65" s="339"/>
      <c r="U65" s="342"/>
      <c r="V65" s="77"/>
      <c r="W65" s="77"/>
      <c r="X65" s="77"/>
      <c r="Y65" s="77"/>
      <c r="Z65" s="77"/>
      <c r="AA65" s="77"/>
      <c r="AB65" s="77"/>
      <c r="AC65" s="77"/>
      <c r="AD65" s="77"/>
      <c r="AE65" s="77"/>
      <c r="AF65" s="77"/>
      <c r="AG65" s="77"/>
    </row>
    <row r="66" spans="1:33" x14ac:dyDescent="0.2">
      <c r="A66" s="1"/>
      <c r="B66" s="212"/>
      <c r="C66" s="917" t="s">
        <v>127</v>
      </c>
      <c r="D66" s="1"/>
      <c r="E66" s="1"/>
      <c r="F66" s="77"/>
      <c r="G66" s="635">
        <f t="shared" ref="G66:P66" si="16">G59-G60-G31+G50</f>
        <v>103500</v>
      </c>
      <c r="H66" s="635">
        <f t="shared" si="16"/>
        <v>106501.5</v>
      </c>
      <c r="I66" s="635">
        <f t="shared" si="16"/>
        <v>109483.53999999166</v>
      </c>
      <c r="J66" s="635">
        <f t="shared" si="16"/>
        <v>112111.13999998569</v>
      </c>
      <c r="K66" s="635">
        <f t="shared" si="16"/>
        <v>114801.81000000238</v>
      </c>
      <c r="L66" s="635">
        <f t="shared" si="16"/>
        <v>117557.05000001192</v>
      </c>
      <c r="M66" s="635">
        <f t="shared" si="16"/>
        <v>120378.41999998689</v>
      </c>
      <c r="N66" s="635">
        <f t="shared" si="16"/>
        <v>123267.5</v>
      </c>
      <c r="O66" s="635">
        <f t="shared" si="16"/>
        <v>126349.18999999762</v>
      </c>
      <c r="P66" s="635">
        <f t="shared" si="16"/>
        <v>129507.91999998689</v>
      </c>
      <c r="Q66" s="77"/>
      <c r="R66" s="77"/>
      <c r="S66" s="77"/>
      <c r="T66" s="77"/>
      <c r="U66" s="342"/>
      <c r="V66" s="77"/>
      <c r="W66" s="77"/>
      <c r="X66" s="77"/>
      <c r="Y66" s="77"/>
      <c r="Z66" s="77"/>
      <c r="AA66" s="77"/>
      <c r="AB66" s="77"/>
      <c r="AC66" s="77"/>
      <c r="AD66" s="77"/>
      <c r="AE66" s="77"/>
      <c r="AF66" s="77"/>
      <c r="AG66" s="77"/>
    </row>
    <row r="67" spans="1:33" ht="11.7" customHeight="1" x14ac:dyDescent="0.2">
      <c r="A67" s="1"/>
      <c r="B67" s="212"/>
      <c r="C67" s="1"/>
      <c r="D67" s="1"/>
      <c r="E67" s="1"/>
      <c r="F67" s="77"/>
      <c r="G67" s="77"/>
      <c r="H67" s="77"/>
      <c r="I67" s="77"/>
      <c r="J67" s="77"/>
      <c r="K67" s="77"/>
      <c r="L67" s="77"/>
      <c r="M67" s="77"/>
      <c r="N67" s="77"/>
      <c r="O67" s="77"/>
      <c r="P67" s="77"/>
      <c r="Q67" s="77"/>
      <c r="R67" s="77"/>
      <c r="S67" s="77"/>
      <c r="T67" s="77"/>
      <c r="U67" s="342"/>
      <c r="V67" s="77"/>
      <c r="W67" s="77"/>
      <c r="X67" s="77"/>
      <c r="Y67" s="77"/>
      <c r="Z67" s="77"/>
      <c r="AA67" s="77"/>
      <c r="AB67" s="77"/>
      <c r="AC67" s="77"/>
      <c r="AD67" s="77"/>
      <c r="AE67" s="77"/>
      <c r="AF67" s="77"/>
      <c r="AG67" s="77"/>
    </row>
    <row r="68" spans="1:33" ht="11.7" customHeight="1" x14ac:dyDescent="0.2">
      <c r="A68" s="1"/>
      <c r="B68" s="212"/>
      <c r="C68" s="1"/>
      <c r="D68" s="1"/>
      <c r="E68" s="1"/>
      <c r="F68" s="77"/>
      <c r="G68" s="77"/>
      <c r="H68" s="77"/>
      <c r="I68" s="77"/>
      <c r="J68" s="77"/>
      <c r="K68" s="77"/>
      <c r="L68" s="77"/>
      <c r="M68" s="77"/>
      <c r="N68" s="77"/>
      <c r="O68" s="77"/>
      <c r="P68" s="77"/>
      <c r="Q68" s="77"/>
      <c r="R68" s="77"/>
      <c r="S68" s="77"/>
      <c r="T68" s="77"/>
      <c r="U68" s="342"/>
      <c r="V68" s="77"/>
      <c r="W68" s="77"/>
      <c r="X68" s="77"/>
      <c r="Y68" s="77"/>
      <c r="Z68" s="77"/>
      <c r="AA68" s="77"/>
      <c r="AB68" s="77"/>
      <c r="AC68" s="77"/>
      <c r="AD68" s="77"/>
      <c r="AE68" s="77"/>
      <c r="AF68" s="77"/>
      <c r="AG68" s="77"/>
    </row>
    <row r="69" spans="1:33" customFormat="1" ht="19.95" customHeight="1" x14ac:dyDescent="0.25">
      <c r="A69" s="3"/>
      <c r="B69" s="212"/>
      <c r="C69" s="1246" t="s">
        <v>999</v>
      </c>
      <c r="D69" s="740"/>
      <c r="E69" s="740"/>
      <c r="F69" s="203"/>
      <c r="G69" s="187"/>
      <c r="H69" s="204"/>
      <c r="I69" s="204"/>
      <c r="J69" s="204"/>
      <c r="K69" s="204"/>
      <c r="L69" s="204"/>
      <c r="M69" s="204"/>
      <c r="N69" s="204"/>
      <c r="O69" s="204"/>
      <c r="P69" s="204"/>
      <c r="Q69" s="204"/>
      <c r="R69" s="204"/>
      <c r="S69" s="204"/>
      <c r="T69" s="326"/>
      <c r="U69" s="214"/>
      <c r="V69" s="77"/>
      <c r="W69" s="3"/>
      <c r="X69" s="3"/>
      <c r="Y69" s="3"/>
      <c r="Z69" s="3"/>
      <c r="AA69" s="3"/>
      <c r="AB69" s="3"/>
      <c r="AC69" s="3"/>
      <c r="AD69" s="3"/>
      <c r="AE69" s="3"/>
      <c r="AF69" s="3"/>
      <c r="AG69" s="3"/>
    </row>
    <row r="70" spans="1:33" ht="11.7" customHeight="1" x14ac:dyDescent="0.25">
      <c r="A70" s="1"/>
      <c r="B70" s="212"/>
      <c r="C70" s="1212"/>
      <c r="D70" s="727"/>
      <c r="E70" s="727"/>
      <c r="F70" s="1249" t="str">
        <f t="shared" ref="F70:S70" si="17">F$17</f>
        <v>Year 0</v>
      </c>
      <c r="G70" s="1249" t="str">
        <f t="shared" si="17"/>
        <v>Year 1</v>
      </c>
      <c r="H70" s="1249" t="str">
        <f t="shared" si="17"/>
        <v>Year 2</v>
      </c>
      <c r="I70" s="1249" t="str">
        <f t="shared" si="17"/>
        <v>Year 3</v>
      </c>
      <c r="J70" s="1249" t="str">
        <f t="shared" si="17"/>
        <v>Year 4</v>
      </c>
      <c r="K70" s="1249" t="str">
        <f t="shared" si="17"/>
        <v>Year 5</v>
      </c>
      <c r="L70" s="1249" t="str">
        <f t="shared" si="17"/>
        <v>Year 6</v>
      </c>
      <c r="M70" s="1249" t="str">
        <f t="shared" si="17"/>
        <v>Year 7</v>
      </c>
      <c r="N70" s="1249" t="str">
        <f t="shared" si="17"/>
        <v>Year 8</v>
      </c>
      <c r="O70" s="1249" t="str">
        <f t="shared" si="17"/>
        <v>Year 9</v>
      </c>
      <c r="P70" s="1249" t="str">
        <f t="shared" si="17"/>
        <v>Year 10</v>
      </c>
      <c r="Q70" s="1254" t="str">
        <f t="shared" si="17"/>
        <v>Sum of 10 years</v>
      </c>
      <c r="R70" s="1250">
        <f t="shared" si="17"/>
        <v>0</v>
      </c>
      <c r="S70" s="1189" t="str">
        <f t="shared" si="17"/>
        <v xml:space="preserve">  Change over 10 years</v>
      </c>
      <c r="T70" s="1188"/>
      <c r="U70" s="342"/>
      <c r="V70" s="77"/>
      <c r="W70" s="77"/>
      <c r="X70" s="77"/>
      <c r="Y70" s="77"/>
      <c r="Z70" s="77"/>
      <c r="AA70" s="77"/>
      <c r="AB70" s="77"/>
      <c r="AC70" s="77"/>
      <c r="AD70" s="77"/>
      <c r="AE70" s="77"/>
      <c r="AF70" s="77"/>
      <c r="AG70" s="77"/>
    </row>
    <row r="71" spans="1:33" ht="11.7" customHeight="1" x14ac:dyDescent="0.25">
      <c r="A71" s="1"/>
      <c r="B71" s="212"/>
      <c r="C71" s="328"/>
      <c r="D71" s="312"/>
      <c r="E71" s="304"/>
      <c r="F71" s="310" t="str">
        <f t="shared" ref="F71:P71" si="18">F$18</f>
        <v>2022-23</v>
      </c>
      <c r="G71" s="310" t="str">
        <f t="shared" si="18"/>
        <v>2023-24</v>
      </c>
      <c r="H71" s="310" t="str">
        <f t="shared" si="18"/>
        <v>2024-25</v>
      </c>
      <c r="I71" s="310" t="str">
        <f t="shared" si="18"/>
        <v>2025-26</v>
      </c>
      <c r="J71" s="310" t="str">
        <f t="shared" si="18"/>
        <v>2026-27</v>
      </c>
      <c r="K71" s="310" t="str">
        <f t="shared" si="18"/>
        <v>2027-28</v>
      </c>
      <c r="L71" s="310" t="str">
        <f t="shared" si="18"/>
        <v>2028-29</v>
      </c>
      <c r="M71" s="310" t="str">
        <f t="shared" si="18"/>
        <v>2029-30</v>
      </c>
      <c r="N71" s="310" t="str">
        <f t="shared" si="18"/>
        <v>2030-31</v>
      </c>
      <c r="O71" s="310" t="str">
        <f t="shared" si="18"/>
        <v>2031-32</v>
      </c>
      <c r="P71" s="310" t="str">
        <f t="shared" si="18"/>
        <v>2032-33</v>
      </c>
      <c r="Q71" s="311"/>
      <c r="R71" s="664">
        <f>R$18</f>
        <v>0</v>
      </c>
      <c r="S71" s="689" t="str">
        <f>S$18</f>
        <v>$</v>
      </c>
      <c r="T71" s="690" t="str">
        <f>T$18</f>
        <v>%</v>
      </c>
      <c r="U71" s="342"/>
      <c r="V71" s="77"/>
      <c r="W71" s="77"/>
      <c r="X71" s="77"/>
      <c r="Y71" s="77"/>
      <c r="Z71" s="77"/>
      <c r="AA71" s="77"/>
      <c r="AB71" s="77"/>
      <c r="AC71" s="77"/>
      <c r="AD71" s="77"/>
      <c r="AE71" s="77"/>
      <c r="AF71" s="77"/>
      <c r="AG71" s="77"/>
    </row>
    <row r="72" spans="1:33" customFormat="1" ht="11.7" customHeight="1" x14ac:dyDescent="0.25">
      <c r="A72" s="3"/>
      <c r="B72" s="212"/>
      <c r="C72" s="665" t="str">
        <f>C$19</f>
        <v>Income from continuing operations</v>
      </c>
      <c r="D72" s="738"/>
      <c r="E72" s="738"/>
      <c r="F72" s="738"/>
      <c r="G72" s="327"/>
      <c r="H72" s="79"/>
      <c r="I72" s="776"/>
      <c r="J72" s="79"/>
      <c r="K72" s="79"/>
      <c r="L72" s="79"/>
      <c r="M72" s="79"/>
      <c r="N72" s="79"/>
      <c r="O72" s="79"/>
      <c r="P72" s="79"/>
      <c r="Q72" s="79"/>
      <c r="R72" s="79"/>
      <c r="S72" s="79"/>
      <c r="T72" s="564"/>
      <c r="U72" s="214"/>
      <c r="V72" s="77"/>
      <c r="W72" s="77"/>
      <c r="X72" s="3"/>
      <c r="Y72" s="3"/>
      <c r="Z72" s="3"/>
      <c r="AA72" s="3"/>
      <c r="AB72" s="3"/>
      <c r="AC72" s="3"/>
      <c r="AD72" s="3"/>
      <c r="AE72" s="3"/>
      <c r="AF72" s="3"/>
      <c r="AG72" s="3"/>
    </row>
    <row r="73" spans="1:33" ht="11.7" customHeight="1" x14ac:dyDescent="0.25">
      <c r="A73" s="1"/>
      <c r="B73" s="212"/>
      <c r="C73" s="737" t="str">
        <f>C$20</f>
        <v>Revenue:</v>
      </c>
      <c r="D73" s="1"/>
      <c r="E73" s="1"/>
      <c r="F73" s="278"/>
      <c r="G73" s="969"/>
      <c r="H73" s="969"/>
      <c r="I73" s="969"/>
      <c r="J73" s="969"/>
      <c r="K73" s="969"/>
      <c r="L73" s="969"/>
      <c r="M73" s="969"/>
      <c r="N73" s="969"/>
      <c r="O73" s="969"/>
      <c r="P73" s="969"/>
      <c r="Q73" s="576"/>
      <c r="R73" s="576"/>
      <c r="S73" s="455"/>
      <c r="T73" s="347"/>
      <c r="U73" s="342"/>
      <c r="V73" s="77"/>
      <c r="W73" s="77"/>
      <c r="X73" s="77"/>
      <c r="Y73" s="77"/>
      <c r="Z73" s="77"/>
      <c r="AA73" s="77"/>
      <c r="AB73" s="77"/>
      <c r="AC73" s="77"/>
      <c r="AD73" s="77"/>
      <c r="AE73" s="77"/>
      <c r="AF73" s="77"/>
      <c r="AG73" s="77"/>
    </row>
    <row r="74" spans="1:33" ht="12" customHeight="1" x14ac:dyDescent="0.2">
      <c r="A74" s="1"/>
      <c r="B74" s="212"/>
      <c r="C74" s="750" t="str">
        <f>C$21</f>
        <v>Rates &amp; Annual Charges</v>
      </c>
      <c r="D74" s="307"/>
      <c r="E74" s="307"/>
      <c r="F74" s="319">
        <v>109152098.48</v>
      </c>
      <c r="G74" s="319">
        <v>113273518.02000001</v>
      </c>
      <c r="H74" s="319">
        <v>117027708.28</v>
      </c>
      <c r="I74" s="319">
        <v>120466378.18000004</v>
      </c>
      <c r="J74" s="319">
        <v>123440946.69</v>
      </c>
      <c r="K74" s="319">
        <v>126488989.26000002</v>
      </c>
      <c r="L74" s="319">
        <v>129612321.33000001</v>
      </c>
      <c r="M74" s="319">
        <v>132812803.26999998</v>
      </c>
      <c r="N74" s="319">
        <v>136092341.46000004</v>
      </c>
      <c r="O74" s="319">
        <v>139494650.00999999</v>
      </c>
      <c r="P74" s="319">
        <v>143585593.32999998</v>
      </c>
      <c r="Q74" s="208">
        <f t="shared" ref="Q74:Q80" si="19">SUM(G74:P74)</f>
        <v>1282295249.8299999</v>
      </c>
      <c r="R74" s="207"/>
      <c r="S74" s="324">
        <f t="shared" ref="S74:S80" si="20">P74-F74</f>
        <v>34433494.849999979</v>
      </c>
      <c r="T74" s="317">
        <f t="shared" ref="T74:T80" si="21">IF(F74=0,0,(S74/F74))</f>
        <v>0.31546342516089371</v>
      </c>
      <c r="U74" s="342"/>
      <c r="V74" s="77"/>
      <c r="W74" s="77"/>
      <c r="X74" s="77"/>
      <c r="Y74" s="77"/>
      <c r="Z74" s="77"/>
      <c r="AA74" s="77"/>
      <c r="AB74" s="77"/>
      <c r="AC74" s="77"/>
      <c r="AD74" s="77"/>
      <c r="AE74" s="77"/>
      <c r="AF74" s="77"/>
      <c r="AG74" s="77"/>
    </row>
    <row r="75" spans="1:33" ht="12" customHeight="1" x14ac:dyDescent="0.2">
      <c r="A75" s="1"/>
      <c r="B75" s="212"/>
      <c r="C75" s="750" t="str">
        <f>C$22</f>
        <v>User Charges &amp; Fees</v>
      </c>
      <c r="D75" s="307"/>
      <c r="E75" s="307"/>
      <c r="F75" s="319">
        <v>14233153.67</v>
      </c>
      <c r="G75" s="319">
        <v>14731617.310000002</v>
      </c>
      <c r="H75" s="319">
        <v>15158826.139999997</v>
      </c>
      <c r="I75" s="319">
        <v>15583266.986250004</v>
      </c>
      <c r="J75" s="319">
        <v>15957267.47065625</v>
      </c>
      <c r="K75" s="319">
        <v>16340244.055922654</v>
      </c>
      <c r="L75" s="319">
        <v>16732412.215570724</v>
      </c>
      <c r="M75" s="319">
        <v>17133992.393959992</v>
      </c>
      <c r="N75" s="319">
        <v>17545210.596308984</v>
      </c>
      <c r="O75" s="319">
        <v>17983840.898716718</v>
      </c>
      <c r="P75" s="319">
        <v>18433436.938184626</v>
      </c>
      <c r="Q75" s="208">
        <f t="shared" si="19"/>
        <v>165600115.00556993</v>
      </c>
      <c r="R75" s="207"/>
      <c r="S75" s="324">
        <f t="shared" si="20"/>
        <v>4200283.2681846265</v>
      </c>
      <c r="T75" s="317">
        <f t="shared" si="21"/>
        <v>0.29510559399339548</v>
      </c>
      <c r="U75" s="342"/>
      <c r="V75" s="77"/>
      <c r="W75" s="77"/>
      <c r="X75" s="77"/>
      <c r="Y75" s="77"/>
      <c r="Z75" s="77"/>
      <c r="AA75" s="77"/>
      <c r="AB75" s="77"/>
      <c r="AC75" s="77"/>
      <c r="AD75" s="77"/>
      <c r="AE75" s="77"/>
      <c r="AF75" s="77"/>
      <c r="AG75" s="77"/>
    </row>
    <row r="76" spans="1:33" ht="12" customHeight="1" x14ac:dyDescent="0.2">
      <c r="A76" s="1"/>
      <c r="B76" s="212"/>
      <c r="C76" s="750" t="str">
        <f>C$23</f>
        <v>Interest &amp; Investment Revenue</v>
      </c>
      <c r="D76" s="307"/>
      <c r="E76" s="307"/>
      <c r="F76" s="319">
        <v>4929651.41</v>
      </c>
      <c r="G76" s="319">
        <v>5491283.6799999997</v>
      </c>
      <c r="H76" s="319">
        <v>4882424.41</v>
      </c>
      <c r="I76" s="319">
        <v>3678321.14</v>
      </c>
      <c r="J76" s="319">
        <v>3769582.1399999997</v>
      </c>
      <c r="K76" s="319">
        <v>3830571.7800000003</v>
      </c>
      <c r="L76" s="319">
        <v>3836224.2600000002</v>
      </c>
      <c r="M76" s="319">
        <v>3867236.2600000002</v>
      </c>
      <c r="N76" s="319">
        <v>3895738.7199999997</v>
      </c>
      <c r="O76" s="319">
        <v>3850908.34</v>
      </c>
      <c r="P76" s="319">
        <v>3804680.5300000003</v>
      </c>
      <c r="Q76" s="208">
        <f t="shared" si="19"/>
        <v>40906971.260000005</v>
      </c>
      <c r="R76" s="207"/>
      <c r="S76" s="324">
        <f t="shared" si="20"/>
        <v>-1124970.8799999999</v>
      </c>
      <c r="T76" s="317">
        <f t="shared" si="21"/>
        <v>-0.2282049553682336</v>
      </c>
      <c r="U76" s="342"/>
      <c r="V76" s="77"/>
      <c r="W76" s="77"/>
      <c r="X76" s="77"/>
      <c r="Y76" s="77"/>
      <c r="Z76" s="77"/>
      <c r="AA76" s="77"/>
      <c r="AB76" s="77"/>
      <c r="AC76" s="77"/>
      <c r="AD76" s="77"/>
      <c r="AE76" s="77"/>
      <c r="AF76" s="77"/>
      <c r="AG76" s="77"/>
    </row>
    <row r="77" spans="1:33" ht="12" customHeight="1" x14ac:dyDescent="0.2">
      <c r="A77" s="1"/>
      <c r="B77" s="212"/>
      <c r="C77" s="750" t="str">
        <f>C$24</f>
        <v>Other Revenues</v>
      </c>
      <c r="D77" s="307"/>
      <c r="E77" s="307"/>
      <c r="F77" s="319">
        <v>6784074.0800000001</v>
      </c>
      <c r="G77" s="319">
        <v>7021516.7699999996</v>
      </c>
      <c r="H77" s="319">
        <v>7225140.8199999984</v>
      </c>
      <c r="I77" s="319">
        <v>7427444.7599999961</v>
      </c>
      <c r="J77" s="319">
        <v>7605703.4300000016</v>
      </c>
      <c r="K77" s="319">
        <v>7788240.290000001</v>
      </c>
      <c r="L77" s="319">
        <v>7975158.0500000007</v>
      </c>
      <c r="M77" s="319">
        <v>8166561.8299999973</v>
      </c>
      <c r="N77" s="319">
        <v>8362559.3200000022</v>
      </c>
      <c r="O77" s="319">
        <v>8571623.3100000005</v>
      </c>
      <c r="P77" s="319">
        <v>8785913.889999995</v>
      </c>
      <c r="Q77" s="208">
        <f t="shared" si="19"/>
        <v>78929862.469999984</v>
      </c>
      <c r="R77" s="207"/>
      <c r="S77" s="324">
        <f t="shared" si="20"/>
        <v>2001839.8099999949</v>
      </c>
      <c r="T77" s="317">
        <f t="shared" si="21"/>
        <v>0.29507929695248769</v>
      </c>
      <c r="U77" s="342"/>
      <c r="V77" s="77"/>
      <c r="W77" s="77"/>
      <c r="X77" s="77"/>
      <c r="Y77" s="77"/>
      <c r="Z77" s="77"/>
      <c r="AA77" s="77"/>
      <c r="AB77" s="77"/>
      <c r="AC77" s="77"/>
      <c r="AD77" s="77"/>
      <c r="AE77" s="77"/>
      <c r="AF77" s="77"/>
      <c r="AG77" s="77"/>
    </row>
    <row r="78" spans="1:33" ht="12" customHeight="1" x14ac:dyDescent="0.2">
      <c r="A78" s="1"/>
      <c r="B78" s="212"/>
      <c r="C78" s="750" t="str">
        <f>C$25</f>
        <v>Grants &amp; Contributions Op Purposes</v>
      </c>
      <c r="D78" s="307"/>
      <c r="E78" s="307"/>
      <c r="F78" s="319">
        <v>12770693.92</v>
      </c>
      <c r="G78" s="319">
        <v>13217668.210000001</v>
      </c>
      <c r="H78" s="319">
        <v>13600980.630000001</v>
      </c>
      <c r="I78" s="319">
        <v>13981808.059999999</v>
      </c>
      <c r="J78" s="319">
        <v>14317371.470000003</v>
      </c>
      <c r="K78" s="319">
        <v>14660988.369999999</v>
      </c>
      <c r="L78" s="319">
        <v>15012852.100000001</v>
      </c>
      <c r="M78" s="319">
        <v>15373160.559999999</v>
      </c>
      <c r="N78" s="319">
        <v>15742116.439999998</v>
      </c>
      <c r="O78" s="319">
        <v>16135669.369999999</v>
      </c>
      <c r="P78" s="319">
        <v>16539061.149999999</v>
      </c>
      <c r="Q78" s="208">
        <f t="shared" si="19"/>
        <v>148581676.36000001</v>
      </c>
      <c r="R78" s="207"/>
      <c r="S78" s="324">
        <f t="shared" si="20"/>
        <v>3768367.2299999986</v>
      </c>
      <c r="T78" s="317">
        <f t="shared" si="21"/>
        <v>0.29507928493207508</v>
      </c>
      <c r="U78" s="342"/>
      <c r="V78" s="77"/>
      <c r="W78" s="77"/>
      <c r="X78" s="77"/>
      <c r="Y78" s="77"/>
      <c r="Z78" s="77"/>
      <c r="AA78" s="77"/>
      <c r="AB78" s="77"/>
      <c r="AC78" s="77"/>
      <c r="AD78" s="77"/>
      <c r="AE78" s="77"/>
      <c r="AF78" s="77"/>
      <c r="AG78" s="77"/>
    </row>
    <row r="79" spans="1:33" ht="12" customHeight="1" x14ac:dyDescent="0.2">
      <c r="A79" s="1"/>
      <c r="B79" s="212"/>
      <c r="C79" s="750" t="str">
        <f>C$26</f>
        <v>Grants &amp; Contributions Capital Purposes</v>
      </c>
      <c r="D79" s="307"/>
      <c r="E79" s="307"/>
      <c r="F79" s="319">
        <v>8350000</v>
      </c>
      <c r="G79" s="319">
        <v>9327953</v>
      </c>
      <c r="H79" s="319">
        <v>9450563.6500000004</v>
      </c>
      <c r="I79" s="319">
        <v>9572379.4499999993</v>
      </c>
      <c r="J79" s="319">
        <v>58289716.539999999</v>
      </c>
      <c r="K79" s="319">
        <v>9789629.7399999984</v>
      </c>
      <c r="L79" s="319">
        <v>9902180.870000001</v>
      </c>
      <c r="M79" s="319">
        <v>10017433.199999999</v>
      </c>
      <c r="N79" s="319">
        <v>10135451.58</v>
      </c>
      <c r="O79" s="319">
        <v>10261337.890000001</v>
      </c>
      <c r="P79" s="319">
        <v>10390371.34</v>
      </c>
      <c r="Q79" s="208">
        <f t="shared" si="19"/>
        <v>147137017.26000002</v>
      </c>
      <c r="R79" s="207"/>
      <c r="S79" s="324">
        <f t="shared" si="20"/>
        <v>2040371.3399999999</v>
      </c>
      <c r="T79" s="317">
        <f t="shared" si="21"/>
        <v>0.24435584910179639</v>
      </c>
      <c r="U79" s="342"/>
      <c r="V79" s="77"/>
      <c r="W79" s="77"/>
      <c r="X79" s="77"/>
      <c r="Y79" s="77"/>
      <c r="Z79" s="77"/>
      <c r="AA79" s="77"/>
      <c r="AB79" s="77"/>
      <c r="AC79" s="77"/>
      <c r="AD79" s="77"/>
      <c r="AE79" s="77"/>
      <c r="AF79" s="77"/>
      <c r="AG79" s="77"/>
    </row>
    <row r="80" spans="1:33" ht="12" customHeight="1" x14ac:dyDescent="0.2">
      <c r="A80" s="1"/>
      <c r="B80" s="212"/>
      <c r="C80" s="334" t="str">
        <f>C$27</f>
        <v>&lt;include additional items here&gt;</v>
      </c>
      <c r="D80" s="307"/>
      <c r="E80" s="307"/>
      <c r="F80" s="319"/>
      <c r="G80" s="319"/>
      <c r="H80" s="319"/>
      <c r="I80" s="319"/>
      <c r="J80" s="319"/>
      <c r="K80" s="319"/>
      <c r="L80" s="319"/>
      <c r="M80" s="319"/>
      <c r="N80" s="319"/>
      <c r="O80" s="319"/>
      <c r="P80" s="319"/>
      <c r="Q80" s="208">
        <f t="shared" si="19"/>
        <v>0</v>
      </c>
      <c r="R80" s="207"/>
      <c r="S80" s="324">
        <f t="shared" si="20"/>
        <v>0</v>
      </c>
      <c r="T80" s="317">
        <f t="shared" si="21"/>
        <v>0</v>
      </c>
      <c r="U80" s="342"/>
      <c r="V80" s="77"/>
      <c r="W80" s="77"/>
      <c r="X80" s="77"/>
      <c r="Y80" s="77"/>
      <c r="Z80" s="77"/>
      <c r="AA80" s="77"/>
      <c r="AB80" s="77"/>
      <c r="AC80" s="77"/>
      <c r="AD80" s="77"/>
      <c r="AE80" s="77"/>
      <c r="AF80" s="77"/>
      <c r="AG80" s="77"/>
    </row>
    <row r="81" spans="1:33" ht="12" customHeight="1" x14ac:dyDescent="0.25">
      <c r="A81" s="1"/>
      <c r="B81" s="212"/>
      <c r="C81" s="737" t="str">
        <f>C$28</f>
        <v>Other Income (items excluded from ratio analyis)</v>
      </c>
      <c r="D81" s="1"/>
      <c r="E81" s="1"/>
      <c r="F81" s="278"/>
      <c r="G81" s="278"/>
      <c r="H81" s="278"/>
      <c r="I81" s="775"/>
      <c r="J81" s="278"/>
      <c r="K81" s="278"/>
      <c r="L81" s="278"/>
      <c r="M81" s="278"/>
      <c r="N81" s="278"/>
      <c r="O81" s="278"/>
      <c r="P81" s="278"/>
      <c r="Q81" s="576"/>
      <c r="R81" s="576"/>
      <c r="S81" s="455"/>
      <c r="T81" s="347"/>
      <c r="U81" s="342"/>
      <c r="V81" s="77"/>
      <c r="W81" s="77"/>
      <c r="X81" s="77"/>
      <c r="Y81" s="77"/>
      <c r="Z81" s="77"/>
      <c r="AA81" s="77"/>
      <c r="AB81" s="77"/>
      <c r="AC81" s="77"/>
      <c r="AD81" s="77"/>
      <c r="AE81" s="77"/>
      <c r="AF81" s="77"/>
      <c r="AG81" s="77"/>
    </row>
    <row r="82" spans="1:33" ht="12" customHeight="1" x14ac:dyDescent="0.2">
      <c r="A82" s="1"/>
      <c r="B82" s="212"/>
      <c r="C82" s="334" t="str">
        <f>C$29</f>
        <v>Net share of profit  on joint ventures</v>
      </c>
      <c r="D82" s="307"/>
      <c r="E82" s="307"/>
      <c r="F82" s="691"/>
      <c r="G82" s="319"/>
      <c r="H82" s="319"/>
      <c r="I82" s="319"/>
      <c r="J82" s="319"/>
      <c r="K82" s="319"/>
      <c r="L82" s="319"/>
      <c r="M82" s="319"/>
      <c r="N82" s="319"/>
      <c r="O82" s="319"/>
      <c r="P82" s="319"/>
      <c r="Q82" s="208">
        <f>SUM(G82:P82)</f>
        <v>0</v>
      </c>
      <c r="R82" s="207"/>
      <c r="S82" s="324">
        <f>P82-F82</f>
        <v>0</v>
      </c>
      <c r="T82" s="317">
        <f>IF(F82=0,0,(S82/F82))</f>
        <v>0</v>
      </c>
      <c r="U82" s="342"/>
      <c r="V82" s="77"/>
      <c r="W82" s="77"/>
      <c r="X82" s="77"/>
      <c r="Y82" s="77"/>
      <c r="Z82" s="77"/>
      <c r="AA82" s="77"/>
      <c r="AB82" s="77"/>
      <c r="AC82" s="77"/>
      <c r="AD82" s="77"/>
      <c r="AE82" s="77"/>
      <c r="AF82" s="77"/>
      <c r="AG82" s="77"/>
    </row>
    <row r="83" spans="1:33" ht="12" customHeight="1" x14ac:dyDescent="0.2">
      <c r="A83" s="1"/>
      <c r="B83" s="212"/>
      <c r="C83" s="334" t="str">
        <f>C$30</f>
        <v>Fair value gains</v>
      </c>
      <c r="D83" s="307"/>
      <c r="E83" s="307"/>
      <c r="F83" s="319">
        <v>100000</v>
      </c>
      <c r="G83" s="319">
        <v>103500</v>
      </c>
      <c r="H83" s="319">
        <v>106501.5</v>
      </c>
      <c r="I83" s="319">
        <v>109483.54</v>
      </c>
      <c r="J83" s="319">
        <v>112111.14</v>
      </c>
      <c r="K83" s="319">
        <v>114801.81</v>
      </c>
      <c r="L83" s="319">
        <v>117557.05</v>
      </c>
      <c r="M83" s="319">
        <v>120378.42</v>
      </c>
      <c r="N83" s="319">
        <v>123267.5</v>
      </c>
      <c r="O83" s="319">
        <v>126349.19</v>
      </c>
      <c r="P83" s="319">
        <v>129507.92</v>
      </c>
      <c r="Q83" s="208">
        <f>SUM(G83:P83)</f>
        <v>1163458.07</v>
      </c>
      <c r="R83" s="207"/>
      <c r="S83" s="324">
        <f>P83-F83</f>
        <v>29507.919999999998</v>
      </c>
      <c r="T83" s="317">
        <f>IF(F83=0,0,(S83/F83))</f>
        <v>0.29507919999999999</v>
      </c>
      <c r="U83" s="342"/>
      <c r="V83" s="77"/>
      <c r="W83" s="77"/>
      <c r="X83" s="77"/>
      <c r="Y83" s="77"/>
      <c r="Z83" s="77"/>
      <c r="AA83" s="77"/>
      <c r="AB83" s="77"/>
      <c r="AC83" s="77"/>
      <c r="AD83" s="77"/>
      <c r="AE83" s="77"/>
      <c r="AF83" s="77"/>
      <c r="AG83" s="77"/>
    </row>
    <row r="84" spans="1:33" ht="12" customHeight="1" x14ac:dyDescent="0.2">
      <c r="A84" s="1"/>
      <c r="B84" s="212"/>
      <c r="C84" s="750" t="str">
        <f>C$31</f>
        <v>Net gains from disposal of assets</v>
      </c>
      <c r="D84" s="307"/>
      <c r="E84" s="307"/>
      <c r="F84" s="319"/>
      <c r="G84" s="319"/>
      <c r="H84" s="319"/>
      <c r="I84" s="319"/>
      <c r="J84" s="319"/>
      <c r="K84" s="319"/>
      <c r="L84" s="319"/>
      <c r="M84" s="319"/>
      <c r="N84" s="319"/>
      <c r="O84" s="319"/>
      <c r="P84" s="319"/>
      <c r="Q84" s="208">
        <f>SUM(G84:P84)</f>
        <v>0</v>
      </c>
      <c r="R84" s="207"/>
      <c r="S84" s="324">
        <f>P84-F84</f>
        <v>0</v>
      </c>
      <c r="T84" s="317">
        <f>IF(F84=0,0,(S84/F84))</f>
        <v>0</v>
      </c>
      <c r="U84" s="342"/>
      <c r="V84" s="77"/>
      <c r="W84" s="77"/>
      <c r="X84" s="77"/>
      <c r="Y84" s="77"/>
      <c r="Z84" s="77"/>
      <c r="AA84" s="77"/>
      <c r="AB84" s="77"/>
      <c r="AC84" s="77"/>
      <c r="AD84" s="77"/>
      <c r="AE84" s="77"/>
      <c r="AF84" s="77"/>
      <c r="AG84" s="77"/>
    </row>
    <row r="85" spans="1:33" ht="12" customHeight="1" x14ac:dyDescent="0.2">
      <c r="A85" s="1"/>
      <c r="B85" s="212"/>
      <c r="C85" s="334"/>
      <c r="D85" s="1"/>
      <c r="E85" s="1"/>
      <c r="F85" s="576"/>
      <c r="G85" s="576"/>
      <c r="H85" s="576"/>
      <c r="I85" s="576"/>
      <c r="J85" s="576"/>
      <c r="K85" s="576"/>
      <c r="L85" s="576"/>
      <c r="M85" s="576"/>
      <c r="N85" s="576"/>
      <c r="O85" s="576"/>
      <c r="P85" s="576"/>
      <c r="Q85" s="322"/>
      <c r="R85" s="576"/>
      <c r="S85" s="455"/>
      <c r="T85" s="347"/>
      <c r="U85" s="342"/>
      <c r="V85" s="77"/>
      <c r="W85" s="77"/>
      <c r="X85" s="77"/>
      <c r="Y85" s="77"/>
      <c r="Z85" s="77"/>
      <c r="AA85" s="77"/>
      <c r="AB85" s="77"/>
      <c r="AC85" s="77"/>
      <c r="AD85" s="77"/>
      <c r="AE85" s="77"/>
      <c r="AF85" s="77"/>
      <c r="AG85" s="77"/>
    </row>
    <row r="86" spans="1:33" ht="12" customHeight="1" x14ac:dyDescent="0.25">
      <c r="A86" s="1"/>
      <c r="B86" s="212"/>
      <c r="C86" s="737" t="str">
        <f>C$33</f>
        <v>Total Income Continuing Operations</v>
      </c>
      <c r="D86" s="307"/>
      <c r="E86" s="307"/>
      <c r="F86" s="772">
        <f t="shared" ref="F86:P86" si="22">SUM(F74:F84)</f>
        <v>156319671.56</v>
      </c>
      <c r="G86" s="772">
        <f t="shared" si="22"/>
        <v>163167056.99000004</v>
      </c>
      <c r="H86" s="772">
        <f t="shared" si="22"/>
        <v>167452145.43000001</v>
      </c>
      <c r="I86" s="772">
        <f t="shared" si="22"/>
        <v>170819082.11625001</v>
      </c>
      <c r="J86" s="772">
        <f t="shared" si="22"/>
        <v>223492698.88065621</v>
      </c>
      <c r="K86" s="772">
        <f t="shared" si="22"/>
        <v>179013465.30592269</v>
      </c>
      <c r="L86" s="772">
        <f t="shared" si="22"/>
        <v>183188705.87557074</v>
      </c>
      <c r="M86" s="772">
        <f t="shared" si="22"/>
        <v>187491565.93395993</v>
      </c>
      <c r="N86" s="772">
        <f t="shared" si="22"/>
        <v>191896685.61630902</v>
      </c>
      <c r="O86" s="772">
        <f t="shared" si="22"/>
        <v>196424379.0087167</v>
      </c>
      <c r="P86" s="772">
        <f t="shared" si="22"/>
        <v>201668565.09818459</v>
      </c>
      <c r="Q86" s="331">
        <f>SUM(G86:P86)</f>
        <v>1864614350.2555699</v>
      </c>
      <c r="R86" s="297"/>
      <c r="S86" s="344">
        <f>P86-F86</f>
        <v>45348893.538184583</v>
      </c>
      <c r="T86" s="318">
        <f>IF(F86=0,0,(S86/F86))</f>
        <v>0.29010356205091159</v>
      </c>
      <c r="U86" s="342"/>
      <c r="V86" s="77"/>
      <c r="W86" s="77"/>
      <c r="X86" s="77"/>
      <c r="Y86" s="77"/>
      <c r="Z86" s="77"/>
      <c r="AA86" s="77"/>
      <c r="AB86" s="77"/>
      <c r="AC86" s="77"/>
      <c r="AD86" s="77"/>
      <c r="AE86" s="77"/>
      <c r="AF86" s="77"/>
      <c r="AG86" s="77"/>
    </row>
    <row r="87" spans="1:33" ht="12" customHeight="1" x14ac:dyDescent="0.25">
      <c r="A87" s="1"/>
      <c r="B87" s="212"/>
      <c r="C87" s="405"/>
      <c r="D87" s="307"/>
      <c r="E87" s="307"/>
      <c r="F87" s="207"/>
      <c r="G87" s="207"/>
      <c r="H87" s="207"/>
      <c r="I87" s="207"/>
      <c r="J87" s="207"/>
      <c r="K87" s="207"/>
      <c r="L87" s="207"/>
      <c r="M87" s="207"/>
      <c r="N87" s="207"/>
      <c r="O87" s="207"/>
      <c r="P87" s="207"/>
      <c r="Q87" s="208"/>
      <c r="R87" s="207"/>
      <c r="S87" s="324"/>
      <c r="T87" s="317"/>
      <c r="U87" s="342"/>
      <c r="V87" s="77"/>
      <c r="W87" s="77"/>
      <c r="X87" s="77"/>
      <c r="Y87" s="77"/>
      <c r="Z87" s="77"/>
      <c r="AA87" s="77"/>
      <c r="AB87" s="77"/>
      <c r="AC87" s="77"/>
      <c r="AD87" s="77"/>
      <c r="AE87" s="77"/>
      <c r="AF87" s="77"/>
      <c r="AG87" s="77"/>
    </row>
    <row r="88" spans="1:33" ht="10.5" customHeight="1" x14ac:dyDescent="0.25">
      <c r="A88" s="1"/>
      <c r="B88" s="212"/>
      <c r="C88" s="737" t="str">
        <f>C$35</f>
        <v>Income excluding capital grants and contributions</v>
      </c>
      <c r="D88" s="307"/>
      <c r="E88" s="307"/>
      <c r="F88" s="658">
        <f t="shared" ref="F88:P88" si="23">F86-F79</f>
        <v>147969671.56</v>
      </c>
      <c r="G88" s="658">
        <f t="shared" si="23"/>
        <v>153839103.99000004</v>
      </c>
      <c r="H88" s="658">
        <f t="shared" si="23"/>
        <v>158001581.78</v>
      </c>
      <c r="I88" s="658">
        <f t="shared" si="23"/>
        <v>161246702.66625002</v>
      </c>
      <c r="J88" s="658">
        <f t="shared" si="23"/>
        <v>165202982.34065622</v>
      </c>
      <c r="K88" s="658">
        <f t="shared" si="23"/>
        <v>169223835.56592268</v>
      </c>
      <c r="L88" s="658">
        <f t="shared" si="23"/>
        <v>173286525.00557074</v>
      </c>
      <c r="M88" s="658">
        <f t="shared" si="23"/>
        <v>177474132.73395994</v>
      </c>
      <c r="N88" s="658">
        <f t="shared" si="23"/>
        <v>181761234.036309</v>
      </c>
      <c r="O88" s="658">
        <f t="shared" si="23"/>
        <v>186163041.11871672</v>
      </c>
      <c r="P88" s="658">
        <f t="shared" si="23"/>
        <v>191278193.75818458</v>
      </c>
      <c r="Q88" s="655">
        <f>SUM(G88:P88)</f>
        <v>1717477332.9955702</v>
      </c>
      <c r="R88" s="207"/>
      <c r="S88" s="324">
        <f>P88-F88</f>
        <v>43308522.19818458</v>
      </c>
      <c r="T88" s="317">
        <f>IF(F88=0,0,(S88/F88))</f>
        <v>0.29268512757780552</v>
      </c>
      <c r="U88" s="342"/>
      <c r="V88" s="77"/>
      <c r="W88" s="77"/>
      <c r="X88" s="77"/>
      <c r="Y88" s="77"/>
      <c r="Z88" s="77"/>
      <c r="AA88" s="77"/>
      <c r="AB88" s="77"/>
      <c r="AC88" s="77"/>
      <c r="AD88" s="77"/>
      <c r="AE88" s="77"/>
      <c r="AF88" s="77"/>
      <c r="AG88" s="77"/>
    </row>
    <row r="89" spans="1:33" ht="10.5" customHeight="1" x14ac:dyDescent="0.25">
      <c r="A89" s="1"/>
      <c r="B89" s="212"/>
      <c r="C89" s="405"/>
      <c r="D89" s="307"/>
      <c r="E89" s="307"/>
      <c r="F89" s="207"/>
      <c r="G89" s="207"/>
      <c r="H89" s="207"/>
      <c r="I89" s="207"/>
      <c r="J89" s="207"/>
      <c r="K89" s="207"/>
      <c r="L89" s="207"/>
      <c r="M89" s="207"/>
      <c r="N89" s="207"/>
      <c r="O89" s="207"/>
      <c r="P89" s="207"/>
      <c r="Q89" s="208"/>
      <c r="R89" s="207"/>
      <c r="S89" s="324"/>
      <c r="T89" s="317"/>
      <c r="U89" s="342"/>
      <c r="V89" s="77"/>
      <c r="W89" s="77"/>
      <c r="X89" s="77"/>
      <c r="Y89" s="77"/>
      <c r="Z89" s="77"/>
      <c r="AA89" s="77"/>
      <c r="AB89" s="77"/>
      <c r="AC89" s="77"/>
      <c r="AD89" s="77"/>
      <c r="AE89" s="77"/>
      <c r="AF89" s="77"/>
      <c r="AG89" s="77"/>
    </row>
    <row r="90" spans="1:33" ht="53.55" customHeight="1" x14ac:dyDescent="0.2">
      <c r="A90" s="1"/>
      <c r="B90" s="212"/>
      <c r="C90" s="901" t="str">
        <f>C$37</f>
        <v>Income excluding capital grants and contributions, net gains from asset disposals, profit on joint ventures and fair value gains</v>
      </c>
      <c r="D90" s="307"/>
      <c r="E90" s="307"/>
      <c r="F90" s="658">
        <f t="shared" ref="F90:P90" si="24">F86-F79-SUM(F82:F84)</f>
        <v>147869671.56</v>
      </c>
      <c r="G90" s="658">
        <f t="shared" si="24"/>
        <v>153735603.99000004</v>
      </c>
      <c r="H90" s="658">
        <f t="shared" si="24"/>
        <v>157895080.28</v>
      </c>
      <c r="I90" s="658">
        <f t="shared" si="24"/>
        <v>161137219.12625003</v>
      </c>
      <c r="J90" s="658">
        <f t="shared" si="24"/>
        <v>165090871.20065624</v>
      </c>
      <c r="K90" s="658">
        <f t="shared" si="24"/>
        <v>169109033.75592268</v>
      </c>
      <c r="L90" s="658">
        <f t="shared" si="24"/>
        <v>173168967.95557073</v>
      </c>
      <c r="M90" s="658">
        <f t="shared" si="24"/>
        <v>177353754.31395996</v>
      </c>
      <c r="N90" s="658">
        <f t="shared" si="24"/>
        <v>181637966.536309</v>
      </c>
      <c r="O90" s="658">
        <f t="shared" si="24"/>
        <v>186036691.92871672</v>
      </c>
      <c r="P90" s="658">
        <f t="shared" si="24"/>
        <v>191148685.8381846</v>
      </c>
      <c r="Q90" s="208">
        <f>SUM(G90:P90)</f>
        <v>1716313874.92557</v>
      </c>
      <c r="R90" s="207"/>
      <c r="S90" s="324">
        <f>P90-F90</f>
        <v>43279014.278184593</v>
      </c>
      <c r="T90" s="317">
        <f>IF(F90=0,0,(S90/F90))</f>
        <v>0.29268350853557945</v>
      </c>
      <c r="U90" s="342"/>
      <c r="V90" s="77"/>
      <c r="W90" s="77"/>
      <c r="X90" s="77"/>
      <c r="Y90" s="77"/>
      <c r="Z90" s="77"/>
      <c r="AA90" s="77"/>
      <c r="AB90" s="77"/>
      <c r="AC90" s="77"/>
      <c r="AD90" s="77"/>
      <c r="AE90" s="77"/>
      <c r="AF90" s="77"/>
      <c r="AG90" s="77"/>
    </row>
    <row r="91" spans="1:33" ht="11.7" customHeight="1" x14ac:dyDescent="0.2">
      <c r="A91" s="1"/>
      <c r="B91" s="212"/>
      <c r="C91" s="428"/>
      <c r="D91" s="1"/>
      <c r="E91" s="1"/>
      <c r="F91" s="576"/>
      <c r="G91" s="576"/>
      <c r="H91" s="576"/>
      <c r="I91" s="576"/>
      <c r="J91" s="576"/>
      <c r="K91" s="576"/>
      <c r="L91" s="576"/>
      <c r="M91" s="576"/>
      <c r="N91" s="576"/>
      <c r="O91" s="576"/>
      <c r="P91" s="576"/>
      <c r="Q91" s="322"/>
      <c r="R91" s="576"/>
      <c r="S91" s="455"/>
      <c r="T91" s="347"/>
      <c r="U91" s="342"/>
      <c r="V91" s="77"/>
      <c r="W91" s="77"/>
      <c r="X91" s="77"/>
      <c r="Y91" s="77"/>
      <c r="Z91" s="77"/>
      <c r="AA91" s="77"/>
      <c r="AB91" s="77"/>
      <c r="AC91" s="77"/>
      <c r="AD91" s="77"/>
      <c r="AE91" s="77"/>
      <c r="AF91" s="77"/>
      <c r="AG91" s="77"/>
    </row>
    <row r="92" spans="1:33" customFormat="1" ht="11.7" customHeight="1" x14ac:dyDescent="0.25">
      <c r="A92" s="3"/>
      <c r="B92" s="212"/>
      <c r="C92" s="665" t="str">
        <f>C$39</f>
        <v>Expenses from continuing operations</v>
      </c>
      <c r="D92" s="738"/>
      <c r="E92" s="738"/>
      <c r="F92" s="738"/>
      <c r="G92" s="327"/>
      <c r="H92" s="79"/>
      <c r="I92" s="776"/>
      <c r="J92" s="79"/>
      <c r="K92" s="79"/>
      <c r="L92" s="79"/>
      <c r="M92" s="79"/>
      <c r="N92" s="79"/>
      <c r="O92" s="79"/>
      <c r="P92" s="79"/>
      <c r="Q92" s="79"/>
      <c r="R92" s="79"/>
      <c r="S92" s="79"/>
      <c r="T92" s="564"/>
      <c r="U92" s="214"/>
      <c r="V92" s="77"/>
      <c r="W92" s="3"/>
      <c r="X92" s="3"/>
      <c r="Y92" s="3"/>
      <c r="Z92" s="3"/>
      <c r="AA92" s="3"/>
      <c r="AB92" s="3"/>
      <c r="AC92" s="3"/>
      <c r="AD92" s="3"/>
      <c r="AE92" s="3"/>
      <c r="AF92" s="3"/>
      <c r="AG92" s="3"/>
    </row>
    <row r="93" spans="1:33" ht="11.7" customHeight="1" x14ac:dyDescent="0.2">
      <c r="A93" s="1"/>
      <c r="B93" s="212"/>
      <c r="C93" s="428"/>
      <c r="D93" s="1"/>
      <c r="E93" s="1"/>
      <c r="F93" s="576"/>
      <c r="G93" s="576"/>
      <c r="H93" s="576"/>
      <c r="I93" s="576"/>
      <c r="J93" s="576"/>
      <c r="K93" s="576"/>
      <c r="L93" s="576"/>
      <c r="M93" s="576"/>
      <c r="N93" s="576"/>
      <c r="O93" s="576"/>
      <c r="P93" s="576"/>
      <c r="Q93" s="576"/>
      <c r="R93" s="576"/>
      <c r="S93" s="455"/>
      <c r="T93" s="347"/>
      <c r="U93" s="342"/>
      <c r="V93" s="77"/>
      <c r="W93" s="77"/>
      <c r="X93" s="77"/>
      <c r="Y93" s="77"/>
      <c r="Z93" s="77"/>
      <c r="AA93" s="77"/>
      <c r="AB93" s="77"/>
      <c r="AC93" s="77"/>
      <c r="AD93" s="77"/>
      <c r="AE93" s="77"/>
      <c r="AF93" s="77"/>
      <c r="AG93" s="77"/>
    </row>
    <row r="94" spans="1:33" ht="11.7" customHeight="1" x14ac:dyDescent="0.2">
      <c r="A94" s="1"/>
      <c r="B94" s="212"/>
      <c r="C94" s="750" t="str">
        <f>C$41</f>
        <v>Employee Benefits &amp; On-costs</v>
      </c>
      <c r="D94" s="307"/>
      <c r="E94" s="305"/>
      <c r="F94" s="319">
        <v>52421815.940000035</v>
      </c>
      <c r="G94" s="319">
        <v>54682236.430000037</v>
      </c>
      <c r="H94" s="319">
        <v>56872826.319999985</v>
      </c>
      <c r="I94" s="319">
        <v>58921173.50000003</v>
      </c>
      <c r="J94" s="319">
        <v>60865572.220000006</v>
      </c>
      <c r="K94" s="319">
        <v>62874136.140000008</v>
      </c>
      <c r="L94" s="319">
        <v>64948982.589999989</v>
      </c>
      <c r="M94" s="319">
        <v>67092299.030000009</v>
      </c>
      <c r="N94" s="320">
        <v>69306344.889999941</v>
      </c>
      <c r="O94" s="319">
        <v>71524147.909999996</v>
      </c>
      <c r="P94" s="320">
        <v>73812920.589999989</v>
      </c>
      <c r="Q94" s="208">
        <f t="shared" ref="Q94:Q99" si="25">SUM(G94:P94)</f>
        <v>640900639.62</v>
      </c>
      <c r="R94" s="207"/>
      <c r="S94" s="324">
        <f t="shared" ref="S94:S99" si="26">P94-F94</f>
        <v>21391104.649999954</v>
      </c>
      <c r="T94" s="317">
        <f t="shared" ref="T94:T99" si="27">IF(F94=0,0,(S94/F94))</f>
        <v>0.40805729955031272</v>
      </c>
      <c r="U94" s="342"/>
      <c r="V94" s="77"/>
      <c r="W94" s="77"/>
      <c r="X94" s="77"/>
      <c r="Y94" s="77"/>
      <c r="Z94" s="77"/>
      <c r="AA94" s="77"/>
      <c r="AB94" s="77"/>
      <c r="AC94" s="77"/>
      <c r="AD94" s="77"/>
      <c r="AE94" s="77"/>
      <c r="AF94" s="77"/>
      <c r="AG94" s="77"/>
    </row>
    <row r="95" spans="1:33" ht="11.7" customHeight="1" x14ac:dyDescent="0.2">
      <c r="A95" s="1"/>
      <c r="B95" s="212"/>
      <c r="C95" s="750" t="str">
        <f>C$42</f>
        <v>Borrowing Costs (i.e. interest costs)</v>
      </c>
      <c r="D95" s="307"/>
      <c r="E95" s="305"/>
      <c r="F95" s="319">
        <v>223161</v>
      </c>
      <c r="G95" s="319">
        <v>192158</v>
      </c>
      <c r="H95" s="319">
        <v>159071</v>
      </c>
      <c r="I95" s="319">
        <v>121216</v>
      </c>
      <c r="J95" s="319">
        <v>77525</v>
      </c>
      <c r="K95" s="319">
        <v>28162</v>
      </c>
      <c r="L95" s="319">
        <v>10000</v>
      </c>
      <c r="M95" s="319">
        <v>10000</v>
      </c>
      <c r="N95" s="320">
        <v>10000</v>
      </c>
      <c r="O95" s="319">
        <v>10000</v>
      </c>
      <c r="P95" s="320">
        <v>10000</v>
      </c>
      <c r="Q95" s="208">
        <f t="shared" si="25"/>
        <v>628132</v>
      </c>
      <c r="R95" s="207"/>
      <c r="S95" s="324">
        <f t="shared" si="26"/>
        <v>-213161</v>
      </c>
      <c r="T95" s="317">
        <f t="shared" si="27"/>
        <v>-0.95518930279036207</v>
      </c>
      <c r="U95" s="342"/>
      <c r="V95" s="77"/>
      <c r="W95" s="77"/>
      <c r="X95" s="77"/>
      <c r="Y95" s="77"/>
      <c r="Z95" s="77"/>
      <c r="AA95" s="77"/>
      <c r="AB95" s="77"/>
      <c r="AC95" s="77"/>
      <c r="AD95" s="77"/>
      <c r="AE95" s="77"/>
      <c r="AF95" s="77"/>
      <c r="AG95" s="77"/>
    </row>
    <row r="96" spans="1:33" ht="11.7" customHeight="1" x14ac:dyDescent="0.2">
      <c r="A96" s="1"/>
      <c r="B96" s="212"/>
      <c r="C96" s="750" t="str">
        <f>C$43</f>
        <v>Materials &amp; Contracts</v>
      </c>
      <c r="D96" s="307"/>
      <c r="E96" s="305"/>
      <c r="F96" s="319">
        <v>66681605.490000002</v>
      </c>
      <c r="G96" s="319">
        <v>69615633.210000008</v>
      </c>
      <c r="H96" s="319">
        <v>72082879.969999924</v>
      </c>
      <c r="I96" s="319">
        <v>74909510.040000007</v>
      </c>
      <c r="J96" s="319">
        <v>77122149.699999958</v>
      </c>
      <c r="K96" s="319">
        <v>80197261.99000001</v>
      </c>
      <c r="L96" s="319">
        <v>83012083.639999956</v>
      </c>
      <c r="M96" s="319">
        <v>82740869.269999996</v>
      </c>
      <c r="N96" s="320">
        <v>84767616.099999964</v>
      </c>
      <c r="O96" s="319">
        <v>86822241.820000038</v>
      </c>
      <c r="P96" s="320">
        <v>89828406.769999981</v>
      </c>
      <c r="Q96" s="208">
        <f t="shared" si="25"/>
        <v>801098652.50999987</v>
      </c>
      <c r="R96" s="207"/>
      <c r="S96" s="324">
        <f t="shared" si="26"/>
        <v>23146801.279999979</v>
      </c>
      <c r="T96" s="317">
        <f t="shared" si="27"/>
        <v>0.34712423478572696</v>
      </c>
      <c r="U96" s="342"/>
      <c r="V96" s="77"/>
      <c r="W96" s="77"/>
      <c r="X96" s="77"/>
      <c r="Y96" s="77"/>
      <c r="Z96" s="77"/>
      <c r="AA96" s="77"/>
      <c r="AB96" s="77"/>
      <c r="AC96" s="77"/>
      <c r="AD96" s="77"/>
      <c r="AE96" s="77"/>
      <c r="AF96" s="77"/>
      <c r="AG96" s="77"/>
    </row>
    <row r="97" spans="1:33" ht="11.7" customHeight="1" x14ac:dyDescent="0.2">
      <c r="A97" s="1"/>
      <c r="B97" s="212"/>
      <c r="C97" s="750" t="str">
        <f>C$44</f>
        <v>Depreciation &amp; Amortisation</v>
      </c>
      <c r="D97" s="307"/>
      <c r="E97" s="305"/>
      <c r="F97" s="319">
        <v>21215275.289999999</v>
      </c>
      <c r="G97" s="319">
        <v>22170865.68</v>
      </c>
      <c r="H97" s="319">
        <v>23078600.990000006</v>
      </c>
      <c r="I97" s="319">
        <v>24024188.829999998</v>
      </c>
      <c r="J97" s="319">
        <v>25009207.669999998</v>
      </c>
      <c r="K97" s="319">
        <v>25946946.399999995</v>
      </c>
      <c r="L97" s="319">
        <v>26742064.68</v>
      </c>
      <c r="M97" s="319">
        <v>27876769.329999998</v>
      </c>
      <c r="N97" s="320">
        <v>29036655.039999999</v>
      </c>
      <c r="O97" s="319">
        <v>30266157.989999995</v>
      </c>
      <c r="P97" s="320">
        <v>31441781.089999996</v>
      </c>
      <c r="Q97" s="208">
        <f t="shared" si="25"/>
        <v>265593237.69999996</v>
      </c>
      <c r="R97" s="207"/>
      <c r="S97" s="324">
        <f t="shared" si="26"/>
        <v>10226505.799999997</v>
      </c>
      <c r="T97" s="317">
        <f t="shared" si="27"/>
        <v>0.48203502713068014</v>
      </c>
      <c r="U97" s="342"/>
      <c r="V97" s="77"/>
      <c r="W97" s="77"/>
      <c r="X97" s="77"/>
      <c r="Y97" s="77"/>
      <c r="Z97" s="77"/>
      <c r="AA97" s="77"/>
      <c r="AB97" s="77"/>
      <c r="AC97" s="77"/>
      <c r="AD97" s="77"/>
      <c r="AE97" s="77"/>
      <c r="AF97" s="77"/>
      <c r="AG97" s="77"/>
    </row>
    <row r="98" spans="1:33" ht="11.7" customHeight="1" x14ac:dyDescent="0.2">
      <c r="A98" s="1"/>
      <c r="B98" s="212"/>
      <c r="C98" s="750" t="str">
        <f>C$45</f>
        <v>Other Expenses</v>
      </c>
      <c r="D98" s="307"/>
      <c r="E98" s="305"/>
      <c r="F98" s="319">
        <v>3874129.58</v>
      </c>
      <c r="G98" s="319">
        <v>4009724.1100000003</v>
      </c>
      <c r="H98" s="319">
        <v>4126006.1399999992</v>
      </c>
      <c r="I98" s="319">
        <v>4241534.3199999984</v>
      </c>
      <c r="J98" s="319">
        <v>4343331.1599999983</v>
      </c>
      <c r="K98" s="319">
        <v>4447571.1199999992</v>
      </c>
      <c r="L98" s="319">
        <v>4554312.8299999991</v>
      </c>
      <c r="M98" s="319">
        <v>4663616.3400000008</v>
      </c>
      <c r="N98" s="320">
        <v>4775543.1199999992</v>
      </c>
      <c r="O98" s="319">
        <v>4894931.6900000004</v>
      </c>
      <c r="P98" s="320">
        <v>5017304.9899999993</v>
      </c>
      <c r="Q98" s="208">
        <f t="shared" si="25"/>
        <v>45073875.819999993</v>
      </c>
      <c r="R98" s="207"/>
      <c r="S98" s="324">
        <f t="shared" si="26"/>
        <v>1143175.4099999992</v>
      </c>
      <c r="T98" s="317">
        <f t="shared" si="27"/>
        <v>0.29507929107523534</v>
      </c>
      <c r="U98" s="342"/>
      <c r="V98" s="77"/>
      <c r="W98" s="77"/>
      <c r="X98" s="77"/>
      <c r="Y98" s="77"/>
      <c r="Z98" s="77"/>
      <c r="AA98" s="77"/>
      <c r="AB98" s="77"/>
      <c r="AC98" s="77"/>
      <c r="AD98" s="77"/>
      <c r="AE98" s="77"/>
      <c r="AF98" s="77"/>
      <c r="AG98" s="77"/>
    </row>
    <row r="99" spans="1:33" ht="11.7" customHeight="1" x14ac:dyDescent="0.2">
      <c r="A99" s="1"/>
      <c r="B99" s="212"/>
      <c r="C99" s="334" t="str">
        <f>C$46</f>
        <v>&lt;include additional items here&gt;</v>
      </c>
      <c r="D99" s="307"/>
      <c r="E99" s="305"/>
      <c r="F99" s="319"/>
      <c r="G99" s="319"/>
      <c r="H99" s="319"/>
      <c r="I99" s="319"/>
      <c r="J99" s="319"/>
      <c r="K99" s="319"/>
      <c r="L99" s="319"/>
      <c r="M99" s="319"/>
      <c r="N99" s="320"/>
      <c r="O99" s="319"/>
      <c r="P99" s="320"/>
      <c r="Q99" s="208">
        <f t="shared" si="25"/>
        <v>0</v>
      </c>
      <c r="R99" s="207"/>
      <c r="S99" s="324">
        <f t="shared" si="26"/>
        <v>0</v>
      </c>
      <c r="T99" s="317">
        <f t="shared" si="27"/>
        <v>0</v>
      </c>
      <c r="U99" s="342"/>
      <c r="V99" s="77"/>
      <c r="W99" s="77"/>
      <c r="X99" s="77"/>
      <c r="Y99" s="77"/>
      <c r="Z99" s="77"/>
      <c r="AA99" s="77"/>
      <c r="AB99" s="77"/>
      <c r="AC99" s="77"/>
      <c r="AD99" s="77"/>
      <c r="AE99" s="77"/>
      <c r="AF99" s="77"/>
      <c r="AG99" s="77"/>
    </row>
    <row r="100" spans="1:33" ht="11.7" customHeight="1" x14ac:dyDescent="0.25">
      <c r="A100" s="1"/>
      <c r="B100" s="212"/>
      <c r="C100" s="335" t="str">
        <f>C$47</f>
        <v>Other Expenses (items excluded from ratio analyis)</v>
      </c>
      <c r="D100" s="307"/>
      <c r="E100" s="305"/>
      <c r="F100" s="500"/>
      <c r="G100" s="500"/>
      <c r="H100" s="500"/>
      <c r="I100" s="576"/>
      <c r="J100" s="500"/>
      <c r="K100" s="500"/>
      <c r="L100" s="500"/>
      <c r="M100" s="500"/>
      <c r="N100" s="500"/>
      <c r="O100" s="500"/>
      <c r="P100" s="500"/>
      <c r="Q100" s="208"/>
      <c r="R100" s="207"/>
      <c r="S100" s="324"/>
      <c r="T100" s="317"/>
      <c r="U100" s="342"/>
      <c r="V100" s="77"/>
      <c r="W100" s="77"/>
      <c r="X100" s="77"/>
      <c r="Y100" s="77"/>
      <c r="Z100" s="77"/>
      <c r="AA100" s="77"/>
      <c r="AB100" s="77"/>
      <c r="AC100" s="77"/>
      <c r="AD100" s="77"/>
      <c r="AE100" s="77"/>
      <c r="AF100" s="77"/>
      <c r="AG100" s="77"/>
    </row>
    <row r="101" spans="1:33" ht="11.7" customHeight="1" x14ac:dyDescent="0.2">
      <c r="A101" s="1"/>
      <c r="B101" s="212"/>
      <c r="C101" s="334" t="str">
        <f>C$48</f>
        <v>Net loss on joint ventures</v>
      </c>
      <c r="D101" s="307"/>
      <c r="E101" s="305"/>
      <c r="F101" s="319"/>
      <c r="G101" s="319"/>
      <c r="H101" s="319"/>
      <c r="I101" s="319"/>
      <c r="J101" s="319"/>
      <c r="K101" s="319"/>
      <c r="L101" s="319"/>
      <c r="M101" s="319"/>
      <c r="N101" s="320"/>
      <c r="O101" s="319"/>
      <c r="P101" s="320"/>
      <c r="Q101" s="208">
        <f>SUM(G101:P101)</f>
        <v>0</v>
      </c>
      <c r="R101" s="207"/>
      <c r="S101" s="324">
        <f>P101-F101</f>
        <v>0</v>
      </c>
      <c r="T101" s="317">
        <f>IF(F101=0,0,(S101/F101))</f>
        <v>0</v>
      </c>
      <c r="U101" s="342"/>
      <c r="V101" s="77"/>
      <c r="W101" s="77"/>
      <c r="X101" s="77"/>
      <c r="Y101" s="77"/>
      <c r="Z101" s="77"/>
      <c r="AA101" s="77"/>
      <c r="AB101" s="77"/>
      <c r="AC101" s="77"/>
      <c r="AD101" s="77"/>
      <c r="AE101" s="77"/>
      <c r="AF101" s="77"/>
      <c r="AG101" s="77"/>
    </row>
    <row r="102" spans="1:33" ht="11.7" customHeight="1" x14ac:dyDescent="0.2">
      <c r="A102" s="1"/>
      <c r="B102" s="212"/>
      <c r="C102" s="334" t="str">
        <f>C$49</f>
        <v>Fair value losses</v>
      </c>
      <c r="D102" s="307"/>
      <c r="E102" s="305"/>
      <c r="F102" s="319"/>
      <c r="G102" s="319"/>
      <c r="H102" s="319"/>
      <c r="I102" s="319"/>
      <c r="J102" s="319"/>
      <c r="K102" s="319"/>
      <c r="L102" s="319"/>
      <c r="M102" s="319"/>
      <c r="N102" s="320"/>
      <c r="O102" s="319"/>
      <c r="P102" s="320"/>
      <c r="Q102" s="208">
        <f>SUM(G102:P102)</f>
        <v>0</v>
      </c>
      <c r="R102" s="207"/>
      <c r="S102" s="324">
        <f>P102-F102</f>
        <v>0</v>
      </c>
      <c r="T102" s="317">
        <f>IF(F102=0,0,(S102/F102))</f>
        <v>0</v>
      </c>
      <c r="U102" s="342"/>
      <c r="V102" s="77"/>
      <c r="W102" s="77"/>
      <c r="X102" s="77"/>
      <c r="Y102" s="77"/>
      <c r="Z102" s="77"/>
      <c r="AA102" s="77"/>
      <c r="AB102" s="77"/>
      <c r="AC102" s="77"/>
      <c r="AD102" s="77"/>
      <c r="AE102" s="77"/>
      <c r="AF102" s="77"/>
      <c r="AG102" s="77"/>
    </row>
    <row r="103" spans="1:33" ht="11.7" customHeight="1" x14ac:dyDescent="0.2">
      <c r="A103" s="1"/>
      <c r="B103" s="212"/>
      <c r="C103" s="750" t="str">
        <f>C$50</f>
        <v>Net loss from disposal of assets</v>
      </c>
      <c r="D103" s="307"/>
      <c r="E103" s="305"/>
      <c r="F103" s="691"/>
      <c r="G103" s="691"/>
      <c r="H103" s="691"/>
      <c r="I103" s="691"/>
      <c r="J103" s="691"/>
      <c r="K103" s="691"/>
      <c r="L103" s="691"/>
      <c r="M103" s="691"/>
      <c r="N103" s="691"/>
      <c r="O103" s="691"/>
      <c r="P103" s="691"/>
      <c r="Q103" s="208">
        <f>SUM(G103:P103)</f>
        <v>0</v>
      </c>
      <c r="R103" s="207"/>
      <c r="S103" s="324">
        <f>P103-F103</f>
        <v>0</v>
      </c>
      <c r="T103" s="317">
        <f>IF(F103=0,0,(S103/F103))</f>
        <v>0</v>
      </c>
      <c r="U103" s="342"/>
      <c r="V103" s="77"/>
      <c r="W103" s="77"/>
      <c r="X103" s="77"/>
      <c r="Y103" s="77"/>
      <c r="Z103" s="77"/>
      <c r="AA103" s="77"/>
      <c r="AB103" s="77"/>
      <c r="AC103" s="77"/>
      <c r="AD103" s="77"/>
      <c r="AE103" s="77"/>
      <c r="AF103" s="77"/>
      <c r="AG103" s="77"/>
    </row>
    <row r="104" spans="1:33" ht="11.7" customHeight="1" x14ac:dyDescent="0.2">
      <c r="A104" s="1"/>
      <c r="B104" s="212"/>
      <c r="C104" s="334"/>
      <c r="D104" s="1"/>
      <c r="E104" s="1"/>
      <c r="F104" s="576"/>
      <c r="G104" s="576"/>
      <c r="H104" s="576"/>
      <c r="I104" s="576"/>
      <c r="J104" s="576"/>
      <c r="K104" s="576"/>
      <c r="L104" s="576"/>
      <c r="M104" s="576"/>
      <c r="N104" s="576"/>
      <c r="O104" s="576"/>
      <c r="P104" s="576"/>
      <c r="Q104" s="322"/>
      <c r="R104" s="576"/>
      <c r="S104" s="455"/>
      <c r="T104" s="347"/>
      <c r="U104" s="342"/>
      <c r="V104" s="77"/>
      <c r="W104" s="77"/>
      <c r="X104" s="77"/>
      <c r="Y104" s="77"/>
      <c r="Z104" s="77"/>
      <c r="AA104" s="77"/>
      <c r="AB104" s="77"/>
      <c r="AC104" s="77"/>
      <c r="AD104" s="77"/>
      <c r="AE104" s="77"/>
      <c r="AF104" s="77"/>
      <c r="AG104" s="77"/>
    </row>
    <row r="105" spans="1:33" ht="11.7" customHeight="1" x14ac:dyDescent="0.25">
      <c r="A105" s="1"/>
      <c r="B105" s="212"/>
      <c r="C105" s="737" t="str">
        <f>C$52</f>
        <v>Total expenses continuing operations</v>
      </c>
      <c r="D105" s="307"/>
      <c r="E105" s="307"/>
      <c r="F105" s="297">
        <f t="shared" ref="F105:P105" si="28">SUM(F93:F103)</f>
        <v>144415987.30000004</v>
      </c>
      <c r="G105" s="297">
        <f t="shared" si="28"/>
        <v>150670617.43000007</v>
      </c>
      <c r="H105" s="297">
        <f t="shared" si="28"/>
        <v>156319384.4199999</v>
      </c>
      <c r="I105" s="297">
        <f t="shared" si="28"/>
        <v>162217622.69000003</v>
      </c>
      <c r="J105" s="297">
        <f t="shared" si="28"/>
        <v>167417785.74999994</v>
      </c>
      <c r="K105" s="297">
        <f t="shared" si="28"/>
        <v>173494077.65000004</v>
      </c>
      <c r="L105" s="297">
        <f t="shared" si="28"/>
        <v>179267443.73999998</v>
      </c>
      <c r="M105" s="297">
        <f t="shared" si="28"/>
        <v>182383553.97</v>
      </c>
      <c r="N105" s="297">
        <f t="shared" si="28"/>
        <v>187896159.14999989</v>
      </c>
      <c r="O105" s="297">
        <f t="shared" si="28"/>
        <v>193517479.41000003</v>
      </c>
      <c r="P105" s="297">
        <f t="shared" si="28"/>
        <v>200110413.43999997</v>
      </c>
      <c r="Q105" s="331">
        <f>SUM(G105:P105)</f>
        <v>1753294537.6500001</v>
      </c>
      <c r="R105" s="297"/>
      <c r="S105" s="344">
        <f>P105-F105</f>
        <v>55694426.139999926</v>
      </c>
      <c r="T105" s="318">
        <f>IF(F105=0,0,(S105/F105))</f>
        <v>0.38565277419254196</v>
      </c>
      <c r="U105" s="342"/>
      <c r="V105" s="77"/>
      <c r="W105" s="77"/>
      <c r="X105" s="77"/>
      <c r="Y105" s="77"/>
      <c r="Z105" s="77"/>
      <c r="AA105" s="77"/>
      <c r="AB105" s="77"/>
      <c r="AC105" s="77"/>
      <c r="AD105" s="77"/>
      <c r="AE105" s="77"/>
      <c r="AF105" s="77"/>
      <c r="AG105" s="77"/>
    </row>
    <row r="106" spans="1:33" ht="11.7" customHeight="1" x14ac:dyDescent="0.25">
      <c r="A106" s="1"/>
      <c r="B106" s="212"/>
      <c r="C106" s="737"/>
      <c r="D106" s="307"/>
      <c r="E106" s="307"/>
      <c r="F106" s="297"/>
      <c r="G106" s="297"/>
      <c r="H106" s="297"/>
      <c r="I106" s="344"/>
      <c r="J106" s="297"/>
      <c r="K106" s="297"/>
      <c r="L106" s="297"/>
      <c r="M106" s="297"/>
      <c r="N106" s="297"/>
      <c r="O106" s="297"/>
      <c r="P106" s="297"/>
      <c r="Q106" s="331"/>
      <c r="R106" s="297"/>
      <c r="S106" s="344"/>
      <c r="T106" s="318"/>
      <c r="U106" s="342"/>
      <c r="V106" s="77"/>
      <c r="W106" s="77"/>
      <c r="X106" s="77"/>
      <c r="Y106" s="77"/>
      <c r="Z106" s="77"/>
      <c r="AA106" s="77"/>
      <c r="AB106" s="77"/>
      <c r="AC106" s="77"/>
      <c r="AD106" s="77"/>
      <c r="AE106" s="77"/>
      <c r="AF106" s="77"/>
      <c r="AG106" s="77"/>
    </row>
    <row r="107" spans="1:33" ht="40.5" customHeight="1" x14ac:dyDescent="0.2">
      <c r="A107" s="1"/>
      <c r="B107" s="994"/>
      <c r="C107" s="901" t="str">
        <f>$C$54</f>
        <v>Total expenses continuing operations excluding net loss from asset disposals, joint ventures and fair value losses</v>
      </c>
      <c r="D107" s="307"/>
      <c r="E107" s="307"/>
      <c r="F107" s="658">
        <f t="shared" ref="F107:P107" si="29">F105-SUM(F101:F103)</f>
        <v>144415987.30000004</v>
      </c>
      <c r="G107" s="658">
        <f t="shared" si="29"/>
        <v>150670617.43000007</v>
      </c>
      <c r="H107" s="658">
        <f t="shared" si="29"/>
        <v>156319384.4199999</v>
      </c>
      <c r="I107" s="658">
        <f t="shared" si="29"/>
        <v>162217622.69000003</v>
      </c>
      <c r="J107" s="658">
        <f t="shared" si="29"/>
        <v>167417785.74999994</v>
      </c>
      <c r="K107" s="658">
        <f t="shared" si="29"/>
        <v>173494077.65000004</v>
      </c>
      <c r="L107" s="658">
        <f t="shared" si="29"/>
        <v>179267443.73999998</v>
      </c>
      <c r="M107" s="658">
        <f t="shared" si="29"/>
        <v>182383553.97</v>
      </c>
      <c r="N107" s="658">
        <f t="shared" si="29"/>
        <v>187896159.14999989</v>
      </c>
      <c r="O107" s="658">
        <f t="shared" si="29"/>
        <v>193517479.41000003</v>
      </c>
      <c r="P107" s="658">
        <f t="shared" si="29"/>
        <v>200110413.43999997</v>
      </c>
      <c r="Q107" s="655">
        <f>Q105-Q103</f>
        <v>1753294537.6500001</v>
      </c>
      <c r="R107" s="207"/>
      <c r="S107" s="324">
        <f>P107-F107</f>
        <v>55694426.139999926</v>
      </c>
      <c r="T107" s="317">
        <f>IF(F107=0,0,(S107/F107))</f>
        <v>0.38565277419254196</v>
      </c>
      <c r="U107" s="342"/>
      <c r="V107" s="77"/>
      <c r="W107" s="77"/>
      <c r="X107" s="77"/>
      <c r="Y107" s="77"/>
      <c r="Z107" s="77"/>
      <c r="AA107" s="77"/>
      <c r="AB107" s="77"/>
      <c r="AC107" s="77"/>
      <c r="AD107" s="77"/>
      <c r="AE107" s="77"/>
      <c r="AF107" s="77"/>
      <c r="AG107" s="77"/>
    </row>
    <row r="108" spans="1:33" ht="11.7" customHeight="1" x14ac:dyDescent="0.2">
      <c r="A108" s="1"/>
      <c r="B108" s="212"/>
      <c r="C108" s="334"/>
      <c r="D108" s="307"/>
      <c r="E108" s="305"/>
      <c r="F108" s="207"/>
      <c r="G108" s="207"/>
      <c r="H108" s="207"/>
      <c r="I108" s="324"/>
      <c r="J108" s="207"/>
      <c r="K108" s="207"/>
      <c r="L108" s="207"/>
      <c r="M108" s="207"/>
      <c r="N108" s="207"/>
      <c r="O108" s="207"/>
      <c r="P108" s="207"/>
      <c r="Q108" s="208"/>
      <c r="R108" s="207"/>
      <c r="S108" s="324"/>
      <c r="T108" s="317"/>
      <c r="U108" s="342"/>
      <c r="V108" s="77"/>
      <c r="W108" s="77"/>
      <c r="X108" s="77"/>
      <c r="Y108" s="77"/>
      <c r="Z108" s="77"/>
      <c r="AA108" s="77"/>
      <c r="AB108" s="77"/>
      <c r="AC108" s="77"/>
      <c r="AD108" s="77"/>
      <c r="AE108" s="77"/>
      <c r="AF108" s="77"/>
      <c r="AG108" s="77"/>
    </row>
    <row r="109" spans="1:33" customFormat="1" ht="11.7" customHeight="1" x14ac:dyDescent="0.25">
      <c r="A109" s="1"/>
      <c r="B109" s="212"/>
      <c r="C109" s="665" t="str">
        <f>C$56</f>
        <v>Operating results</v>
      </c>
      <c r="D109" s="738"/>
      <c r="E109" s="738"/>
      <c r="F109" s="738"/>
      <c r="G109" s="327"/>
      <c r="H109" s="738"/>
      <c r="I109" s="777"/>
      <c r="J109" s="79"/>
      <c r="K109" s="79"/>
      <c r="L109" s="79"/>
      <c r="M109" s="79"/>
      <c r="N109" s="79"/>
      <c r="O109" s="79"/>
      <c r="P109" s="79"/>
      <c r="Q109" s="79"/>
      <c r="R109" s="79"/>
      <c r="S109" s="79"/>
      <c r="T109" s="564"/>
      <c r="U109" s="214"/>
      <c r="V109" s="77"/>
      <c r="W109" s="3"/>
      <c r="X109" s="3"/>
      <c r="Y109" s="3"/>
      <c r="Z109" s="3"/>
      <c r="AA109" s="3"/>
      <c r="AB109" s="3"/>
      <c r="AC109" s="3"/>
      <c r="AD109" s="3"/>
      <c r="AE109" s="3"/>
      <c r="AF109" s="3"/>
      <c r="AG109" s="3"/>
    </row>
    <row r="110" spans="1:33" ht="11.7" customHeight="1" x14ac:dyDescent="0.2">
      <c r="A110" s="1"/>
      <c r="B110" s="212"/>
      <c r="C110" s="428"/>
      <c r="D110" s="1"/>
      <c r="E110" s="1"/>
      <c r="F110" s="576"/>
      <c r="G110" s="576"/>
      <c r="H110" s="576"/>
      <c r="I110" s="576"/>
      <c r="J110" s="576"/>
      <c r="K110" s="576"/>
      <c r="L110" s="576"/>
      <c r="M110" s="576"/>
      <c r="N110" s="576"/>
      <c r="O110" s="576"/>
      <c r="P110" s="576"/>
      <c r="Q110" s="576"/>
      <c r="R110" s="576"/>
      <c r="S110" s="455"/>
      <c r="T110" s="347"/>
      <c r="U110" s="342"/>
      <c r="V110" s="77"/>
      <c r="W110" s="77"/>
      <c r="X110" s="77"/>
      <c r="Y110" s="77"/>
      <c r="Z110" s="77"/>
      <c r="AA110" s="77"/>
      <c r="AB110" s="77"/>
      <c r="AC110" s="77"/>
      <c r="AD110" s="77"/>
      <c r="AE110" s="77"/>
      <c r="AF110" s="77"/>
      <c r="AG110" s="77"/>
    </row>
    <row r="111" spans="1:33" ht="11.7" customHeight="1" x14ac:dyDescent="0.2">
      <c r="A111" s="1"/>
      <c r="B111" s="212"/>
      <c r="C111" s="334" t="str">
        <f>C$58</f>
        <v>Operating result from continuing operations</v>
      </c>
      <c r="D111" s="307"/>
      <c r="E111" s="305"/>
      <c r="F111" s="207">
        <f t="shared" ref="F111:P111" si="30">F86-F105</f>
        <v>11903684.259999961</v>
      </c>
      <c r="G111" s="207">
        <f t="shared" si="30"/>
        <v>12496439.559999973</v>
      </c>
      <c r="H111" s="207">
        <f t="shared" si="30"/>
        <v>11132761.01000011</v>
      </c>
      <c r="I111" s="324">
        <f t="shared" si="30"/>
        <v>8601459.4262499809</v>
      </c>
      <c r="J111" s="207">
        <f t="shared" si="30"/>
        <v>56074913.130656272</v>
      </c>
      <c r="K111" s="207">
        <f t="shared" si="30"/>
        <v>5519387.6559226513</v>
      </c>
      <c r="L111" s="207">
        <f t="shared" si="30"/>
        <v>3921262.1355707645</v>
      </c>
      <c r="M111" s="207">
        <f t="shared" si="30"/>
        <v>5108011.9639599323</v>
      </c>
      <c r="N111" s="207">
        <f t="shared" si="30"/>
        <v>4000526.4663091302</v>
      </c>
      <c r="O111" s="207">
        <f t="shared" si="30"/>
        <v>2906899.5987166762</v>
      </c>
      <c r="P111" s="207">
        <f t="shared" si="30"/>
        <v>1558151.6581846178</v>
      </c>
      <c r="Q111" s="208">
        <f>SUM(G111:P111)</f>
        <v>111319812.60557011</v>
      </c>
      <c r="R111" s="207"/>
      <c r="S111" s="324">
        <f>P111-F111</f>
        <v>-10345532.601815343</v>
      </c>
      <c r="T111" s="317">
        <f>IF(F111=0,0,(S111/F111))</f>
        <v>-0.86910341167057947</v>
      </c>
      <c r="U111" s="342"/>
      <c r="V111" s="77"/>
      <c r="W111" s="77"/>
      <c r="X111" s="77"/>
      <c r="Y111" s="77"/>
      <c r="Z111" s="77"/>
      <c r="AA111" s="77"/>
      <c r="AB111" s="77"/>
      <c r="AC111" s="77"/>
      <c r="AD111" s="77"/>
      <c r="AE111" s="77"/>
      <c r="AF111" s="77"/>
      <c r="AG111" s="77"/>
    </row>
    <row r="112" spans="1:33" ht="28.5" customHeight="1" x14ac:dyDescent="0.25">
      <c r="A112" s="1"/>
      <c r="B112" s="212"/>
      <c r="C112" s="896" t="str">
        <f>C$59</f>
        <v>Net operating result before capital grants &amp; contributions</v>
      </c>
      <c r="D112" s="307"/>
      <c r="E112" s="305"/>
      <c r="F112" s="297">
        <f t="shared" ref="F112:P112" si="31">F88-F105</f>
        <v>3553684.2599999607</v>
      </c>
      <c r="G112" s="297">
        <f t="shared" si="31"/>
        <v>3168486.5599999726</v>
      </c>
      <c r="H112" s="297">
        <f t="shared" si="31"/>
        <v>1682197.3600001037</v>
      </c>
      <c r="I112" s="297">
        <f t="shared" si="31"/>
        <v>-970920.02375000715</v>
      </c>
      <c r="J112" s="297">
        <f t="shared" si="31"/>
        <v>-2214803.4093437195</v>
      </c>
      <c r="K112" s="297">
        <f t="shared" si="31"/>
        <v>-4270242.0840773582</v>
      </c>
      <c r="L112" s="297">
        <f t="shared" si="31"/>
        <v>-5980918.7344292402</v>
      </c>
      <c r="M112" s="297">
        <f t="shared" si="31"/>
        <v>-4909421.2360400558</v>
      </c>
      <c r="N112" s="297">
        <f t="shared" si="31"/>
        <v>-6134925.1136908829</v>
      </c>
      <c r="O112" s="297">
        <f t="shared" si="31"/>
        <v>-7354438.2912833095</v>
      </c>
      <c r="P112" s="297">
        <f t="shared" si="31"/>
        <v>-8832219.6818153858</v>
      </c>
      <c r="Q112" s="297">
        <f>SUM(G112:P112)</f>
        <v>-35817204.654429883</v>
      </c>
      <c r="R112" s="207"/>
      <c r="S112" s="344">
        <f>P112-F112</f>
        <v>-12385903.941815346</v>
      </c>
      <c r="T112" s="318">
        <f>IF(F112=0,0,(S112/F112))</f>
        <v>-3.4853698403176323</v>
      </c>
      <c r="U112" s="342"/>
      <c r="V112" s="77"/>
      <c r="W112" s="77"/>
      <c r="X112" s="77"/>
      <c r="Y112" s="77"/>
      <c r="Z112" s="77"/>
      <c r="AA112" s="77"/>
      <c r="AB112" s="77"/>
      <c r="AC112" s="77"/>
      <c r="AD112" s="77"/>
      <c r="AE112" s="77"/>
      <c r="AF112" s="77"/>
      <c r="AG112" s="77"/>
    </row>
    <row r="113" spans="1:33" ht="45" customHeight="1" x14ac:dyDescent="0.25">
      <c r="A113" s="1"/>
      <c r="B113" s="212"/>
      <c r="C113" s="909" t="str">
        <f>C$60</f>
        <v>Net operating result before capital grants &amp; contributions, gains/losses on asset disposals, gains/losses on joint ventures and fair value adjustments</v>
      </c>
      <c r="D113" s="307"/>
      <c r="E113" s="305"/>
      <c r="F113" s="207">
        <f t="shared" ref="F113:P113" si="32">F90-F107</f>
        <v>3453684.2599999607</v>
      </c>
      <c r="G113" s="207">
        <f t="shared" si="32"/>
        <v>3064986.5599999726</v>
      </c>
      <c r="H113" s="207">
        <f t="shared" si="32"/>
        <v>1575695.8600001037</v>
      </c>
      <c r="I113" s="207">
        <f t="shared" si="32"/>
        <v>-1080403.5637499988</v>
      </c>
      <c r="J113" s="207">
        <f t="shared" si="32"/>
        <v>-2326914.5493437052</v>
      </c>
      <c r="K113" s="207">
        <f t="shared" si="32"/>
        <v>-4385043.8940773606</v>
      </c>
      <c r="L113" s="207">
        <f t="shared" si="32"/>
        <v>-6098475.7844292521</v>
      </c>
      <c r="M113" s="207">
        <f t="shared" si="32"/>
        <v>-5029799.6560400426</v>
      </c>
      <c r="N113" s="207">
        <f t="shared" si="32"/>
        <v>-6258192.6136908829</v>
      </c>
      <c r="O113" s="207">
        <f t="shared" si="32"/>
        <v>-7480787.4812833071</v>
      </c>
      <c r="P113" s="207">
        <f t="shared" si="32"/>
        <v>-8961727.6018153727</v>
      </c>
      <c r="Q113" s="208">
        <f>SUM(G113:P113)</f>
        <v>-36980662.724429846</v>
      </c>
      <c r="R113" s="297"/>
      <c r="S113" s="324">
        <f>P113-F113</f>
        <v>-12415411.861815333</v>
      </c>
      <c r="T113" s="317">
        <f>IF(F113=0,0,(S113/F113))</f>
        <v>-3.5948311794476182</v>
      </c>
      <c r="U113" s="342"/>
      <c r="V113" s="77"/>
      <c r="W113" s="77"/>
      <c r="X113" s="77"/>
      <c r="Y113" s="77"/>
      <c r="Z113" s="77"/>
      <c r="AA113" s="77"/>
      <c r="AB113" s="77"/>
      <c r="AC113" s="77"/>
      <c r="AD113" s="77"/>
      <c r="AE113" s="77"/>
      <c r="AF113" s="77"/>
      <c r="AG113" s="77"/>
    </row>
    <row r="114" spans="1:33" ht="11.7" customHeight="1" x14ac:dyDescent="0.2">
      <c r="A114" s="1"/>
      <c r="B114" s="212"/>
      <c r="C114" s="334"/>
      <c r="D114" s="321"/>
      <c r="E114" s="321"/>
      <c r="F114" s="322"/>
      <c r="G114" s="322"/>
      <c r="H114" s="322"/>
      <c r="I114" s="322"/>
      <c r="J114" s="322"/>
      <c r="K114" s="322"/>
      <c r="L114" s="322"/>
      <c r="M114" s="322"/>
      <c r="N114" s="322"/>
      <c r="O114" s="322"/>
      <c r="P114" s="322"/>
      <c r="Q114" s="322"/>
      <c r="R114" s="576"/>
      <c r="S114" s="324"/>
      <c r="T114" s="317"/>
      <c r="U114" s="342"/>
      <c r="V114" s="77"/>
      <c r="W114" s="77"/>
      <c r="X114" s="77"/>
      <c r="Y114" s="77"/>
      <c r="Z114" s="77"/>
      <c r="AA114" s="77"/>
      <c r="AB114" s="77"/>
      <c r="AC114" s="77"/>
      <c r="AD114" s="77"/>
      <c r="AE114" s="77"/>
      <c r="AF114" s="77"/>
      <c r="AG114" s="77"/>
    </row>
    <row r="115" spans="1:33" customFormat="1" ht="11.7" customHeight="1" x14ac:dyDescent="0.25">
      <c r="A115" s="1"/>
      <c r="B115" s="212"/>
      <c r="C115" s="665" t="str">
        <f>C$62</f>
        <v>Increase in rates and annual charges</v>
      </c>
      <c r="D115" s="738"/>
      <c r="E115" s="738"/>
      <c r="F115" s="738"/>
      <c r="G115" s="327"/>
      <c r="H115" s="738"/>
      <c r="I115" s="777"/>
      <c r="J115" s="79"/>
      <c r="K115" s="79"/>
      <c r="L115" s="79"/>
      <c r="M115" s="79"/>
      <c r="N115" s="79"/>
      <c r="O115" s="79"/>
      <c r="P115" s="79"/>
      <c r="Q115" s="79"/>
      <c r="R115" s="79"/>
      <c r="S115" s="79"/>
      <c r="T115" s="564"/>
      <c r="U115" s="214"/>
      <c r="V115" s="77"/>
      <c r="W115" s="3"/>
      <c r="X115" s="3"/>
      <c r="Y115" s="3"/>
      <c r="Z115" s="3"/>
      <c r="AA115" s="3"/>
      <c r="AB115" s="3"/>
      <c r="AC115" s="3"/>
      <c r="AD115" s="3"/>
      <c r="AE115" s="3"/>
      <c r="AF115" s="3"/>
      <c r="AG115" s="3"/>
    </row>
    <row r="116" spans="1:33" ht="11.7" customHeight="1" x14ac:dyDescent="0.2">
      <c r="A116" s="1"/>
      <c r="B116" s="212"/>
      <c r="C116" s="428"/>
      <c r="D116" s="1"/>
      <c r="E116" s="1"/>
      <c r="F116" s="576"/>
      <c r="G116" s="576"/>
      <c r="H116" s="576"/>
      <c r="I116" s="576"/>
      <c r="J116" s="576"/>
      <c r="K116" s="576"/>
      <c r="L116" s="576"/>
      <c r="M116" s="576"/>
      <c r="N116" s="576"/>
      <c r="O116" s="576"/>
      <c r="P116" s="576"/>
      <c r="Q116" s="576"/>
      <c r="R116" s="576"/>
      <c r="S116" s="455"/>
      <c r="T116" s="347"/>
      <c r="U116" s="214"/>
      <c r="V116" s="77"/>
      <c r="W116" s="77"/>
      <c r="X116" s="77"/>
      <c r="Y116" s="77"/>
      <c r="Z116" s="77"/>
      <c r="AA116" s="77"/>
      <c r="AB116" s="77"/>
      <c r="AC116" s="77"/>
      <c r="AD116" s="77"/>
      <c r="AE116" s="77"/>
      <c r="AF116" s="77"/>
      <c r="AG116" s="77"/>
    </row>
    <row r="117" spans="1:33" ht="11.7" customHeight="1" x14ac:dyDescent="0.2">
      <c r="A117" s="1"/>
      <c r="B117" s="212"/>
      <c r="C117" s="334" t="str">
        <f>C$64</f>
        <v>$ Increase in rates and annual charges</v>
      </c>
      <c r="D117" s="307"/>
      <c r="E117" s="305"/>
      <c r="F117" s="323"/>
      <c r="G117" s="207">
        <f t="shared" ref="G117:P117" si="33">G74-F74</f>
        <v>4121419.5400000066</v>
      </c>
      <c r="H117" s="207">
        <f t="shared" si="33"/>
        <v>3754190.2599999905</v>
      </c>
      <c r="I117" s="207">
        <f t="shared" si="33"/>
        <v>3438669.9000000358</v>
      </c>
      <c r="J117" s="207">
        <f t="shared" si="33"/>
        <v>2974568.5099999607</v>
      </c>
      <c r="K117" s="207">
        <f t="shared" si="33"/>
        <v>3048042.5700000226</v>
      </c>
      <c r="L117" s="207">
        <f t="shared" si="33"/>
        <v>3123332.0699999928</v>
      </c>
      <c r="M117" s="207">
        <f t="shared" si="33"/>
        <v>3200481.9399999678</v>
      </c>
      <c r="N117" s="207">
        <f t="shared" si="33"/>
        <v>3279538.1900000572</v>
      </c>
      <c r="O117" s="207">
        <f t="shared" si="33"/>
        <v>3402308.5499999523</v>
      </c>
      <c r="P117" s="207">
        <f t="shared" si="33"/>
        <v>4090943.3199999928</v>
      </c>
      <c r="Q117" s="208">
        <f>P74-F74</f>
        <v>34433494.849999979</v>
      </c>
      <c r="R117" s="207"/>
      <c r="S117" s="341"/>
      <c r="T117" s="332"/>
      <c r="U117" s="214"/>
      <c r="V117" s="77"/>
      <c r="W117" s="77"/>
      <c r="X117" s="77"/>
      <c r="Y117" s="77"/>
      <c r="Z117" s="77"/>
      <c r="AA117" s="77"/>
      <c r="AB117" s="77"/>
      <c r="AC117" s="77"/>
      <c r="AD117" s="77"/>
      <c r="AE117" s="77"/>
      <c r="AF117" s="77"/>
      <c r="AG117" s="77"/>
    </row>
    <row r="118" spans="1:33" ht="11.7" customHeight="1" x14ac:dyDescent="0.2">
      <c r="A118" s="1"/>
      <c r="B118" s="212"/>
      <c r="C118" s="336" t="str">
        <f>C$65</f>
        <v>% Increase in rates and annual charges</v>
      </c>
      <c r="D118" s="313"/>
      <c r="E118" s="306"/>
      <c r="F118" s="337"/>
      <c r="G118" s="154">
        <f t="shared" ref="G118:P118" si="34">IF(F74=0,0,G74/F74-1)</f>
        <v>3.7758500270658413E-2</v>
      </c>
      <c r="H118" s="154">
        <f t="shared" si="34"/>
        <v>3.3142700302970507E-2</v>
      </c>
      <c r="I118" s="154">
        <f t="shared" si="34"/>
        <v>2.9383382367641486E-2</v>
      </c>
      <c r="J118" s="154">
        <f t="shared" si="34"/>
        <v>2.4692105423435029E-2</v>
      </c>
      <c r="K118" s="154">
        <f t="shared" si="34"/>
        <v>2.4692313626325735E-2</v>
      </c>
      <c r="L118" s="154">
        <f t="shared" si="34"/>
        <v>2.4692521367057019E-2</v>
      </c>
      <c r="M118" s="154">
        <f t="shared" si="34"/>
        <v>2.4692729110617151E-2</v>
      </c>
      <c r="N118" s="154">
        <f t="shared" si="34"/>
        <v>2.4692937045632357E-2</v>
      </c>
      <c r="O118" s="154">
        <f t="shared" si="34"/>
        <v>2.5000000099197006E-2</v>
      </c>
      <c r="P118" s="154">
        <f t="shared" si="34"/>
        <v>2.9326883286969974E-2</v>
      </c>
      <c r="Q118" s="338">
        <f>IF(F74=0,0,P74/F74-1)</f>
        <v>0.31546342516089365</v>
      </c>
      <c r="R118" s="154"/>
      <c r="S118" s="346"/>
      <c r="T118" s="339"/>
      <c r="U118" s="214"/>
      <c r="V118" s="77"/>
      <c r="W118" s="77"/>
      <c r="X118" s="77"/>
      <c r="Y118" s="77"/>
      <c r="Z118" s="77"/>
      <c r="AA118" s="77"/>
      <c r="AB118" s="77"/>
      <c r="AC118" s="77"/>
      <c r="AD118" s="77"/>
      <c r="AE118" s="77"/>
      <c r="AF118" s="77"/>
      <c r="AG118" s="77"/>
    </row>
    <row r="119" spans="1:33" ht="11.7" customHeight="1" x14ac:dyDescent="0.2">
      <c r="A119" s="1"/>
      <c r="B119" s="212"/>
      <c r="C119" s="917" t="s">
        <v>127</v>
      </c>
      <c r="D119" s="1"/>
      <c r="E119" s="1"/>
      <c r="F119" s="77"/>
      <c r="G119" s="635">
        <f t="shared" ref="G119:P119" si="35">G112-G113-G84+G103</f>
        <v>103500</v>
      </c>
      <c r="H119" s="635">
        <f t="shared" si="35"/>
        <v>106501.5</v>
      </c>
      <c r="I119" s="635">
        <f t="shared" si="35"/>
        <v>109483.53999999166</v>
      </c>
      <c r="J119" s="635">
        <f t="shared" si="35"/>
        <v>112111.13999998569</v>
      </c>
      <c r="K119" s="635">
        <f t="shared" si="35"/>
        <v>114801.81000000238</v>
      </c>
      <c r="L119" s="635">
        <f t="shared" si="35"/>
        <v>117557.05000001192</v>
      </c>
      <c r="M119" s="635">
        <f t="shared" si="35"/>
        <v>120378.41999998689</v>
      </c>
      <c r="N119" s="635">
        <f t="shared" si="35"/>
        <v>123267.5</v>
      </c>
      <c r="O119" s="635">
        <f t="shared" si="35"/>
        <v>126349.18999999762</v>
      </c>
      <c r="P119" s="635">
        <f t="shared" si="35"/>
        <v>129507.91999998689</v>
      </c>
      <c r="Q119" s="77"/>
      <c r="R119" s="77"/>
      <c r="S119" s="77"/>
      <c r="T119" s="77"/>
      <c r="U119" s="342"/>
      <c r="V119" s="77"/>
      <c r="W119" s="77"/>
      <c r="X119" s="77"/>
      <c r="Y119" s="77"/>
      <c r="Z119" s="77"/>
      <c r="AA119" s="77"/>
      <c r="AB119" s="77"/>
      <c r="AC119" s="77"/>
      <c r="AD119" s="77"/>
      <c r="AE119" s="77"/>
      <c r="AF119" s="77"/>
      <c r="AG119" s="77"/>
    </row>
    <row r="120" spans="1:33" ht="11.7" customHeight="1" x14ac:dyDescent="0.2">
      <c r="A120" s="1"/>
      <c r="B120" s="212"/>
      <c r="C120" s="1"/>
      <c r="D120" s="1"/>
      <c r="E120" s="1"/>
      <c r="F120" s="77"/>
      <c r="G120" s="9"/>
      <c r="H120" s="77"/>
      <c r="I120" s="77"/>
      <c r="J120" s="77"/>
      <c r="K120" s="77"/>
      <c r="L120" s="77"/>
      <c r="M120" s="77"/>
      <c r="N120" s="77"/>
      <c r="O120" s="77"/>
      <c r="P120" s="77"/>
      <c r="Q120" s="77"/>
      <c r="R120" s="77"/>
      <c r="S120" s="77"/>
      <c r="T120" s="77"/>
      <c r="U120" s="342"/>
      <c r="V120" s="77"/>
      <c r="W120" s="77"/>
      <c r="X120" s="77"/>
      <c r="Y120" s="77"/>
      <c r="Z120" s="77"/>
      <c r="AA120" s="77"/>
      <c r="AB120" s="77"/>
      <c r="AC120" s="77"/>
      <c r="AD120" s="77"/>
      <c r="AE120" s="77"/>
      <c r="AF120" s="77"/>
      <c r="AG120" s="77"/>
    </row>
    <row r="121" spans="1:33" ht="11.7" customHeight="1" x14ac:dyDescent="0.2">
      <c r="A121" s="1"/>
      <c r="B121" s="212"/>
      <c r="C121" s="1"/>
      <c r="D121" s="1"/>
      <c r="E121" s="1"/>
      <c r="F121" s="77"/>
      <c r="G121" s="77"/>
      <c r="H121" s="77"/>
      <c r="I121" s="77"/>
      <c r="J121" s="77"/>
      <c r="K121" s="77"/>
      <c r="L121" s="77"/>
      <c r="M121" s="77"/>
      <c r="N121" s="77"/>
      <c r="O121" s="77"/>
      <c r="P121" s="77"/>
      <c r="Q121" s="77"/>
      <c r="R121" s="77"/>
      <c r="S121" s="77"/>
      <c r="T121" s="77"/>
      <c r="U121" s="342"/>
      <c r="V121" s="77"/>
      <c r="W121" s="77"/>
      <c r="X121" s="77"/>
      <c r="Y121" s="77"/>
      <c r="Z121" s="77"/>
      <c r="AA121" s="77"/>
      <c r="AB121" s="77"/>
      <c r="AC121" s="77"/>
      <c r="AD121" s="77"/>
      <c r="AE121" s="77"/>
      <c r="AF121" s="77"/>
      <c r="AG121" s="77"/>
    </row>
    <row r="122" spans="1:33" customFormat="1" ht="19.95" customHeight="1" x14ac:dyDescent="0.25">
      <c r="A122" s="3"/>
      <c r="B122" s="212"/>
      <c r="C122" s="1246" t="s">
        <v>1000</v>
      </c>
      <c r="D122" s="740"/>
      <c r="E122" s="740"/>
      <c r="F122" s="203"/>
      <c r="G122" s="187"/>
      <c r="H122" s="204"/>
      <c r="I122" s="204"/>
      <c r="J122" s="204"/>
      <c r="K122" s="204"/>
      <c r="L122" s="204"/>
      <c r="M122" s="204"/>
      <c r="N122" s="204"/>
      <c r="O122" s="204"/>
      <c r="P122" s="204"/>
      <c r="Q122" s="204"/>
      <c r="R122" s="204"/>
      <c r="S122" s="204"/>
      <c r="T122" s="326"/>
      <c r="U122" s="214"/>
      <c r="V122" s="77"/>
      <c r="W122" s="3"/>
      <c r="X122" s="3"/>
      <c r="Y122" s="3"/>
      <c r="Z122" s="3"/>
      <c r="AA122" s="3"/>
      <c r="AB122" s="3"/>
      <c r="AC122" s="3"/>
      <c r="AD122" s="3"/>
      <c r="AE122" s="3"/>
      <c r="AF122" s="3"/>
      <c r="AG122" s="3"/>
    </row>
    <row r="123" spans="1:33" ht="11.7" customHeight="1" x14ac:dyDescent="0.25">
      <c r="A123" s="1"/>
      <c r="B123" s="212"/>
      <c r="C123" s="1212"/>
      <c r="D123" s="727"/>
      <c r="E123" s="727"/>
      <c r="F123" s="1249" t="str">
        <f t="shared" ref="F123:S123" si="36">F$17</f>
        <v>Year 0</v>
      </c>
      <c r="G123" s="1249" t="str">
        <f t="shared" si="36"/>
        <v>Year 1</v>
      </c>
      <c r="H123" s="1249" t="str">
        <f t="shared" si="36"/>
        <v>Year 2</v>
      </c>
      <c r="I123" s="1249" t="str">
        <f t="shared" si="36"/>
        <v>Year 3</v>
      </c>
      <c r="J123" s="1249" t="str">
        <f t="shared" si="36"/>
        <v>Year 4</v>
      </c>
      <c r="K123" s="1249" t="str">
        <f t="shared" si="36"/>
        <v>Year 5</v>
      </c>
      <c r="L123" s="1249" t="str">
        <f t="shared" si="36"/>
        <v>Year 6</v>
      </c>
      <c r="M123" s="1249" t="str">
        <f t="shared" si="36"/>
        <v>Year 7</v>
      </c>
      <c r="N123" s="1249" t="str">
        <f t="shared" si="36"/>
        <v>Year 8</v>
      </c>
      <c r="O123" s="1249" t="str">
        <f t="shared" si="36"/>
        <v>Year 9</v>
      </c>
      <c r="P123" s="1249" t="str">
        <f t="shared" si="36"/>
        <v>Year 10</v>
      </c>
      <c r="Q123" s="1254" t="str">
        <f t="shared" si="36"/>
        <v>Sum of 10 years</v>
      </c>
      <c r="R123" s="1250">
        <f t="shared" si="36"/>
        <v>0</v>
      </c>
      <c r="S123" s="1189" t="str">
        <f t="shared" si="36"/>
        <v xml:space="preserve">  Change over 10 years</v>
      </c>
      <c r="T123" s="1188"/>
      <c r="U123" s="342"/>
      <c r="V123" s="77"/>
      <c r="W123" s="3"/>
      <c r="X123" s="77"/>
      <c r="Y123" s="77"/>
      <c r="Z123" s="77"/>
      <c r="AA123" s="77"/>
      <c r="AB123" s="77"/>
      <c r="AC123" s="77"/>
      <c r="AD123" s="77"/>
      <c r="AE123" s="77"/>
      <c r="AF123" s="77"/>
      <c r="AG123" s="77"/>
    </row>
    <row r="124" spans="1:33" ht="11.7" customHeight="1" x14ac:dyDescent="0.25">
      <c r="A124" s="1"/>
      <c r="B124" s="212"/>
      <c r="C124" s="328"/>
      <c r="D124" s="312"/>
      <c r="E124" s="304"/>
      <c r="F124" s="310" t="str">
        <f t="shared" ref="F124:P124" si="37">F$18</f>
        <v>2022-23</v>
      </c>
      <c r="G124" s="310" t="str">
        <f t="shared" si="37"/>
        <v>2023-24</v>
      </c>
      <c r="H124" s="310" t="str">
        <f t="shared" si="37"/>
        <v>2024-25</v>
      </c>
      <c r="I124" s="310" t="str">
        <f t="shared" si="37"/>
        <v>2025-26</v>
      </c>
      <c r="J124" s="310" t="str">
        <f t="shared" si="37"/>
        <v>2026-27</v>
      </c>
      <c r="K124" s="310" t="str">
        <f t="shared" si="37"/>
        <v>2027-28</v>
      </c>
      <c r="L124" s="310" t="str">
        <f t="shared" si="37"/>
        <v>2028-29</v>
      </c>
      <c r="M124" s="310" t="str">
        <f t="shared" si="37"/>
        <v>2029-30</v>
      </c>
      <c r="N124" s="310" t="str">
        <f t="shared" si="37"/>
        <v>2030-31</v>
      </c>
      <c r="O124" s="310" t="str">
        <f t="shared" si="37"/>
        <v>2031-32</v>
      </c>
      <c r="P124" s="310" t="str">
        <f t="shared" si="37"/>
        <v>2032-33</v>
      </c>
      <c r="Q124" s="311"/>
      <c r="R124" s="664">
        <f>R$18</f>
        <v>0</v>
      </c>
      <c r="S124" s="689" t="str">
        <f>S$18</f>
        <v>$</v>
      </c>
      <c r="T124" s="690" t="str">
        <f>T$18</f>
        <v>%</v>
      </c>
      <c r="U124" s="342"/>
      <c r="V124" s="77"/>
      <c r="W124" s="77"/>
      <c r="X124" s="77"/>
      <c r="Y124" s="77"/>
      <c r="Z124" s="77"/>
      <c r="AA124" s="77"/>
      <c r="AB124" s="77"/>
      <c r="AC124" s="77"/>
      <c r="AD124" s="77"/>
      <c r="AE124" s="77"/>
      <c r="AF124" s="77"/>
      <c r="AG124" s="77"/>
    </row>
    <row r="125" spans="1:33" customFormat="1" ht="11.7" customHeight="1" outlineLevel="1" x14ac:dyDescent="0.25">
      <c r="A125" s="1"/>
      <c r="B125" s="212"/>
      <c r="C125" s="665" t="str">
        <f>C$19</f>
        <v>Income from continuing operations</v>
      </c>
      <c r="D125" s="738"/>
      <c r="E125" s="738"/>
      <c r="F125" s="738"/>
      <c r="G125" s="327"/>
      <c r="H125" s="79"/>
      <c r="I125" s="776"/>
      <c r="J125" s="79"/>
      <c r="K125" s="79"/>
      <c r="L125" s="79"/>
      <c r="M125" s="79"/>
      <c r="N125" s="79"/>
      <c r="O125" s="79"/>
      <c r="P125" s="79"/>
      <c r="Q125" s="79"/>
      <c r="R125" s="79"/>
      <c r="S125" s="79"/>
      <c r="T125" s="564"/>
      <c r="U125" s="214"/>
      <c r="V125" s="77"/>
      <c r="W125" s="3"/>
      <c r="X125" s="3"/>
      <c r="Y125" s="3"/>
      <c r="Z125" s="3"/>
      <c r="AA125" s="3"/>
      <c r="AB125" s="3"/>
      <c r="AC125" s="3"/>
      <c r="AD125" s="3"/>
      <c r="AE125" s="3"/>
      <c r="AF125" s="3"/>
      <c r="AG125" s="3"/>
    </row>
    <row r="126" spans="1:33" ht="11.7" customHeight="1" outlineLevel="1" x14ac:dyDescent="0.25">
      <c r="A126" s="1"/>
      <c r="B126" s="212"/>
      <c r="C126" s="737" t="str">
        <f>C$20</f>
        <v>Revenue:</v>
      </c>
      <c r="D126" s="1"/>
      <c r="E126" s="1"/>
      <c r="F126" s="500"/>
      <c r="G126" s="500"/>
      <c r="H126" s="500"/>
      <c r="I126" s="576"/>
      <c r="J126" s="500"/>
      <c r="K126" s="500"/>
      <c r="L126" s="500"/>
      <c r="M126" s="500"/>
      <c r="N126" s="500"/>
      <c r="O126" s="500"/>
      <c r="P126" s="500"/>
      <c r="Q126" s="500"/>
      <c r="R126" s="576"/>
      <c r="S126" s="455"/>
      <c r="T126" s="347"/>
      <c r="U126" s="214"/>
      <c r="V126" s="77"/>
      <c r="W126" s="77"/>
      <c r="X126" s="77"/>
      <c r="Y126" s="77"/>
      <c r="Z126" s="77"/>
      <c r="AA126" s="77"/>
      <c r="AB126" s="77"/>
      <c r="AC126" s="77"/>
      <c r="AD126" s="77"/>
      <c r="AE126" s="77"/>
      <c r="AF126" s="77"/>
      <c r="AG126" s="77"/>
    </row>
    <row r="127" spans="1:33" ht="11.7" customHeight="1" outlineLevel="1" x14ac:dyDescent="0.2">
      <c r="A127" s="1"/>
      <c r="B127" s="212"/>
      <c r="C127" s="750" t="str">
        <f>C$21</f>
        <v>Rates &amp; Annual Charges</v>
      </c>
      <c r="D127" s="307"/>
      <c r="E127" s="307"/>
      <c r="F127" s="658">
        <f t="shared" ref="F127:P127" si="38">F74</f>
        <v>109152098.48</v>
      </c>
      <c r="G127" s="658">
        <f t="shared" si="38"/>
        <v>113273518.02000001</v>
      </c>
      <c r="H127" s="658">
        <f t="shared" si="38"/>
        <v>117027708.28</v>
      </c>
      <c r="I127" s="207">
        <f t="shared" si="38"/>
        <v>120466378.18000004</v>
      </c>
      <c r="J127" s="658">
        <f t="shared" si="38"/>
        <v>123440946.69</v>
      </c>
      <c r="K127" s="658">
        <f t="shared" si="38"/>
        <v>126488989.26000002</v>
      </c>
      <c r="L127" s="658">
        <f t="shared" si="38"/>
        <v>129612321.33000001</v>
      </c>
      <c r="M127" s="658">
        <f t="shared" si="38"/>
        <v>132812803.26999998</v>
      </c>
      <c r="N127" s="658">
        <f t="shared" si="38"/>
        <v>136092341.46000004</v>
      </c>
      <c r="O127" s="658">
        <f t="shared" si="38"/>
        <v>139494650.00999999</v>
      </c>
      <c r="P127" s="658">
        <f t="shared" si="38"/>
        <v>143585593.32999998</v>
      </c>
      <c r="Q127" s="655">
        <f t="shared" ref="Q127:Q133" si="39">SUM(G127:P127)</f>
        <v>1282295249.8299999</v>
      </c>
      <c r="R127" s="207"/>
      <c r="S127" s="324">
        <f t="shared" ref="S127:S133" si="40">P127-F127</f>
        <v>34433494.849999979</v>
      </c>
      <c r="T127" s="317">
        <f t="shared" ref="T127:T133" si="41">IF(F127=0,0,(S127/F127))</f>
        <v>0.31546342516089371</v>
      </c>
      <c r="U127" s="214"/>
      <c r="V127" s="77"/>
      <c r="W127" s="77"/>
      <c r="X127" s="77"/>
      <c r="Y127" s="77"/>
      <c r="Z127" s="77"/>
      <c r="AA127" s="77"/>
      <c r="AB127" s="77"/>
      <c r="AC127" s="77"/>
      <c r="AD127" s="77"/>
      <c r="AE127" s="77"/>
      <c r="AF127" s="77"/>
      <c r="AG127" s="77"/>
    </row>
    <row r="128" spans="1:33" ht="11.7" customHeight="1" outlineLevel="1" x14ac:dyDescent="0.2">
      <c r="A128" s="1"/>
      <c r="B128" s="212"/>
      <c r="C128" s="750" t="str">
        <f>C$22</f>
        <v>User Charges &amp; Fees</v>
      </c>
      <c r="D128" s="307"/>
      <c r="E128" s="307"/>
      <c r="F128" s="658">
        <f t="shared" ref="F128:P128" si="42">F75</f>
        <v>14233153.67</v>
      </c>
      <c r="G128" s="658">
        <f t="shared" si="42"/>
        <v>14731617.310000002</v>
      </c>
      <c r="H128" s="658">
        <f t="shared" si="42"/>
        <v>15158826.139999997</v>
      </c>
      <c r="I128" s="207">
        <f t="shared" si="42"/>
        <v>15583266.986250004</v>
      </c>
      <c r="J128" s="658">
        <f t="shared" si="42"/>
        <v>15957267.47065625</v>
      </c>
      <c r="K128" s="658">
        <f t="shared" si="42"/>
        <v>16340244.055922654</v>
      </c>
      <c r="L128" s="658">
        <f t="shared" si="42"/>
        <v>16732412.215570724</v>
      </c>
      <c r="M128" s="658">
        <f t="shared" si="42"/>
        <v>17133992.393959992</v>
      </c>
      <c r="N128" s="658">
        <f t="shared" si="42"/>
        <v>17545210.596308984</v>
      </c>
      <c r="O128" s="658">
        <f t="shared" si="42"/>
        <v>17983840.898716718</v>
      </c>
      <c r="P128" s="658">
        <f t="shared" si="42"/>
        <v>18433436.938184626</v>
      </c>
      <c r="Q128" s="655">
        <f t="shared" si="39"/>
        <v>165600115.00556993</v>
      </c>
      <c r="R128" s="207"/>
      <c r="S128" s="324">
        <f t="shared" si="40"/>
        <v>4200283.2681846265</v>
      </c>
      <c r="T128" s="317">
        <f t="shared" si="41"/>
        <v>0.29510559399339548</v>
      </c>
      <c r="U128" s="214"/>
      <c r="V128" s="77"/>
      <c r="W128" s="77"/>
      <c r="X128" s="77"/>
      <c r="Y128" s="77"/>
      <c r="Z128" s="77"/>
      <c r="AA128" s="77"/>
      <c r="AB128" s="77"/>
      <c r="AC128" s="77"/>
      <c r="AD128" s="77"/>
      <c r="AE128" s="77"/>
      <c r="AF128" s="77"/>
      <c r="AG128" s="77"/>
    </row>
    <row r="129" spans="1:33" ht="11.7" customHeight="1" outlineLevel="1" x14ac:dyDescent="0.2">
      <c r="A129" s="1"/>
      <c r="B129" s="212"/>
      <c r="C129" s="750" t="str">
        <f>C$23</f>
        <v>Interest &amp; Investment Revenue</v>
      </c>
      <c r="D129" s="307"/>
      <c r="E129" s="307"/>
      <c r="F129" s="658">
        <f t="shared" ref="F129:P129" si="43">F76</f>
        <v>4929651.41</v>
      </c>
      <c r="G129" s="658">
        <f t="shared" si="43"/>
        <v>5491283.6799999997</v>
      </c>
      <c r="H129" s="658">
        <f t="shared" si="43"/>
        <v>4882424.41</v>
      </c>
      <c r="I129" s="207">
        <f t="shared" si="43"/>
        <v>3678321.14</v>
      </c>
      <c r="J129" s="658">
        <f t="shared" si="43"/>
        <v>3769582.1399999997</v>
      </c>
      <c r="K129" s="658">
        <f t="shared" si="43"/>
        <v>3830571.7800000003</v>
      </c>
      <c r="L129" s="658">
        <f t="shared" si="43"/>
        <v>3836224.2600000002</v>
      </c>
      <c r="M129" s="658">
        <f t="shared" si="43"/>
        <v>3867236.2600000002</v>
      </c>
      <c r="N129" s="658">
        <f t="shared" si="43"/>
        <v>3895738.7199999997</v>
      </c>
      <c r="O129" s="658">
        <f t="shared" si="43"/>
        <v>3850908.34</v>
      </c>
      <c r="P129" s="658">
        <f t="shared" si="43"/>
        <v>3804680.5300000003</v>
      </c>
      <c r="Q129" s="655">
        <f t="shared" si="39"/>
        <v>40906971.260000005</v>
      </c>
      <c r="R129" s="207"/>
      <c r="S129" s="324">
        <f t="shared" si="40"/>
        <v>-1124970.8799999999</v>
      </c>
      <c r="T129" s="317">
        <f t="shared" si="41"/>
        <v>-0.2282049553682336</v>
      </c>
      <c r="U129" s="214"/>
      <c r="V129" s="77"/>
      <c r="W129" s="77"/>
      <c r="X129" s="77"/>
      <c r="Y129" s="77"/>
      <c r="Z129" s="77"/>
      <c r="AA129" s="77"/>
      <c r="AB129" s="77"/>
      <c r="AC129" s="77"/>
      <c r="AD129" s="77"/>
      <c r="AE129" s="77"/>
      <c r="AF129" s="77"/>
      <c r="AG129" s="77"/>
    </row>
    <row r="130" spans="1:33" ht="11.7" customHeight="1" outlineLevel="1" x14ac:dyDescent="0.2">
      <c r="A130" s="1"/>
      <c r="B130" s="212"/>
      <c r="C130" s="750" t="str">
        <f>C$24</f>
        <v>Other Revenues</v>
      </c>
      <c r="D130" s="307"/>
      <c r="E130" s="307"/>
      <c r="F130" s="658">
        <f t="shared" ref="F130:P130" si="44">F77</f>
        <v>6784074.0800000001</v>
      </c>
      <c r="G130" s="658">
        <f t="shared" si="44"/>
        <v>7021516.7699999996</v>
      </c>
      <c r="H130" s="658">
        <f t="shared" si="44"/>
        <v>7225140.8199999984</v>
      </c>
      <c r="I130" s="207">
        <f t="shared" si="44"/>
        <v>7427444.7599999961</v>
      </c>
      <c r="J130" s="658">
        <f t="shared" si="44"/>
        <v>7605703.4300000016</v>
      </c>
      <c r="K130" s="658">
        <f t="shared" si="44"/>
        <v>7788240.290000001</v>
      </c>
      <c r="L130" s="658">
        <f t="shared" si="44"/>
        <v>7975158.0500000007</v>
      </c>
      <c r="M130" s="658">
        <f t="shared" si="44"/>
        <v>8166561.8299999973</v>
      </c>
      <c r="N130" s="658">
        <f t="shared" si="44"/>
        <v>8362559.3200000022</v>
      </c>
      <c r="O130" s="658">
        <f t="shared" si="44"/>
        <v>8571623.3100000005</v>
      </c>
      <c r="P130" s="658">
        <f t="shared" si="44"/>
        <v>8785913.889999995</v>
      </c>
      <c r="Q130" s="655">
        <f t="shared" si="39"/>
        <v>78929862.469999984</v>
      </c>
      <c r="R130" s="207"/>
      <c r="S130" s="324">
        <f t="shared" si="40"/>
        <v>2001839.8099999949</v>
      </c>
      <c r="T130" s="317">
        <f t="shared" si="41"/>
        <v>0.29507929695248769</v>
      </c>
      <c r="U130" s="214"/>
      <c r="V130" s="77"/>
      <c r="W130" s="77"/>
      <c r="X130" s="77"/>
      <c r="Y130" s="77"/>
      <c r="Z130" s="77"/>
      <c r="AA130" s="77"/>
      <c r="AB130" s="77"/>
      <c r="AC130" s="77"/>
      <c r="AD130" s="77"/>
      <c r="AE130" s="77"/>
      <c r="AF130" s="77"/>
      <c r="AG130" s="77"/>
    </row>
    <row r="131" spans="1:33" ht="11.7" customHeight="1" outlineLevel="1" x14ac:dyDescent="0.2">
      <c r="A131" s="1"/>
      <c r="B131" s="212"/>
      <c r="C131" s="750" t="str">
        <f>C$25</f>
        <v>Grants &amp; Contributions Op Purposes</v>
      </c>
      <c r="D131" s="307"/>
      <c r="E131" s="307"/>
      <c r="F131" s="658">
        <f t="shared" ref="F131:P131" si="45">F78</f>
        <v>12770693.92</v>
      </c>
      <c r="G131" s="658">
        <f t="shared" si="45"/>
        <v>13217668.210000001</v>
      </c>
      <c r="H131" s="658">
        <f t="shared" si="45"/>
        <v>13600980.630000001</v>
      </c>
      <c r="I131" s="207">
        <f t="shared" si="45"/>
        <v>13981808.059999999</v>
      </c>
      <c r="J131" s="658">
        <f t="shared" si="45"/>
        <v>14317371.470000003</v>
      </c>
      <c r="K131" s="658">
        <f t="shared" si="45"/>
        <v>14660988.369999999</v>
      </c>
      <c r="L131" s="658">
        <f t="shared" si="45"/>
        <v>15012852.100000001</v>
      </c>
      <c r="M131" s="658">
        <f t="shared" si="45"/>
        <v>15373160.559999999</v>
      </c>
      <c r="N131" s="658">
        <f t="shared" si="45"/>
        <v>15742116.439999998</v>
      </c>
      <c r="O131" s="658">
        <f t="shared" si="45"/>
        <v>16135669.369999999</v>
      </c>
      <c r="P131" s="658">
        <f t="shared" si="45"/>
        <v>16539061.149999999</v>
      </c>
      <c r="Q131" s="655">
        <f t="shared" si="39"/>
        <v>148581676.36000001</v>
      </c>
      <c r="R131" s="207"/>
      <c r="S131" s="324">
        <f t="shared" si="40"/>
        <v>3768367.2299999986</v>
      </c>
      <c r="T131" s="317">
        <f t="shared" si="41"/>
        <v>0.29507928493207508</v>
      </c>
      <c r="U131" s="214"/>
      <c r="V131" s="77"/>
      <c r="W131" s="77"/>
      <c r="X131" s="77"/>
      <c r="Y131" s="77"/>
      <c r="Z131" s="77"/>
      <c r="AA131" s="77"/>
      <c r="AB131" s="77"/>
      <c r="AC131" s="77"/>
      <c r="AD131" s="77"/>
      <c r="AE131" s="77"/>
      <c r="AF131" s="77"/>
      <c r="AG131" s="77"/>
    </row>
    <row r="132" spans="1:33" ht="11.7" customHeight="1" outlineLevel="1" x14ac:dyDescent="0.2">
      <c r="A132" s="1"/>
      <c r="B132" s="212"/>
      <c r="C132" s="750" t="str">
        <f>C$26</f>
        <v>Grants &amp; Contributions Capital Purposes</v>
      </c>
      <c r="D132" s="307"/>
      <c r="E132" s="307"/>
      <c r="F132" s="658">
        <f t="shared" ref="F132:P132" si="46">F79</f>
        <v>8350000</v>
      </c>
      <c r="G132" s="658">
        <f t="shared" si="46"/>
        <v>9327953</v>
      </c>
      <c r="H132" s="658">
        <f t="shared" si="46"/>
        <v>9450563.6500000004</v>
      </c>
      <c r="I132" s="207">
        <f t="shared" si="46"/>
        <v>9572379.4499999993</v>
      </c>
      <c r="J132" s="658">
        <f t="shared" si="46"/>
        <v>58289716.539999999</v>
      </c>
      <c r="K132" s="658">
        <f t="shared" si="46"/>
        <v>9789629.7399999984</v>
      </c>
      <c r="L132" s="658">
        <f t="shared" si="46"/>
        <v>9902180.870000001</v>
      </c>
      <c r="M132" s="658">
        <f t="shared" si="46"/>
        <v>10017433.199999999</v>
      </c>
      <c r="N132" s="658">
        <f t="shared" si="46"/>
        <v>10135451.58</v>
      </c>
      <c r="O132" s="658">
        <f t="shared" si="46"/>
        <v>10261337.890000001</v>
      </c>
      <c r="P132" s="658">
        <f t="shared" si="46"/>
        <v>10390371.34</v>
      </c>
      <c r="Q132" s="655">
        <f t="shared" si="39"/>
        <v>147137017.26000002</v>
      </c>
      <c r="R132" s="207"/>
      <c r="S132" s="324">
        <f t="shared" si="40"/>
        <v>2040371.3399999999</v>
      </c>
      <c r="T132" s="317">
        <f t="shared" si="41"/>
        <v>0.24435584910179639</v>
      </c>
      <c r="U132" s="214"/>
      <c r="V132" s="77"/>
      <c r="W132" s="77"/>
      <c r="X132" s="77"/>
      <c r="Y132" s="77"/>
      <c r="Z132" s="77"/>
      <c r="AA132" s="77"/>
      <c r="AB132" s="77"/>
      <c r="AC132" s="77"/>
      <c r="AD132" s="77"/>
      <c r="AE132" s="77"/>
      <c r="AF132" s="77"/>
      <c r="AG132" s="77"/>
    </row>
    <row r="133" spans="1:33" ht="11.7" customHeight="1" outlineLevel="1" x14ac:dyDescent="0.2">
      <c r="A133" s="1"/>
      <c r="B133" s="212"/>
      <c r="C133" s="334" t="str">
        <f>C$27</f>
        <v>&lt;include additional items here&gt;</v>
      </c>
      <c r="D133" s="307"/>
      <c r="E133" s="307"/>
      <c r="F133" s="658">
        <f t="shared" ref="F133:P133" si="47">F80</f>
        <v>0</v>
      </c>
      <c r="G133" s="658">
        <f t="shared" si="47"/>
        <v>0</v>
      </c>
      <c r="H133" s="658">
        <f t="shared" si="47"/>
        <v>0</v>
      </c>
      <c r="I133" s="207">
        <f t="shared" si="47"/>
        <v>0</v>
      </c>
      <c r="J133" s="658">
        <f t="shared" si="47"/>
        <v>0</v>
      </c>
      <c r="K133" s="658">
        <f t="shared" si="47"/>
        <v>0</v>
      </c>
      <c r="L133" s="658">
        <f t="shared" si="47"/>
        <v>0</v>
      </c>
      <c r="M133" s="658">
        <f t="shared" si="47"/>
        <v>0</v>
      </c>
      <c r="N133" s="658">
        <f t="shared" si="47"/>
        <v>0</v>
      </c>
      <c r="O133" s="658">
        <f t="shared" si="47"/>
        <v>0</v>
      </c>
      <c r="P133" s="658">
        <f t="shared" si="47"/>
        <v>0</v>
      </c>
      <c r="Q133" s="655">
        <f t="shared" si="39"/>
        <v>0</v>
      </c>
      <c r="R133" s="207"/>
      <c r="S133" s="324">
        <f t="shared" si="40"/>
        <v>0</v>
      </c>
      <c r="T133" s="317">
        <f t="shared" si="41"/>
        <v>0</v>
      </c>
      <c r="U133" s="214"/>
      <c r="V133" s="77"/>
      <c r="W133" s="77"/>
      <c r="X133" s="77"/>
      <c r="Y133" s="77"/>
      <c r="Z133" s="77"/>
      <c r="AA133" s="77"/>
      <c r="AB133" s="77"/>
      <c r="AC133" s="77"/>
      <c r="AD133" s="77"/>
      <c r="AE133" s="77"/>
      <c r="AF133" s="77"/>
      <c r="AG133" s="77"/>
    </row>
    <row r="134" spans="1:33" ht="11.7" customHeight="1" outlineLevel="1" x14ac:dyDescent="0.2">
      <c r="A134" s="1"/>
      <c r="B134" s="212"/>
      <c r="C134" s="970" t="str">
        <f>C$28</f>
        <v>Other Income (items excluded from ratio analyis)</v>
      </c>
      <c r="D134" s="1"/>
      <c r="E134" s="1"/>
      <c r="F134" s="658"/>
      <c r="G134" s="500"/>
      <c r="H134" s="500"/>
      <c r="I134" s="576"/>
      <c r="J134" s="500"/>
      <c r="K134" s="500"/>
      <c r="L134" s="500"/>
      <c r="M134" s="500"/>
      <c r="N134" s="500"/>
      <c r="O134" s="500"/>
      <c r="P134" s="500"/>
      <c r="Q134" s="248"/>
      <c r="R134" s="576"/>
      <c r="S134" s="455"/>
      <c r="T134" s="347"/>
      <c r="U134" s="214"/>
      <c r="V134" s="77"/>
      <c r="W134" s="77"/>
      <c r="X134" s="77"/>
      <c r="Y134" s="77"/>
      <c r="Z134" s="77"/>
      <c r="AA134" s="77"/>
      <c r="AB134" s="77"/>
      <c r="AC134" s="77"/>
      <c r="AD134" s="77"/>
      <c r="AE134" s="77"/>
      <c r="AF134" s="77"/>
      <c r="AG134" s="77"/>
    </row>
    <row r="135" spans="1:33" ht="11.7" customHeight="1" outlineLevel="1" x14ac:dyDescent="0.2">
      <c r="A135" s="1"/>
      <c r="B135" s="212"/>
      <c r="C135" s="334" t="str">
        <f>C$29</f>
        <v>Net share of profit  on joint ventures</v>
      </c>
      <c r="D135" s="307"/>
      <c r="E135" s="307"/>
      <c r="F135" s="658">
        <f t="shared" ref="F135:P135" si="48">F82</f>
        <v>0</v>
      </c>
      <c r="G135" s="658">
        <f t="shared" si="48"/>
        <v>0</v>
      </c>
      <c r="H135" s="658">
        <f t="shared" si="48"/>
        <v>0</v>
      </c>
      <c r="I135" s="207">
        <f t="shared" si="48"/>
        <v>0</v>
      </c>
      <c r="J135" s="658">
        <f t="shared" si="48"/>
        <v>0</v>
      </c>
      <c r="K135" s="658">
        <f t="shared" si="48"/>
        <v>0</v>
      </c>
      <c r="L135" s="658">
        <f t="shared" si="48"/>
        <v>0</v>
      </c>
      <c r="M135" s="658">
        <f t="shared" si="48"/>
        <v>0</v>
      </c>
      <c r="N135" s="658">
        <f t="shared" si="48"/>
        <v>0</v>
      </c>
      <c r="O135" s="658">
        <f t="shared" si="48"/>
        <v>0</v>
      </c>
      <c r="P135" s="658">
        <f t="shared" si="48"/>
        <v>0</v>
      </c>
      <c r="Q135" s="655">
        <f>SUM(G135:P135)</f>
        <v>0</v>
      </c>
      <c r="R135" s="207"/>
      <c r="S135" s="324">
        <f>P135-F135</f>
        <v>0</v>
      </c>
      <c r="T135" s="317">
        <f>IF(F135=0,0,(S135/F135))</f>
        <v>0</v>
      </c>
      <c r="U135" s="214"/>
      <c r="V135" s="77"/>
      <c r="W135" s="77"/>
      <c r="X135" s="77"/>
      <c r="Y135" s="77"/>
      <c r="Z135" s="77"/>
      <c r="AA135" s="77"/>
      <c r="AB135" s="77"/>
      <c r="AC135" s="77"/>
      <c r="AD135" s="77"/>
      <c r="AE135" s="77"/>
      <c r="AF135" s="77"/>
      <c r="AG135" s="77"/>
    </row>
    <row r="136" spans="1:33" ht="11.7" customHeight="1" outlineLevel="1" x14ac:dyDescent="0.2">
      <c r="A136" s="1"/>
      <c r="B136" s="212"/>
      <c r="C136" s="334" t="str">
        <f>C$30</f>
        <v>Fair value gains</v>
      </c>
      <c r="D136" s="307"/>
      <c r="E136" s="307"/>
      <c r="F136" s="658">
        <f t="shared" ref="F136:P136" si="49">F83</f>
        <v>100000</v>
      </c>
      <c r="G136" s="658">
        <f t="shared" si="49"/>
        <v>103500</v>
      </c>
      <c r="H136" s="658">
        <f t="shared" si="49"/>
        <v>106501.5</v>
      </c>
      <c r="I136" s="207">
        <f t="shared" si="49"/>
        <v>109483.54</v>
      </c>
      <c r="J136" s="658">
        <f t="shared" si="49"/>
        <v>112111.14</v>
      </c>
      <c r="K136" s="658">
        <f t="shared" si="49"/>
        <v>114801.81</v>
      </c>
      <c r="L136" s="658">
        <f t="shared" si="49"/>
        <v>117557.05</v>
      </c>
      <c r="M136" s="658">
        <f t="shared" si="49"/>
        <v>120378.42</v>
      </c>
      <c r="N136" s="658">
        <f t="shared" si="49"/>
        <v>123267.5</v>
      </c>
      <c r="O136" s="658">
        <f t="shared" si="49"/>
        <v>126349.19</v>
      </c>
      <c r="P136" s="658">
        <f t="shared" si="49"/>
        <v>129507.92</v>
      </c>
      <c r="Q136" s="655">
        <f>SUM(G136:P136)</f>
        <v>1163458.07</v>
      </c>
      <c r="R136" s="207"/>
      <c r="S136" s="324">
        <f>P136-F136</f>
        <v>29507.919999999998</v>
      </c>
      <c r="T136" s="317">
        <f>IF(F136=0,0,(S136/F136))</f>
        <v>0.29507919999999999</v>
      </c>
      <c r="U136" s="214"/>
      <c r="V136" s="77"/>
      <c r="W136" s="77"/>
      <c r="X136" s="77"/>
      <c r="Y136" s="77"/>
      <c r="Z136" s="77"/>
      <c r="AA136" s="77"/>
      <c r="AB136" s="77"/>
      <c r="AC136" s="77"/>
      <c r="AD136" s="77"/>
      <c r="AE136" s="77"/>
      <c r="AF136" s="77"/>
      <c r="AG136" s="77"/>
    </row>
    <row r="137" spans="1:33" ht="11.7" customHeight="1" outlineLevel="1" x14ac:dyDescent="0.2">
      <c r="A137" s="1"/>
      <c r="B137" s="212"/>
      <c r="C137" s="334" t="str">
        <f>C$31</f>
        <v>Net gains from disposal of assets</v>
      </c>
      <c r="D137" s="307"/>
      <c r="E137" s="307"/>
      <c r="F137" s="658">
        <f t="shared" ref="F137:P137" si="50">F84</f>
        <v>0</v>
      </c>
      <c r="G137" s="658">
        <f t="shared" si="50"/>
        <v>0</v>
      </c>
      <c r="H137" s="658">
        <f t="shared" si="50"/>
        <v>0</v>
      </c>
      <c r="I137" s="207">
        <f t="shared" si="50"/>
        <v>0</v>
      </c>
      <c r="J137" s="658">
        <f t="shared" si="50"/>
        <v>0</v>
      </c>
      <c r="K137" s="658">
        <f t="shared" si="50"/>
        <v>0</v>
      </c>
      <c r="L137" s="658">
        <f t="shared" si="50"/>
        <v>0</v>
      </c>
      <c r="M137" s="658">
        <f t="shared" si="50"/>
        <v>0</v>
      </c>
      <c r="N137" s="658">
        <f t="shared" si="50"/>
        <v>0</v>
      </c>
      <c r="O137" s="658">
        <f t="shared" si="50"/>
        <v>0</v>
      </c>
      <c r="P137" s="658">
        <f t="shared" si="50"/>
        <v>0</v>
      </c>
      <c r="Q137" s="655">
        <f>SUM(G137:P137)</f>
        <v>0</v>
      </c>
      <c r="R137" s="207"/>
      <c r="S137" s="324">
        <f>P137-F137</f>
        <v>0</v>
      </c>
      <c r="T137" s="317">
        <f>IF(F137=0,0,(S137/F137))</f>
        <v>0</v>
      </c>
      <c r="U137" s="214"/>
      <c r="V137" s="77"/>
      <c r="W137" s="77"/>
      <c r="X137" s="77"/>
      <c r="Y137" s="77"/>
      <c r="Z137" s="77"/>
      <c r="AA137" s="77"/>
      <c r="AB137" s="77"/>
      <c r="AC137" s="77"/>
      <c r="AD137" s="77"/>
      <c r="AE137" s="77"/>
      <c r="AF137" s="77"/>
      <c r="AG137" s="77"/>
    </row>
    <row r="138" spans="1:33" ht="11.7" customHeight="1" outlineLevel="1" x14ac:dyDescent="0.2">
      <c r="A138" s="1"/>
      <c r="B138" s="212"/>
      <c r="C138" s="334"/>
      <c r="D138" s="1"/>
      <c r="E138" s="1"/>
      <c r="F138" s="500"/>
      <c r="G138" s="500"/>
      <c r="H138" s="500"/>
      <c r="I138" s="576"/>
      <c r="J138" s="500"/>
      <c r="K138" s="500"/>
      <c r="L138" s="500"/>
      <c r="M138" s="500"/>
      <c r="N138" s="500"/>
      <c r="O138" s="500"/>
      <c r="P138" s="500"/>
      <c r="Q138" s="248"/>
      <c r="R138" s="576"/>
      <c r="S138" s="455"/>
      <c r="T138" s="347"/>
      <c r="U138" s="214"/>
      <c r="V138" s="77"/>
      <c r="W138" s="77"/>
      <c r="X138" s="77"/>
      <c r="Y138" s="77"/>
      <c r="Z138" s="77"/>
      <c r="AA138" s="77"/>
      <c r="AB138" s="77"/>
      <c r="AC138" s="77"/>
      <c r="AD138" s="77"/>
      <c r="AE138" s="77"/>
      <c r="AF138" s="77"/>
      <c r="AG138" s="77"/>
    </row>
    <row r="139" spans="1:33" ht="11.7" customHeight="1" outlineLevel="1" x14ac:dyDescent="0.25">
      <c r="A139" s="1"/>
      <c r="B139" s="212"/>
      <c r="C139" s="737" t="str">
        <f>C$33</f>
        <v>Total Income Continuing Operations</v>
      </c>
      <c r="D139" s="307"/>
      <c r="E139" s="307"/>
      <c r="F139" s="772">
        <f t="shared" ref="F139:Q139" si="51">SUM(F127:F137)</f>
        <v>156319671.56</v>
      </c>
      <c r="G139" s="772">
        <f t="shared" si="51"/>
        <v>163167056.99000004</v>
      </c>
      <c r="H139" s="772">
        <f t="shared" si="51"/>
        <v>167452145.43000001</v>
      </c>
      <c r="I139" s="772">
        <f t="shared" si="51"/>
        <v>170819082.11625001</v>
      </c>
      <c r="J139" s="772">
        <f t="shared" si="51"/>
        <v>223492698.88065621</v>
      </c>
      <c r="K139" s="772">
        <f t="shared" si="51"/>
        <v>179013465.30592269</v>
      </c>
      <c r="L139" s="772">
        <f t="shared" si="51"/>
        <v>183188705.87557074</v>
      </c>
      <c r="M139" s="772">
        <f t="shared" si="51"/>
        <v>187491565.93395993</v>
      </c>
      <c r="N139" s="772">
        <f t="shared" si="51"/>
        <v>191896685.61630902</v>
      </c>
      <c r="O139" s="772">
        <f t="shared" si="51"/>
        <v>196424379.0087167</v>
      </c>
      <c r="P139" s="772">
        <f t="shared" si="51"/>
        <v>201668565.09818459</v>
      </c>
      <c r="Q139" s="772">
        <f t="shared" si="51"/>
        <v>1864614350.2555699</v>
      </c>
      <c r="R139" s="297"/>
      <c r="S139" s="344">
        <f>P139-F139</f>
        <v>45348893.538184583</v>
      </c>
      <c r="T139" s="318">
        <f>IF(F139=0,0,(S139/F139))</f>
        <v>0.29010356205091159</v>
      </c>
      <c r="U139" s="214"/>
      <c r="V139" s="77"/>
      <c r="W139" s="77"/>
      <c r="X139" s="77"/>
      <c r="Y139" s="77"/>
      <c r="Z139" s="77"/>
      <c r="AA139" s="77"/>
      <c r="AB139" s="77"/>
      <c r="AC139" s="77"/>
      <c r="AD139" s="77"/>
      <c r="AE139" s="77"/>
      <c r="AF139" s="77"/>
      <c r="AG139" s="77"/>
    </row>
    <row r="140" spans="1:33" ht="10.5" customHeight="1" x14ac:dyDescent="0.25">
      <c r="A140" s="1"/>
      <c r="B140" s="212"/>
      <c r="C140" s="405"/>
      <c r="D140" s="307"/>
      <c r="E140" s="307"/>
      <c r="F140" s="207"/>
      <c r="G140" s="207"/>
      <c r="H140" s="207"/>
      <c r="I140" s="207"/>
      <c r="J140" s="207"/>
      <c r="K140" s="207"/>
      <c r="L140" s="207"/>
      <c r="M140" s="207"/>
      <c r="N140" s="207"/>
      <c r="O140" s="207"/>
      <c r="P140" s="207"/>
      <c r="Q140" s="208"/>
      <c r="R140" s="207"/>
      <c r="S140" s="324"/>
      <c r="T140" s="317"/>
      <c r="U140" s="342"/>
      <c r="V140" s="77"/>
      <c r="W140" s="77"/>
      <c r="X140" s="77"/>
      <c r="Y140" s="77"/>
      <c r="Z140" s="77"/>
      <c r="AA140" s="77"/>
      <c r="AB140" s="77"/>
      <c r="AC140" s="77"/>
      <c r="AD140" s="77"/>
      <c r="AE140" s="77"/>
      <c r="AF140" s="77"/>
      <c r="AG140" s="77"/>
    </row>
    <row r="141" spans="1:33" ht="10.5" customHeight="1" x14ac:dyDescent="0.25">
      <c r="A141" s="1"/>
      <c r="B141" s="212"/>
      <c r="C141" s="737" t="str">
        <f>C$35</f>
        <v>Income excluding capital grants and contributions</v>
      </c>
      <c r="D141" s="307"/>
      <c r="E141" s="307"/>
      <c r="F141" s="658">
        <f t="shared" ref="F141:P141" si="52">F139-F132</f>
        <v>147969671.56</v>
      </c>
      <c r="G141" s="658">
        <f t="shared" si="52"/>
        <v>153839103.99000004</v>
      </c>
      <c r="H141" s="658">
        <f t="shared" si="52"/>
        <v>158001581.78</v>
      </c>
      <c r="I141" s="658">
        <f t="shared" si="52"/>
        <v>161246702.66625002</v>
      </c>
      <c r="J141" s="658">
        <f t="shared" si="52"/>
        <v>165202982.34065622</v>
      </c>
      <c r="K141" s="658">
        <f t="shared" si="52"/>
        <v>169223835.56592268</v>
      </c>
      <c r="L141" s="658">
        <f t="shared" si="52"/>
        <v>173286525.00557074</v>
      </c>
      <c r="M141" s="658">
        <f t="shared" si="52"/>
        <v>177474132.73395994</v>
      </c>
      <c r="N141" s="658">
        <f t="shared" si="52"/>
        <v>181761234.036309</v>
      </c>
      <c r="O141" s="658">
        <f t="shared" si="52"/>
        <v>186163041.11871672</v>
      </c>
      <c r="P141" s="658">
        <f t="shared" si="52"/>
        <v>191278193.75818458</v>
      </c>
      <c r="Q141" s="655">
        <f>SUM(G141:P141)</f>
        <v>1717477332.9955702</v>
      </c>
      <c r="R141" s="207"/>
      <c r="S141" s="324">
        <f>P141-F141</f>
        <v>43308522.19818458</v>
      </c>
      <c r="T141" s="317">
        <f>IF(F141=0,0,(S141/F141))</f>
        <v>0.29268512757780552</v>
      </c>
      <c r="U141" s="342"/>
      <c r="V141" s="77"/>
      <c r="W141" s="77"/>
      <c r="X141" s="77"/>
      <c r="Y141" s="77"/>
      <c r="Z141" s="77"/>
      <c r="AA141" s="77"/>
      <c r="AB141" s="77"/>
      <c r="AC141" s="77"/>
      <c r="AD141" s="77"/>
      <c r="AE141" s="77"/>
      <c r="AF141" s="77"/>
      <c r="AG141" s="77"/>
    </row>
    <row r="142" spans="1:33" ht="11.7" customHeight="1" outlineLevel="1" x14ac:dyDescent="0.25">
      <c r="A142" s="1"/>
      <c r="B142" s="212"/>
      <c r="C142" s="405"/>
      <c r="D142" s="307"/>
      <c r="E142" s="307"/>
      <c r="F142" s="658"/>
      <c r="G142" s="658"/>
      <c r="H142" s="658"/>
      <c r="I142" s="207"/>
      <c r="J142" s="658"/>
      <c r="K142" s="658"/>
      <c r="L142" s="658"/>
      <c r="M142" s="658"/>
      <c r="N142" s="658"/>
      <c r="O142" s="658"/>
      <c r="P142" s="658"/>
      <c r="Q142" s="655"/>
      <c r="R142" s="207"/>
      <c r="S142" s="324"/>
      <c r="T142" s="317"/>
      <c r="U142" s="214"/>
      <c r="V142" s="77"/>
      <c r="W142" s="77"/>
      <c r="X142" s="77"/>
      <c r="Y142" s="77"/>
      <c r="Z142" s="77"/>
      <c r="AA142" s="77"/>
      <c r="AB142" s="77"/>
      <c r="AC142" s="77"/>
      <c r="AD142" s="77"/>
      <c r="AE142" s="77"/>
      <c r="AF142" s="77"/>
      <c r="AG142" s="77"/>
    </row>
    <row r="143" spans="1:33" ht="62.55" customHeight="1" outlineLevel="1" x14ac:dyDescent="0.2">
      <c r="A143" s="1"/>
      <c r="B143" s="212"/>
      <c r="C143" s="901" t="str">
        <f>C$37</f>
        <v>Income excluding capital grants and contributions, net gains from asset disposals, profit on joint ventures and fair value gains</v>
      </c>
      <c r="D143" s="307"/>
      <c r="E143" s="307"/>
      <c r="F143" s="658">
        <f t="shared" ref="F143:P143" si="53">F139-F132-SUM(F135:F137)</f>
        <v>147869671.56</v>
      </c>
      <c r="G143" s="658">
        <f t="shared" si="53"/>
        <v>153735603.99000004</v>
      </c>
      <c r="H143" s="658">
        <f t="shared" si="53"/>
        <v>157895080.28</v>
      </c>
      <c r="I143" s="658">
        <f t="shared" si="53"/>
        <v>161137219.12625003</v>
      </c>
      <c r="J143" s="658">
        <f t="shared" si="53"/>
        <v>165090871.20065624</v>
      </c>
      <c r="K143" s="658">
        <f t="shared" si="53"/>
        <v>169109033.75592268</v>
      </c>
      <c r="L143" s="658">
        <f t="shared" si="53"/>
        <v>173168967.95557073</v>
      </c>
      <c r="M143" s="658">
        <f t="shared" si="53"/>
        <v>177353754.31395996</v>
      </c>
      <c r="N143" s="658">
        <f t="shared" si="53"/>
        <v>181637966.536309</v>
      </c>
      <c r="O143" s="658">
        <f t="shared" si="53"/>
        <v>186036691.92871672</v>
      </c>
      <c r="P143" s="658">
        <f t="shared" si="53"/>
        <v>191148685.8381846</v>
      </c>
      <c r="Q143" s="655">
        <f>SUM(G143:P143)</f>
        <v>1716313874.92557</v>
      </c>
      <c r="R143" s="207"/>
      <c r="S143" s="324">
        <f>P143-F143</f>
        <v>43279014.278184593</v>
      </c>
      <c r="T143" s="317">
        <f>IF(F143=0,0,(S143/F143))</f>
        <v>0.29268350853557945</v>
      </c>
      <c r="U143" s="214"/>
      <c r="V143" s="77"/>
      <c r="W143" s="77"/>
      <c r="X143" s="77"/>
      <c r="Y143" s="77"/>
      <c r="Z143" s="77"/>
      <c r="AA143" s="77"/>
      <c r="AB143" s="77"/>
      <c r="AC143" s="77"/>
      <c r="AD143" s="77"/>
      <c r="AE143" s="77"/>
      <c r="AF143" s="77"/>
      <c r="AG143" s="77"/>
    </row>
    <row r="144" spans="1:33" ht="11.7" customHeight="1" outlineLevel="1" x14ac:dyDescent="0.2">
      <c r="A144" s="1"/>
      <c r="B144" s="212"/>
      <c r="C144" s="428"/>
      <c r="D144" s="1"/>
      <c r="E144" s="1"/>
      <c r="F144" s="500"/>
      <c r="G144" s="500"/>
      <c r="H144" s="500"/>
      <c r="I144" s="576"/>
      <c r="J144" s="500"/>
      <c r="K144" s="500"/>
      <c r="L144" s="500"/>
      <c r="M144" s="500"/>
      <c r="N144" s="500"/>
      <c r="O144" s="500"/>
      <c r="P144" s="500"/>
      <c r="Q144" s="248"/>
      <c r="R144" s="576"/>
      <c r="S144" s="455"/>
      <c r="T144" s="347"/>
      <c r="U144" s="214"/>
      <c r="V144" s="77"/>
      <c r="W144" s="77"/>
      <c r="X144" s="77"/>
      <c r="Y144" s="77"/>
      <c r="Z144" s="77"/>
      <c r="AA144" s="77"/>
      <c r="AB144" s="77"/>
      <c r="AC144" s="77"/>
      <c r="AD144" s="77"/>
      <c r="AE144" s="77"/>
      <c r="AF144" s="77"/>
      <c r="AG144" s="77"/>
    </row>
    <row r="145" spans="1:33" customFormat="1" ht="11.7" customHeight="1" outlineLevel="1" x14ac:dyDescent="0.25">
      <c r="A145" s="1"/>
      <c r="B145" s="212"/>
      <c r="C145" s="665" t="str">
        <f>C$39</f>
        <v>Expenses from continuing operations</v>
      </c>
      <c r="D145" s="738"/>
      <c r="E145" s="738"/>
      <c r="F145" s="738"/>
      <c r="G145" s="738"/>
      <c r="H145" s="738"/>
      <c r="I145" s="777"/>
      <c r="J145" s="79"/>
      <c r="K145" s="79"/>
      <c r="L145" s="79"/>
      <c r="M145" s="79"/>
      <c r="N145" s="79"/>
      <c r="O145" s="79"/>
      <c r="P145" s="79"/>
      <c r="Q145" s="79"/>
      <c r="R145" s="79"/>
      <c r="S145" s="79"/>
      <c r="T145" s="564"/>
      <c r="U145" s="214"/>
      <c r="V145" s="77"/>
      <c r="W145" s="3"/>
      <c r="X145" s="3"/>
      <c r="Y145" s="3"/>
      <c r="Z145" s="3"/>
      <c r="AA145" s="3"/>
      <c r="AB145" s="3"/>
      <c r="AC145" s="3"/>
      <c r="AD145" s="3"/>
      <c r="AE145" s="3"/>
      <c r="AF145" s="3"/>
      <c r="AG145" s="3"/>
    </row>
    <row r="146" spans="1:33" ht="11.7" customHeight="1" outlineLevel="1" x14ac:dyDescent="0.2">
      <c r="A146" s="1"/>
      <c r="B146" s="212"/>
      <c r="C146" s="428"/>
      <c r="D146" s="1"/>
      <c r="E146" s="1"/>
      <c r="F146" s="500"/>
      <c r="G146" s="500"/>
      <c r="H146" s="500"/>
      <c r="I146" s="576"/>
      <c r="J146" s="500"/>
      <c r="K146" s="500"/>
      <c r="L146" s="500"/>
      <c r="M146" s="500"/>
      <c r="N146" s="500"/>
      <c r="O146" s="500"/>
      <c r="P146" s="500"/>
      <c r="Q146" s="500"/>
      <c r="R146" s="576"/>
      <c r="S146" s="455"/>
      <c r="T146" s="347"/>
      <c r="U146" s="214"/>
      <c r="V146" s="77"/>
      <c r="W146" s="77"/>
      <c r="X146" s="77"/>
      <c r="Y146" s="77"/>
      <c r="Z146" s="77"/>
      <c r="AA146" s="77"/>
      <c r="AB146" s="77"/>
      <c r="AC146" s="77"/>
      <c r="AD146" s="77"/>
      <c r="AE146" s="77"/>
      <c r="AF146" s="77"/>
      <c r="AG146" s="77"/>
    </row>
    <row r="147" spans="1:33" ht="11.7" customHeight="1" outlineLevel="1" x14ac:dyDescent="0.2">
      <c r="A147" s="1"/>
      <c r="B147" s="212"/>
      <c r="C147" s="750" t="str">
        <f>C$41</f>
        <v>Employee Benefits &amp; On-costs</v>
      </c>
      <c r="D147" s="307"/>
      <c r="E147" s="305"/>
      <c r="F147" s="658">
        <f t="shared" ref="F147:P147" si="54">F41</f>
        <v>52421815.940000035</v>
      </c>
      <c r="G147" s="658">
        <f t="shared" si="54"/>
        <v>54842236.430000037</v>
      </c>
      <c r="H147" s="658">
        <f t="shared" si="54"/>
        <v>57032826.319999985</v>
      </c>
      <c r="I147" s="207">
        <f t="shared" si="54"/>
        <v>59081173.50000003</v>
      </c>
      <c r="J147" s="658">
        <f t="shared" si="54"/>
        <v>60865572.220000006</v>
      </c>
      <c r="K147" s="658">
        <f t="shared" si="54"/>
        <v>62874136.140000008</v>
      </c>
      <c r="L147" s="658">
        <f t="shared" si="54"/>
        <v>64948982.589999989</v>
      </c>
      <c r="M147" s="658">
        <f t="shared" si="54"/>
        <v>67092299.030000009</v>
      </c>
      <c r="N147" s="658">
        <f t="shared" si="54"/>
        <v>69306344.889999941</v>
      </c>
      <c r="O147" s="658">
        <f t="shared" si="54"/>
        <v>71524147.909999996</v>
      </c>
      <c r="P147" s="658">
        <f t="shared" si="54"/>
        <v>73812920.589999989</v>
      </c>
      <c r="Q147" s="655">
        <f t="shared" ref="Q147:Q152" si="55">SUM(G147:P147)</f>
        <v>641380639.62</v>
      </c>
      <c r="R147" s="207"/>
      <c r="S147" s="324">
        <f t="shared" ref="S147:S152" si="56">P147-F147</f>
        <v>21391104.649999954</v>
      </c>
      <c r="T147" s="317">
        <f t="shared" ref="T147:T152" si="57">IF(F147=0,0,(S147/F147))</f>
        <v>0.40805729955031272</v>
      </c>
      <c r="U147" s="214"/>
      <c r="V147" s="77"/>
      <c r="W147" s="77"/>
      <c r="X147" s="77"/>
      <c r="Y147" s="77"/>
      <c r="Z147" s="77"/>
      <c r="AA147" s="77"/>
      <c r="AB147" s="77"/>
      <c r="AC147" s="77"/>
      <c r="AD147" s="77"/>
      <c r="AE147" s="77"/>
      <c r="AF147" s="77"/>
      <c r="AG147" s="77"/>
    </row>
    <row r="148" spans="1:33" ht="11.7" customHeight="1" outlineLevel="1" x14ac:dyDescent="0.2">
      <c r="A148" s="1"/>
      <c r="B148" s="212"/>
      <c r="C148" s="750" t="str">
        <f>C$42</f>
        <v>Borrowing Costs (i.e. interest costs)</v>
      </c>
      <c r="D148" s="307"/>
      <c r="E148" s="305"/>
      <c r="F148" s="658">
        <f t="shared" ref="F148:P148" si="58">F42</f>
        <v>223161</v>
      </c>
      <c r="G148" s="658">
        <f t="shared" si="58"/>
        <v>192158</v>
      </c>
      <c r="H148" s="658">
        <f t="shared" si="58"/>
        <v>159071</v>
      </c>
      <c r="I148" s="207">
        <f t="shared" si="58"/>
        <v>121216</v>
      </c>
      <c r="J148" s="658">
        <f t="shared" si="58"/>
        <v>77525</v>
      </c>
      <c r="K148" s="658">
        <f t="shared" si="58"/>
        <v>28162</v>
      </c>
      <c r="L148" s="658">
        <f t="shared" si="58"/>
        <v>10000</v>
      </c>
      <c r="M148" s="658">
        <f t="shared" si="58"/>
        <v>10000</v>
      </c>
      <c r="N148" s="658">
        <f t="shared" si="58"/>
        <v>10000</v>
      </c>
      <c r="O148" s="658">
        <f t="shared" si="58"/>
        <v>10000</v>
      </c>
      <c r="P148" s="658">
        <f t="shared" si="58"/>
        <v>10000</v>
      </c>
      <c r="Q148" s="655">
        <f t="shared" si="55"/>
        <v>628132</v>
      </c>
      <c r="R148" s="207"/>
      <c r="S148" s="324">
        <f t="shared" si="56"/>
        <v>-213161</v>
      </c>
      <c r="T148" s="317">
        <f t="shared" si="57"/>
        <v>-0.95518930279036207</v>
      </c>
      <c r="U148" s="214"/>
      <c r="V148" s="77"/>
      <c r="W148" s="77"/>
      <c r="X148" s="77"/>
      <c r="Y148" s="77"/>
      <c r="Z148" s="77"/>
      <c r="AA148" s="77"/>
      <c r="AB148" s="77"/>
      <c r="AC148" s="77"/>
      <c r="AD148" s="77"/>
      <c r="AE148" s="77"/>
      <c r="AF148" s="77"/>
      <c r="AG148" s="77"/>
    </row>
    <row r="149" spans="1:33" ht="11.7" customHeight="1" outlineLevel="1" x14ac:dyDescent="0.2">
      <c r="A149" s="1"/>
      <c r="B149" s="212"/>
      <c r="C149" s="750" t="str">
        <f>C$43</f>
        <v>Materials &amp; Contracts</v>
      </c>
      <c r="D149" s="307"/>
      <c r="E149" s="305"/>
      <c r="F149" s="658">
        <f t="shared" ref="F149:P149" si="59">F43</f>
        <v>66681605.490000002</v>
      </c>
      <c r="G149" s="658">
        <f t="shared" si="59"/>
        <v>71076801.210000008</v>
      </c>
      <c r="H149" s="658">
        <f t="shared" si="59"/>
        <v>73676702.969999924</v>
      </c>
      <c r="I149" s="207">
        <f t="shared" si="59"/>
        <v>76650992.290000007</v>
      </c>
      <c r="J149" s="658">
        <f t="shared" si="59"/>
        <v>79136429.009999961</v>
      </c>
      <c r="K149" s="658">
        <f t="shared" si="59"/>
        <v>82042580.820000008</v>
      </c>
      <c r="L149" s="658">
        <f t="shared" si="59"/>
        <v>84906782.409999952</v>
      </c>
      <c r="M149" s="658">
        <f t="shared" si="59"/>
        <v>84687416.979999989</v>
      </c>
      <c r="N149" s="658">
        <f t="shared" si="59"/>
        <v>86518605.199999973</v>
      </c>
      <c r="O149" s="658">
        <f t="shared" si="59"/>
        <v>88630394.37000002</v>
      </c>
      <c r="P149" s="658">
        <f t="shared" si="59"/>
        <v>91696580.949999988</v>
      </c>
      <c r="Q149" s="655">
        <f t="shared" si="55"/>
        <v>819023286.2099998</v>
      </c>
      <c r="R149" s="207"/>
      <c r="S149" s="324">
        <f t="shared" si="56"/>
        <v>25014975.459999986</v>
      </c>
      <c r="T149" s="317">
        <f t="shared" si="57"/>
        <v>0.37514056951960151</v>
      </c>
      <c r="U149" s="214"/>
      <c r="V149" s="77"/>
      <c r="W149" s="77"/>
      <c r="X149" s="77"/>
      <c r="Y149" s="77"/>
      <c r="Z149" s="77"/>
      <c r="AA149" s="77"/>
      <c r="AB149" s="77"/>
      <c r="AC149" s="77"/>
      <c r="AD149" s="77"/>
      <c r="AE149" s="77"/>
      <c r="AF149" s="77"/>
      <c r="AG149" s="77"/>
    </row>
    <row r="150" spans="1:33" ht="11.7" customHeight="1" outlineLevel="1" x14ac:dyDescent="0.2">
      <c r="A150" s="1"/>
      <c r="B150" s="212"/>
      <c r="C150" s="750" t="str">
        <f>C$44</f>
        <v>Depreciation &amp; Amortisation</v>
      </c>
      <c r="D150" s="307"/>
      <c r="E150" s="305"/>
      <c r="F150" s="658">
        <f t="shared" ref="F150:P150" si="60">F44</f>
        <v>21215275.289999999</v>
      </c>
      <c r="G150" s="658">
        <f t="shared" si="60"/>
        <v>22170865.68</v>
      </c>
      <c r="H150" s="658">
        <f t="shared" si="60"/>
        <v>23078600.990000006</v>
      </c>
      <c r="I150" s="207">
        <f t="shared" si="60"/>
        <v>24024188.829999998</v>
      </c>
      <c r="J150" s="658">
        <f t="shared" si="60"/>
        <v>25009207.669999998</v>
      </c>
      <c r="K150" s="658">
        <f t="shared" si="60"/>
        <v>25946946.399999995</v>
      </c>
      <c r="L150" s="658">
        <f t="shared" si="60"/>
        <v>26742064.68</v>
      </c>
      <c r="M150" s="658">
        <f t="shared" si="60"/>
        <v>27876769.329999998</v>
      </c>
      <c r="N150" s="658">
        <f t="shared" si="60"/>
        <v>29036655.039999999</v>
      </c>
      <c r="O150" s="658">
        <f t="shared" si="60"/>
        <v>30266157.989999995</v>
      </c>
      <c r="P150" s="658">
        <f t="shared" si="60"/>
        <v>31441781.089999996</v>
      </c>
      <c r="Q150" s="655">
        <f t="shared" si="55"/>
        <v>265593237.69999996</v>
      </c>
      <c r="R150" s="207"/>
      <c r="S150" s="324">
        <f t="shared" si="56"/>
        <v>10226505.799999997</v>
      </c>
      <c r="T150" s="317">
        <f t="shared" si="57"/>
        <v>0.48203502713068014</v>
      </c>
      <c r="U150" s="214"/>
      <c r="V150" s="77"/>
      <c r="W150" s="77"/>
      <c r="X150" s="77"/>
      <c r="Y150" s="77"/>
      <c r="Z150" s="77"/>
      <c r="AA150" s="77"/>
      <c r="AB150" s="77"/>
      <c r="AC150" s="77"/>
      <c r="AD150" s="77"/>
      <c r="AE150" s="77"/>
      <c r="AF150" s="77"/>
      <c r="AG150" s="77"/>
    </row>
    <row r="151" spans="1:33" ht="11.7" customHeight="1" outlineLevel="1" x14ac:dyDescent="0.2">
      <c r="A151" s="1"/>
      <c r="B151" s="212"/>
      <c r="C151" s="750" t="str">
        <f>C$45</f>
        <v>Other Expenses</v>
      </c>
      <c r="D151" s="307"/>
      <c r="E151" s="305"/>
      <c r="F151" s="658">
        <f t="shared" ref="F151:P151" si="61">F45</f>
        <v>3874129.58</v>
      </c>
      <c r="G151" s="658">
        <f t="shared" si="61"/>
        <v>4009724.1100000003</v>
      </c>
      <c r="H151" s="658">
        <f t="shared" si="61"/>
        <v>4126006.1399999992</v>
      </c>
      <c r="I151" s="207">
        <f t="shared" si="61"/>
        <v>4241534.3199999984</v>
      </c>
      <c r="J151" s="658">
        <f t="shared" si="61"/>
        <v>4343331.1599999983</v>
      </c>
      <c r="K151" s="658">
        <f t="shared" si="61"/>
        <v>4447571.1199999992</v>
      </c>
      <c r="L151" s="658">
        <f t="shared" si="61"/>
        <v>4554312.8299999991</v>
      </c>
      <c r="M151" s="658">
        <f t="shared" si="61"/>
        <v>4663616.3400000008</v>
      </c>
      <c r="N151" s="658">
        <f t="shared" si="61"/>
        <v>4775543.1199999992</v>
      </c>
      <c r="O151" s="658">
        <f t="shared" si="61"/>
        <v>4894931.6900000004</v>
      </c>
      <c r="P151" s="658">
        <f t="shared" si="61"/>
        <v>5017304.9899999993</v>
      </c>
      <c r="Q151" s="655">
        <f t="shared" si="55"/>
        <v>45073875.819999993</v>
      </c>
      <c r="R151" s="207"/>
      <c r="S151" s="324">
        <f t="shared" si="56"/>
        <v>1143175.4099999992</v>
      </c>
      <c r="T151" s="317">
        <f t="shared" si="57"/>
        <v>0.29507929107523534</v>
      </c>
      <c r="U151" s="214"/>
      <c r="V151" s="77"/>
      <c r="W151" s="77"/>
      <c r="X151" s="77"/>
      <c r="Y151" s="77"/>
      <c r="Z151" s="77"/>
      <c r="AA151" s="77"/>
      <c r="AB151" s="77"/>
      <c r="AC151" s="77"/>
      <c r="AD151" s="77"/>
      <c r="AE151" s="77"/>
      <c r="AF151" s="77"/>
      <c r="AG151" s="77"/>
    </row>
    <row r="152" spans="1:33" ht="11.7" customHeight="1" outlineLevel="1" x14ac:dyDescent="0.2">
      <c r="A152" s="1"/>
      <c r="B152" s="212"/>
      <c r="C152" s="334" t="str">
        <f>C$46</f>
        <v>&lt;include additional items here&gt;</v>
      </c>
      <c r="D152" s="307"/>
      <c r="E152" s="305"/>
      <c r="F152" s="658">
        <f t="shared" ref="F152:P152" si="62">F46</f>
        <v>0</v>
      </c>
      <c r="G152" s="658">
        <f t="shared" si="62"/>
        <v>0</v>
      </c>
      <c r="H152" s="658">
        <f t="shared" si="62"/>
        <v>0</v>
      </c>
      <c r="I152" s="207">
        <f t="shared" si="62"/>
        <v>0</v>
      </c>
      <c r="J152" s="658">
        <f t="shared" si="62"/>
        <v>0</v>
      </c>
      <c r="K152" s="658">
        <f t="shared" si="62"/>
        <v>0</v>
      </c>
      <c r="L152" s="658">
        <f t="shared" si="62"/>
        <v>0</v>
      </c>
      <c r="M152" s="658">
        <f t="shared" si="62"/>
        <v>0</v>
      </c>
      <c r="N152" s="658">
        <f t="shared" si="62"/>
        <v>0</v>
      </c>
      <c r="O152" s="658">
        <f t="shared" si="62"/>
        <v>0</v>
      </c>
      <c r="P152" s="658">
        <f t="shared" si="62"/>
        <v>0</v>
      </c>
      <c r="Q152" s="655">
        <f t="shared" si="55"/>
        <v>0</v>
      </c>
      <c r="R152" s="207"/>
      <c r="S152" s="324">
        <f t="shared" si="56"/>
        <v>0</v>
      </c>
      <c r="T152" s="317">
        <f t="shared" si="57"/>
        <v>0</v>
      </c>
      <c r="U152" s="214"/>
      <c r="V152" s="77"/>
      <c r="W152" s="77"/>
      <c r="X152" s="77"/>
      <c r="Y152" s="77"/>
      <c r="Z152" s="77"/>
      <c r="AA152" s="77"/>
      <c r="AB152" s="77"/>
      <c r="AC152" s="77"/>
      <c r="AD152" s="77"/>
      <c r="AE152" s="77"/>
      <c r="AF152" s="77"/>
      <c r="AG152" s="77"/>
    </row>
    <row r="153" spans="1:33" ht="11.7" customHeight="1" outlineLevel="1" x14ac:dyDescent="0.25">
      <c r="A153" s="1"/>
      <c r="B153" s="212"/>
      <c r="C153" s="335" t="str">
        <f>C$47</f>
        <v>Other Expenses (items excluded from ratio analyis)</v>
      </c>
      <c r="D153" s="307"/>
      <c r="E153" s="305"/>
      <c r="F153" s="658"/>
      <c r="G153" s="658"/>
      <c r="H153" s="658"/>
      <c r="I153" s="207"/>
      <c r="J153" s="658"/>
      <c r="K153" s="658"/>
      <c r="L153" s="658"/>
      <c r="M153" s="658"/>
      <c r="N153" s="658"/>
      <c r="O153" s="658"/>
      <c r="P153" s="658"/>
      <c r="Q153" s="655"/>
      <c r="R153" s="207"/>
      <c r="S153" s="324"/>
      <c r="T153" s="317"/>
      <c r="U153" s="214"/>
      <c r="V153" s="77"/>
      <c r="W153" s="77"/>
      <c r="X153" s="77"/>
      <c r="Y153" s="77"/>
      <c r="Z153" s="77"/>
      <c r="AA153" s="77"/>
      <c r="AB153" s="77"/>
      <c r="AC153" s="77"/>
      <c r="AD153" s="77"/>
      <c r="AE153" s="77"/>
      <c r="AF153" s="77"/>
      <c r="AG153" s="77"/>
    </row>
    <row r="154" spans="1:33" ht="11.7" customHeight="1" outlineLevel="1" x14ac:dyDescent="0.2">
      <c r="A154" s="1"/>
      <c r="B154" s="212"/>
      <c r="C154" s="334" t="str">
        <f>C$48</f>
        <v>Net loss on joint ventures</v>
      </c>
      <c r="D154" s="307"/>
      <c r="E154" s="305"/>
      <c r="F154" s="658">
        <f t="shared" ref="F154:P154" si="63">F48</f>
        <v>0</v>
      </c>
      <c r="G154" s="658">
        <f t="shared" si="63"/>
        <v>0</v>
      </c>
      <c r="H154" s="658">
        <f t="shared" si="63"/>
        <v>0</v>
      </c>
      <c r="I154" s="207">
        <f t="shared" si="63"/>
        <v>0</v>
      </c>
      <c r="J154" s="658">
        <f t="shared" si="63"/>
        <v>0</v>
      </c>
      <c r="K154" s="658">
        <f t="shared" si="63"/>
        <v>0</v>
      </c>
      <c r="L154" s="658">
        <f t="shared" si="63"/>
        <v>0</v>
      </c>
      <c r="M154" s="658">
        <f t="shared" si="63"/>
        <v>0</v>
      </c>
      <c r="N154" s="658">
        <f t="shared" si="63"/>
        <v>0</v>
      </c>
      <c r="O154" s="658">
        <f t="shared" si="63"/>
        <v>0</v>
      </c>
      <c r="P154" s="658">
        <f t="shared" si="63"/>
        <v>0</v>
      </c>
      <c r="Q154" s="655">
        <f>SUM(G154:P154)</f>
        <v>0</v>
      </c>
      <c r="R154" s="207"/>
      <c r="S154" s="324">
        <f>P154-F154</f>
        <v>0</v>
      </c>
      <c r="T154" s="317">
        <f>IF(F154=0,0,(S154/F154))</f>
        <v>0</v>
      </c>
      <c r="U154" s="214"/>
      <c r="V154" s="77"/>
      <c r="W154" s="77"/>
      <c r="X154" s="77"/>
      <c r="Y154" s="77"/>
      <c r="Z154" s="77"/>
      <c r="AA154" s="77"/>
      <c r="AB154" s="77"/>
      <c r="AC154" s="77"/>
      <c r="AD154" s="77"/>
      <c r="AE154" s="77"/>
      <c r="AF154" s="77"/>
      <c r="AG154" s="77"/>
    </row>
    <row r="155" spans="1:33" ht="11.7" customHeight="1" outlineLevel="1" x14ac:dyDescent="0.2">
      <c r="A155" s="1"/>
      <c r="B155" s="212"/>
      <c r="C155" s="334" t="str">
        <f>C$49</f>
        <v>Fair value losses</v>
      </c>
      <c r="D155" s="307"/>
      <c r="E155" s="305"/>
      <c r="F155" s="658">
        <f t="shared" ref="F155:P155" si="64">F49</f>
        <v>0</v>
      </c>
      <c r="G155" s="658">
        <f t="shared" si="64"/>
        <v>0</v>
      </c>
      <c r="H155" s="658">
        <f t="shared" si="64"/>
        <v>0</v>
      </c>
      <c r="I155" s="207">
        <f t="shared" si="64"/>
        <v>0</v>
      </c>
      <c r="J155" s="658">
        <f t="shared" si="64"/>
        <v>0</v>
      </c>
      <c r="K155" s="658">
        <f t="shared" si="64"/>
        <v>0</v>
      </c>
      <c r="L155" s="658">
        <f t="shared" si="64"/>
        <v>0</v>
      </c>
      <c r="M155" s="658">
        <f t="shared" si="64"/>
        <v>0</v>
      </c>
      <c r="N155" s="658">
        <f t="shared" si="64"/>
        <v>0</v>
      </c>
      <c r="O155" s="658">
        <f t="shared" si="64"/>
        <v>0</v>
      </c>
      <c r="P155" s="658">
        <f t="shared" si="64"/>
        <v>0</v>
      </c>
      <c r="Q155" s="655">
        <f>SUM(G155:P155)</f>
        <v>0</v>
      </c>
      <c r="R155" s="207"/>
      <c r="S155" s="324">
        <f>P155-F155</f>
        <v>0</v>
      </c>
      <c r="T155" s="317">
        <f>IF(F155=0,0,(S155/F155))</f>
        <v>0</v>
      </c>
      <c r="U155" s="214"/>
      <c r="V155" s="77"/>
      <c r="W155" s="77"/>
      <c r="X155" s="77"/>
      <c r="Y155" s="77"/>
      <c r="Z155" s="77"/>
      <c r="AA155" s="77"/>
      <c r="AB155" s="77"/>
      <c r="AC155" s="77"/>
      <c r="AD155" s="77"/>
      <c r="AE155" s="77"/>
      <c r="AF155" s="77"/>
      <c r="AG155" s="77"/>
    </row>
    <row r="156" spans="1:33" ht="11.7" customHeight="1" outlineLevel="1" x14ac:dyDescent="0.2">
      <c r="A156" s="1"/>
      <c r="B156" s="212"/>
      <c r="C156" s="750" t="str">
        <f>C$50</f>
        <v>Net loss from disposal of assets</v>
      </c>
      <c r="D156" s="307"/>
      <c r="E156" s="305"/>
      <c r="F156" s="658">
        <f t="shared" ref="F156:P156" si="65">F50</f>
        <v>0</v>
      </c>
      <c r="G156" s="658">
        <f t="shared" si="65"/>
        <v>0</v>
      </c>
      <c r="H156" s="658">
        <f t="shared" si="65"/>
        <v>0</v>
      </c>
      <c r="I156" s="207">
        <f t="shared" si="65"/>
        <v>0</v>
      </c>
      <c r="J156" s="658">
        <f t="shared" si="65"/>
        <v>0</v>
      </c>
      <c r="K156" s="658">
        <f t="shared" si="65"/>
        <v>0</v>
      </c>
      <c r="L156" s="658">
        <f t="shared" si="65"/>
        <v>0</v>
      </c>
      <c r="M156" s="658">
        <f t="shared" si="65"/>
        <v>0</v>
      </c>
      <c r="N156" s="658">
        <f t="shared" si="65"/>
        <v>0</v>
      </c>
      <c r="O156" s="658">
        <f t="shared" si="65"/>
        <v>0</v>
      </c>
      <c r="P156" s="658">
        <f t="shared" si="65"/>
        <v>0</v>
      </c>
      <c r="Q156" s="655">
        <f>SUM(G156:P156)</f>
        <v>0</v>
      </c>
      <c r="R156" s="207"/>
      <c r="S156" s="324">
        <f>P156-F156</f>
        <v>0</v>
      </c>
      <c r="T156" s="317">
        <f>IF(F156=0,0,(S156/F156))</f>
        <v>0</v>
      </c>
      <c r="U156" s="214"/>
      <c r="V156" s="77"/>
      <c r="W156" s="77"/>
      <c r="X156" s="77"/>
      <c r="Y156" s="77"/>
      <c r="Z156" s="77"/>
      <c r="AA156" s="77"/>
      <c r="AB156" s="77"/>
      <c r="AC156" s="77"/>
      <c r="AD156" s="77"/>
      <c r="AE156" s="77"/>
      <c r="AF156" s="77"/>
      <c r="AG156" s="77"/>
    </row>
    <row r="157" spans="1:33" ht="11.7" customHeight="1" outlineLevel="1" x14ac:dyDescent="0.2">
      <c r="A157" s="1"/>
      <c r="B157" s="212"/>
      <c r="C157" s="334"/>
      <c r="D157" s="1"/>
      <c r="E157" s="1"/>
      <c r="F157" s="500"/>
      <c r="G157" s="500"/>
      <c r="H157" s="500"/>
      <c r="I157" s="576"/>
      <c r="J157" s="500"/>
      <c r="K157" s="500"/>
      <c r="L157" s="500"/>
      <c r="M157" s="500"/>
      <c r="N157" s="500"/>
      <c r="O157" s="500"/>
      <c r="P157" s="500"/>
      <c r="Q157" s="248"/>
      <c r="R157" s="576"/>
      <c r="S157" s="455"/>
      <c r="T157" s="347"/>
      <c r="U157" s="214"/>
      <c r="V157" s="77"/>
      <c r="W157" s="77"/>
      <c r="X157" s="77"/>
      <c r="Y157" s="77"/>
      <c r="Z157" s="77"/>
      <c r="AA157" s="77"/>
      <c r="AB157" s="77"/>
      <c r="AC157" s="77"/>
      <c r="AD157" s="77"/>
      <c r="AE157" s="77"/>
      <c r="AF157" s="77"/>
      <c r="AG157" s="77"/>
    </row>
    <row r="158" spans="1:33" ht="11.7" customHeight="1" outlineLevel="1" x14ac:dyDescent="0.25">
      <c r="A158" s="1"/>
      <c r="B158" s="212"/>
      <c r="C158" s="737" t="str">
        <f>C$52</f>
        <v>Total expenses continuing operations</v>
      </c>
      <c r="D158" s="307"/>
      <c r="E158" s="307"/>
      <c r="F158" s="772">
        <f t="shared" ref="F158:P158" si="66">SUM(F146:F156)</f>
        <v>144415987.30000004</v>
      </c>
      <c r="G158" s="772">
        <f t="shared" si="66"/>
        <v>152291785.43000007</v>
      </c>
      <c r="H158" s="772">
        <f t="shared" si="66"/>
        <v>158073207.4199999</v>
      </c>
      <c r="I158" s="297">
        <f t="shared" si="66"/>
        <v>164119104.94</v>
      </c>
      <c r="J158" s="772">
        <f t="shared" si="66"/>
        <v>169432065.05999994</v>
      </c>
      <c r="K158" s="772">
        <f t="shared" si="66"/>
        <v>175339396.48000002</v>
      </c>
      <c r="L158" s="772">
        <f t="shared" si="66"/>
        <v>181162142.50999996</v>
      </c>
      <c r="M158" s="772">
        <f t="shared" si="66"/>
        <v>184330101.67999998</v>
      </c>
      <c r="N158" s="772">
        <f t="shared" si="66"/>
        <v>189647148.24999991</v>
      </c>
      <c r="O158" s="772">
        <f t="shared" si="66"/>
        <v>195325631.96000004</v>
      </c>
      <c r="P158" s="772">
        <f t="shared" si="66"/>
        <v>201978587.61999997</v>
      </c>
      <c r="Q158" s="676">
        <f>SUM(G158:P158)</f>
        <v>1771699171.3499999</v>
      </c>
      <c r="R158" s="297"/>
      <c r="S158" s="344">
        <f>P158-F158</f>
        <v>57562600.319999933</v>
      </c>
      <c r="T158" s="318">
        <f>IF(F158=0,0,(S158/F158))</f>
        <v>0.39858883629291864</v>
      </c>
      <c r="U158" s="214"/>
      <c r="V158" s="77"/>
      <c r="W158" s="77"/>
      <c r="X158" s="77"/>
      <c r="Y158" s="77"/>
      <c r="Z158" s="77"/>
      <c r="AA158" s="77"/>
      <c r="AB158" s="77"/>
      <c r="AC158" s="77"/>
      <c r="AD158" s="77"/>
      <c r="AE158" s="77"/>
      <c r="AF158" s="77"/>
      <c r="AG158" s="77"/>
    </row>
    <row r="159" spans="1:33" ht="11.7" customHeight="1" outlineLevel="1" x14ac:dyDescent="0.25">
      <c r="A159" s="1"/>
      <c r="B159" s="212"/>
      <c r="C159" s="737"/>
      <c r="D159" s="307"/>
      <c r="E159" s="307"/>
      <c r="F159" s="297"/>
      <c r="G159" s="297"/>
      <c r="H159" s="297"/>
      <c r="I159" s="344"/>
      <c r="J159" s="297"/>
      <c r="K159" s="297"/>
      <c r="L159" s="297"/>
      <c r="M159" s="297"/>
      <c r="N159" s="297"/>
      <c r="O159" s="297"/>
      <c r="P159" s="297"/>
      <c r="Q159" s="331"/>
      <c r="R159" s="297"/>
      <c r="S159" s="344"/>
      <c r="T159" s="318"/>
      <c r="U159" s="342"/>
      <c r="V159" s="77"/>
      <c r="W159" s="77"/>
      <c r="X159" s="77"/>
      <c r="Y159" s="77"/>
      <c r="Z159" s="77"/>
      <c r="AA159" s="77"/>
      <c r="AB159" s="77"/>
      <c r="AC159" s="77"/>
      <c r="AD159" s="77"/>
      <c r="AE159" s="77"/>
      <c r="AF159" s="77"/>
      <c r="AG159" s="77"/>
    </row>
    <row r="160" spans="1:33" ht="23.25" customHeight="1" outlineLevel="1" x14ac:dyDescent="0.2">
      <c r="A160" s="1"/>
      <c r="B160" s="994"/>
      <c r="C160" s="901" t="str">
        <f>$C$54</f>
        <v>Total expenses continuing operations excluding net loss from asset disposals, joint ventures and fair value losses</v>
      </c>
      <c r="D160" s="307"/>
      <c r="E160" s="307"/>
      <c r="F160" s="658">
        <f t="shared" ref="F160:P160" si="67">F158-SUM(F154:F156)</f>
        <v>144415987.30000004</v>
      </c>
      <c r="G160" s="658">
        <f t="shared" si="67"/>
        <v>152291785.43000007</v>
      </c>
      <c r="H160" s="658">
        <f t="shared" si="67"/>
        <v>158073207.4199999</v>
      </c>
      <c r="I160" s="658">
        <f t="shared" si="67"/>
        <v>164119104.94</v>
      </c>
      <c r="J160" s="658">
        <f t="shared" si="67"/>
        <v>169432065.05999994</v>
      </c>
      <c r="K160" s="658">
        <f t="shared" si="67"/>
        <v>175339396.48000002</v>
      </c>
      <c r="L160" s="658">
        <f t="shared" si="67"/>
        <v>181162142.50999996</v>
      </c>
      <c r="M160" s="658">
        <f t="shared" si="67"/>
        <v>184330101.67999998</v>
      </c>
      <c r="N160" s="658">
        <f t="shared" si="67"/>
        <v>189647148.24999991</v>
      </c>
      <c r="O160" s="658">
        <f t="shared" si="67"/>
        <v>195325631.96000004</v>
      </c>
      <c r="P160" s="658">
        <f t="shared" si="67"/>
        <v>201978587.61999997</v>
      </c>
      <c r="Q160" s="655">
        <f>Q158-Q156</f>
        <v>1771699171.3499999</v>
      </c>
      <c r="R160" s="207"/>
      <c r="S160" s="324">
        <f>P160-F160</f>
        <v>57562600.319999933</v>
      </c>
      <c r="T160" s="317">
        <f>IF(F160=0,0,(S160/F160))</f>
        <v>0.39858883629291864</v>
      </c>
      <c r="U160" s="342"/>
      <c r="V160" s="77"/>
      <c r="W160" s="77"/>
      <c r="X160" s="77"/>
      <c r="Y160" s="77"/>
      <c r="Z160" s="77"/>
      <c r="AA160" s="77"/>
      <c r="AB160" s="77"/>
      <c r="AC160" s="77"/>
      <c r="AD160" s="77"/>
      <c r="AE160" s="77"/>
      <c r="AF160" s="77"/>
      <c r="AG160" s="77"/>
    </row>
    <row r="161" spans="1:33" ht="11.7" customHeight="1" outlineLevel="2" x14ac:dyDescent="0.2">
      <c r="A161" s="1"/>
      <c r="B161" s="212"/>
      <c r="C161" s="334"/>
      <c r="D161" s="307"/>
      <c r="E161" s="305"/>
      <c r="F161" s="658"/>
      <c r="G161" s="658"/>
      <c r="H161" s="658"/>
      <c r="I161" s="324"/>
      <c r="J161" s="658"/>
      <c r="K161" s="658"/>
      <c r="L161" s="658"/>
      <c r="M161" s="658"/>
      <c r="N161" s="658"/>
      <c r="O161" s="658"/>
      <c r="P161" s="658"/>
      <c r="Q161" s="655"/>
      <c r="R161" s="207"/>
      <c r="S161" s="324"/>
      <c r="T161" s="317"/>
      <c r="U161" s="214"/>
      <c r="V161" s="77"/>
      <c r="W161" s="77"/>
      <c r="X161" s="77"/>
      <c r="Y161" s="77"/>
      <c r="Z161" s="77"/>
      <c r="AA161" s="77"/>
      <c r="AB161" s="77"/>
      <c r="AC161" s="77"/>
      <c r="AD161" s="77"/>
      <c r="AE161" s="77"/>
      <c r="AF161" s="77"/>
      <c r="AG161" s="77"/>
    </row>
    <row r="162" spans="1:33" customFormat="1" ht="11.7" customHeight="1" x14ac:dyDescent="0.25">
      <c r="A162" s="1"/>
      <c r="B162" s="212"/>
      <c r="C162" s="665" t="str">
        <f>C$56</f>
        <v>Operating results</v>
      </c>
      <c r="D162" s="738"/>
      <c r="E162" s="738"/>
      <c r="F162" s="738"/>
      <c r="G162" s="738"/>
      <c r="H162" s="738"/>
      <c r="I162" s="777"/>
      <c r="J162" s="79"/>
      <c r="K162" s="79"/>
      <c r="L162" s="79"/>
      <c r="M162" s="79"/>
      <c r="N162" s="79"/>
      <c r="O162" s="79"/>
      <c r="P162" s="79"/>
      <c r="Q162" s="79"/>
      <c r="R162" s="79"/>
      <c r="S162" s="79"/>
      <c r="T162" s="564"/>
      <c r="U162" s="214"/>
      <c r="V162" s="77"/>
      <c r="W162" s="3"/>
      <c r="X162" s="3"/>
      <c r="Y162" s="3"/>
      <c r="Z162" s="3"/>
      <c r="AA162" s="3"/>
      <c r="AB162" s="3"/>
      <c r="AC162" s="3"/>
      <c r="AD162" s="3"/>
      <c r="AE162" s="3"/>
      <c r="AF162" s="3"/>
      <c r="AG162" s="3"/>
    </row>
    <row r="163" spans="1:33" ht="11.7" customHeight="1" x14ac:dyDescent="0.2">
      <c r="A163" s="1"/>
      <c r="B163" s="212"/>
      <c r="C163" s="428"/>
      <c r="D163" s="1"/>
      <c r="E163" s="1"/>
      <c r="F163" s="500"/>
      <c r="G163" s="500"/>
      <c r="H163" s="500"/>
      <c r="I163" s="576"/>
      <c r="J163" s="500"/>
      <c r="K163" s="500"/>
      <c r="L163" s="500"/>
      <c r="M163" s="500"/>
      <c r="N163" s="500"/>
      <c r="O163" s="500"/>
      <c r="P163" s="500"/>
      <c r="Q163" s="500"/>
      <c r="R163" s="576"/>
      <c r="S163" s="455"/>
      <c r="T163" s="347"/>
      <c r="U163" s="214"/>
      <c r="V163" s="77"/>
      <c r="W163" s="77"/>
      <c r="X163" s="77"/>
      <c r="Y163" s="77"/>
      <c r="Z163" s="77"/>
      <c r="AA163" s="77"/>
      <c r="AB163" s="77"/>
      <c r="AC163" s="77"/>
      <c r="AD163" s="77"/>
      <c r="AE163" s="77"/>
      <c r="AF163" s="77"/>
      <c r="AG163" s="77"/>
    </row>
    <row r="164" spans="1:33" ht="11.7" customHeight="1" x14ac:dyDescent="0.2">
      <c r="A164" s="1"/>
      <c r="B164" s="212"/>
      <c r="C164" s="334" t="str">
        <f>C$58</f>
        <v>Operating result from continuing operations</v>
      </c>
      <c r="D164" s="307"/>
      <c r="E164" s="305"/>
      <c r="F164" s="658">
        <f t="shared" ref="F164:P164" si="68">F139-F158</f>
        <v>11903684.259999961</v>
      </c>
      <c r="G164" s="658">
        <f t="shared" si="68"/>
        <v>10875271.559999973</v>
      </c>
      <c r="H164" s="658">
        <f t="shared" si="68"/>
        <v>9378938.0100001097</v>
      </c>
      <c r="I164" s="324">
        <f t="shared" si="68"/>
        <v>6699977.1762500107</v>
      </c>
      <c r="J164" s="658">
        <f t="shared" si="68"/>
        <v>54060633.82065627</v>
      </c>
      <c r="K164" s="658">
        <f t="shared" si="68"/>
        <v>3674068.825922668</v>
      </c>
      <c r="L164" s="658">
        <f t="shared" si="68"/>
        <v>2026563.3655707836</v>
      </c>
      <c r="M164" s="658">
        <f t="shared" si="68"/>
        <v>3161464.2539599538</v>
      </c>
      <c r="N164" s="658">
        <f t="shared" si="68"/>
        <v>2249537.3663091063</v>
      </c>
      <c r="O164" s="658">
        <f t="shared" si="68"/>
        <v>1098747.0487166643</v>
      </c>
      <c r="P164" s="658">
        <f t="shared" si="68"/>
        <v>-310022.52181538939</v>
      </c>
      <c r="Q164" s="655">
        <f>SUM(G164:P164)</f>
        <v>92915178.905570149</v>
      </c>
      <c r="R164" s="207"/>
      <c r="S164" s="324">
        <f>P164-F164</f>
        <v>-12213706.78181535</v>
      </c>
      <c r="T164" s="317">
        <f>IF(F164=0,0,(S164/F164))</f>
        <v>-1.0260442494142052</v>
      </c>
      <c r="U164" s="214"/>
      <c r="V164" s="77"/>
      <c r="W164" s="77"/>
      <c r="X164" s="77"/>
      <c r="Y164" s="77"/>
      <c r="Z164" s="77"/>
      <c r="AA164" s="77"/>
      <c r="AB164" s="77"/>
      <c r="AC164" s="77"/>
      <c r="AD164" s="77"/>
      <c r="AE164" s="77"/>
      <c r="AF164" s="77"/>
      <c r="AG164" s="77"/>
    </row>
    <row r="165" spans="1:33" ht="26.25" customHeight="1" x14ac:dyDescent="0.25">
      <c r="A165" s="1"/>
      <c r="B165" s="212"/>
      <c r="C165" s="896" t="str">
        <f>C$59</f>
        <v>Net operating result before capital grants &amp; contributions</v>
      </c>
      <c r="D165" s="307"/>
      <c r="E165" s="305"/>
      <c r="F165" s="297">
        <f t="shared" ref="F165:P165" si="69">F141-F158</f>
        <v>3553684.2599999607</v>
      </c>
      <c r="G165" s="297">
        <f t="shared" si="69"/>
        <v>1547318.5599999726</v>
      </c>
      <c r="H165" s="297">
        <f t="shared" si="69"/>
        <v>-71625.639999896288</v>
      </c>
      <c r="I165" s="297">
        <f t="shared" si="69"/>
        <v>-2872402.2737499774</v>
      </c>
      <c r="J165" s="297">
        <f t="shared" si="69"/>
        <v>-4229082.7193437219</v>
      </c>
      <c r="K165" s="297">
        <f t="shared" si="69"/>
        <v>-6115560.9140773416</v>
      </c>
      <c r="L165" s="297">
        <f t="shared" si="69"/>
        <v>-7875617.5044292212</v>
      </c>
      <c r="M165" s="297">
        <f t="shared" si="69"/>
        <v>-6855968.9460400343</v>
      </c>
      <c r="N165" s="297">
        <f t="shared" si="69"/>
        <v>-7885914.2136909068</v>
      </c>
      <c r="O165" s="297">
        <f t="shared" si="69"/>
        <v>-9162590.8412833214</v>
      </c>
      <c r="P165" s="297">
        <f t="shared" si="69"/>
        <v>-10700393.861815393</v>
      </c>
      <c r="Q165" s="297">
        <f>SUM(G165:P165)</f>
        <v>-54221838.354429841</v>
      </c>
      <c r="R165" s="207"/>
      <c r="S165" s="324">
        <f>P165-F165</f>
        <v>-14254078.121815354</v>
      </c>
      <c r="T165" s="317">
        <f>IF(F165=0,0,(S165/F165))</f>
        <v>-4.0110705056885134</v>
      </c>
      <c r="U165" s="342"/>
      <c r="V165" s="77"/>
      <c r="W165" s="77"/>
      <c r="X165" s="77"/>
      <c r="Y165" s="77"/>
      <c r="Z165" s="77"/>
      <c r="AA165" s="77"/>
      <c r="AB165" s="77"/>
      <c r="AC165" s="77"/>
      <c r="AD165" s="77"/>
      <c r="AE165" s="77"/>
      <c r="AF165" s="77"/>
      <c r="AG165" s="77"/>
    </row>
    <row r="166" spans="1:33" ht="61.5" customHeight="1" x14ac:dyDescent="0.25">
      <c r="A166" s="1"/>
      <c r="B166" s="212"/>
      <c r="C166" s="909" t="str">
        <f>C$60</f>
        <v>Net operating result before capital grants &amp; contributions, gains/losses on asset disposals, gains/losses on joint ventures and fair value adjustments</v>
      </c>
      <c r="D166" s="307"/>
      <c r="E166" s="305"/>
      <c r="F166" s="207">
        <f t="shared" ref="F166:P166" si="70">F143-F160</f>
        <v>3453684.2599999607</v>
      </c>
      <c r="G166" s="207">
        <f t="shared" si="70"/>
        <v>1443818.5599999726</v>
      </c>
      <c r="H166" s="207">
        <f t="shared" si="70"/>
        <v>-178127.13999989629</v>
      </c>
      <c r="I166" s="207">
        <f t="shared" si="70"/>
        <v>-2981885.813749969</v>
      </c>
      <c r="J166" s="207">
        <f t="shared" si="70"/>
        <v>-4341193.8593437076</v>
      </c>
      <c r="K166" s="207">
        <f t="shared" si="70"/>
        <v>-6230362.7240773439</v>
      </c>
      <c r="L166" s="207">
        <f t="shared" si="70"/>
        <v>-7993174.5544292331</v>
      </c>
      <c r="M166" s="207">
        <f t="shared" si="70"/>
        <v>-6976347.3660400212</v>
      </c>
      <c r="N166" s="207">
        <f t="shared" si="70"/>
        <v>-8009181.7136909068</v>
      </c>
      <c r="O166" s="207">
        <f t="shared" si="70"/>
        <v>-9288940.031283319</v>
      </c>
      <c r="P166" s="207">
        <f t="shared" si="70"/>
        <v>-10829901.78181538</v>
      </c>
      <c r="Q166" s="208">
        <f>SUM(G166:P166)</f>
        <v>-55385296.424429804</v>
      </c>
      <c r="R166" s="297"/>
      <c r="S166" s="344">
        <f>P166-F166</f>
        <v>-14283586.041815341</v>
      </c>
      <c r="T166" s="318">
        <f>IF(F166=0,0,(S166/F166))</f>
        <v>-4.1357532902603849</v>
      </c>
      <c r="U166" s="342"/>
      <c r="V166" s="77"/>
      <c r="W166" s="77"/>
      <c r="X166" s="77"/>
      <c r="Y166" s="77"/>
      <c r="Z166" s="77"/>
      <c r="AA166" s="77"/>
      <c r="AB166" s="77"/>
      <c r="AC166" s="77"/>
      <c r="AD166" s="77"/>
      <c r="AE166" s="77"/>
      <c r="AF166" s="77"/>
      <c r="AG166" s="77"/>
    </row>
    <row r="167" spans="1:33" ht="11.7" customHeight="1" x14ac:dyDescent="0.2">
      <c r="A167" s="1"/>
      <c r="B167" s="212"/>
      <c r="C167" s="336"/>
      <c r="D167" s="308"/>
      <c r="E167" s="308"/>
      <c r="F167" s="153"/>
      <c r="G167" s="153"/>
      <c r="H167" s="153"/>
      <c r="I167" s="153"/>
      <c r="J167" s="153"/>
      <c r="K167" s="153"/>
      <c r="L167" s="153"/>
      <c r="M167" s="153"/>
      <c r="N167" s="153"/>
      <c r="O167" s="153"/>
      <c r="P167" s="153"/>
      <c r="Q167" s="153"/>
      <c r="R167" s="155"/>
      <c r="S167" s="345"/>
      <c r="T167" s="340"/>
      <c r="U167" s="214"/>
      <c r="V167" s="77"/>
      <c r="W167" s="77"/>
      <c r="X167" s="77"/>
      <c r="Y167" s="77"/>
      <c r="Z167" s="77"/>
      <c r="AA167" s="77"/>
      <c r="AB167" s="77"/>
      <c r="AC167" s="77"/>
      <c r="AD167" s="77"/>
      <c r="AE167" s="77"/>
      <c r="AF167" s="77"/>
      <c r="AG167" s="77"/>
    </row>
    <row r="168" spans="1:33" customFormat="1" ht="11.7" customHeight="1" outlineLevel="1" x14ac:dyDescent="0.25">
      <c r="A168" s="1"/>
      <c r="B168" s="212"/>
      <c r="C168" s="1255" t="str">
        <f>C$62</f>
        <v>Increase in rates and annual charges</v>
      </c>
      <c r="D168" s="1184"/>
      <c r="E168" s="1184"/>
      <c r="F168" s="1184"/>
      <c r="G168" s="848"/>
      <c r="H168" s="1184"/>
      <c r="I168" s="1066"/>
      <c r="J168" s="1064"/>
      <c r="K168" s="1064"/>
      <c r="L168" s="1064"/>
      <c r="M168" s="1064"/>
      <c r="N168" s="1064"/>
      <c r="O168" s="1064"/>
      <c r="P168" s="1064"/>
      <c r="Q168" s="79"/>
      <c r="R168" s="79"/>
      <c r="S168" s="79"/>
      <c r="T168" s="1074"/>
      <c r="U168" s="214"/>
      <c r="V168" s="77"/>
      <c r="W168" s="3"/>
      <c r="X168" s="3"/>
      <c r="Y168" s="3"/>
      <c r="Z168" s="3"/>
      <c r="AA168" s="3"/>
      <c r="AB168" s="3"/>
      <c r="AC168" s="3"/>
      <c r="AD168" s="3"/>
      <c r="AE168" s="3"/>
      <c r="AF168" s="3"/>
      <c r="AG168" s="3"/>
    </row>
    <row r="169" spans="1:33" ht="11.7" customHeight="1" outlineLevel="1" x14ac:dyDescent="0.2">
      <c r="A169" s="1"/>
      <c r="B169" s="212"/>
      <c r="C169" s="428"/>
      <c r="D169" s="1"/>
      <c r="E169" s="1"/>
      <c r="F169" s="576"/>
      <c r="G169" s="576"/>
      <c r="H169" s="576"/>
      <c r="I169" s="576"/>
      <c r="J169" s="576"/>
      <c r="K169" s="576"/>
      <c r="L169" s="576"/>
      <c r="M169" s="576"/>
      <c r="N169" s="576"/>
      <c r="O169" s="576"/>
      <c r="P169" s="576"/>
      <c r="Q169" s="576"/>
      <c r="R169" s="576"/>
      <c r="S169" s="455"/>
      <c r="T169" s="347"/>
      <c r="U169" s="214"/>
      <c r="V169" s="77"/>
      <c r="W169" s="77"/>
      <c r="X169" s="77"/>
      <c r="Y169" s="77"/>
      <c r="Z169" s="77"/>
      <c r="AA169" s="77"/>
      <c r="AB169" s="77"/>
      <c r="AC169" s="77"/>
      <c r="AD169" s="77"/>
      <c r="AE169" s="77"/>
      <c r="AF169" s="77"/>
      <c r="AG169" s="77"/>
    </row>
    <row r="170" spans="1:33" ht="11.7" customHeight="1" outlineLevel="1" x14ac:dyDescent="0.2">
      <c r="A170" s="1"/>
      <c r="B170" s="212"/>
      <c r="C170" s="334" t="str">
        <f>C$64</f>
        <v>$ Increase in rates and annual charges</v>
      </c>
      <c r="D170" s="307"/>
      <c r="E170" s="305"/>
      <c r="F170" s="323"/>
      <c r="G170" s="207">
        <f t="shared" ref="G170:P170" si="71">G127-F127</f>
        <v>4121419.5400000066</v>
      </c>
      <c r="H170" s="207">
        <f t="shared" si="71"/>
        <v>3754190.2599999905</v>
      </c>
      <c r="I170" s="207">
        <f t="shared" si="71"/>
        <v>3438669.9000000358</v>
      </c>
      <c r="J170" s="207">
        <f t="shared" si="71"/>
        <v>2974568.5099999607</v>
      </c>
      <c r="K170" s="207">
        <f t="shared" si="71"/>
        <v>3048042.5700000226</v>
      </c>
      <c r="L170" s="207">
        <f t="shared" si="71"/>
        <v>3123332.0699999928</v>
      </c>
      <c r="M170" s="207">
        <f t="shared" si="71"/>
        <v>3200481.9399999678</v>
      </c>
      <c r="N170" s="207">
        <f t="shared" si="71"/>
        <v>3279538.1900000572</v>
      </c>
      <c r="O170" s="207">
        <f t="shared" si="71"/>
        <v>3402308.5499999523</v>
      </c>
      <c r="P170" s="207">
        <f t="shared" si="71"/>
        <v>4090943.3199999928</v>
      </c>
      <c r="Q170" s="208">
        <f>P127-F127</f>
        <v>34433494.849999979</v>
      </c>
      <c r="R170" s="207"/>
      <c r="S170" s="9"/>
      <c r="T170" s="332"/>
      <c r="U170" s="214"/>
      <c r="V170" s="77"/>
      <c r="W170" s="77"/>
      <c r="X170" s="77"/>
      <c r="Y170" s="77"/>
      <c r="Z170" s="77"/>
      <c r="AA170" s="77"/>
      <c r="AB170" s="77"/>
      <c r="AC170" s="77"/>
      <c r="AD170" s="77"/>
      <c r="AE170" s="77"/>
      <c r="AF170" s="77"/>
      <c r="AG170" s="77"/>
    </row>
    <row r="171" spans="1:33" ht="11.7" customHeight="1" outlineLevel="1" x14ac:dyDescent="0.2">
      <c r="A171" s="1"/>
      <c r="B171" s="212"/>
      <c r="C171" s="336" t="str">
        <f>C$65</f>
        <v>% Increase in rates and annual charges</v>
      </c>
      <c r="D171" s="313"/>
      <c r="E171" s="306"/>
      <c r="F171" s="337"/>
      <c r="G171" s="154">
        <f t="shared" ref="G171:P171" si="72">IF(F127=0,0,G127/F127-1)</f>
        <v>3.7758500270658413E-2</v>
      </c>
      <c r="H171" s="154">
        <f t="shared" si="72"/>
        <v>3.3142700302970507E-2</v>
      </c>
      <c r="I171" s="154">
        <f t="shared" si="72"/>
        <v>2.9383382367641486E-2</v>
      </c>
      <c r="J171" s="154">
        <f t="shared" si="72"/>
        <v>2.4692105423435029E-2</v>
      </c>
      <c r="K171" s="154">
        <f t="shared" si="72"/>
        <v>2.4692313626325735E-2</v>
      </c>
      <c r="L171" s="154">
        <f t="shared" si="72"/>
        <v>2.4692521367057019E-2</v>
      </c>
      <c r="M171" s="154">
        <f t="shared" si="72"/>
        <v>2.4692729110617151E-2</v>
      </c>
      <c r="N171" s="154">
        <f t="shared" si="72"/>
        <v>2.4692937045632357E-2</v>
      </c>
      <c r="O171" s="154">
        <f t="shared" si="72"/>
        <v>2.5000000099197006E-2</v>
      </c>
      <c r="P171" s="154">
        <f t="shared" si="72"/>
        <v>2.9326883286969974E-2</v>
      </c>
      <c r="Q171" s="338">
        <f>IF(F127=0,0,P127/F127-1)</f>
        <v>0.31546342516089365</v>
      </c>
      <c r="R171" s="154"/>
      <c r="S171" s="346"/>
      <c r="T171" s="339"/>
      <c r="U171" s="214"/>
      <c r="V171" s="77"/>
      <c r="W171" s="77"/>
      <c r="X171" s="77"/>
      <c r="Y171" s="77"/>
      <c r="Z171" s="77"/>
      <c r="AA171" s="77"/>
      <c r="AB171" s="77"/>
      <c r="AC171" s="77"/>
      <c r="AD171" s="77"/>
      <c r="AE171" s="77"/>
      <c r="AF171" s="77"/>
      <c r="AG171" s="77"/>
    </row>
    <row r="172" spans="1:33" ht="11.7" customHeight="1" x14ac:dyDescent="0.2">
      <c r="A172" s="1"/>
      <c r="B172" s="212"/>
      <c r="C172" s="917" t="s">
        <v>127</v>
      </c>
      <c r="D172" s="1"/>
      <c r="E172" s="1"/>
      <c r="F172" s="77"/>
      <c r="G172" s="635">
        <f t="shared" ref="G172:P172" si="73">G165-G166-G137+G156</f>
        <v>103500</v>
      </c>
      <c r="H172" s="635">
        <f t="shared" si="73"/>
        <v>106501.5</v>
      </c>
      <c r="I172" s="635">
        <f t="shared" si="73"/>
        <v>109483.53999999166</v>
      </c>
      <c r="J172" s="635">
        <f t="shared" si="73"/>
        <v>112111.13999998569</v>
      </c>
      <c r="K172" s="635">
        <f t="shared" si="73"/>
        <v>114801.81000000238</v>
      </c>
      <c r="L172" s="635">
        <f t="shared" si="73"/>
        <v>117557.05000001192</v>
      </c>
      <c r="M172" s="635">
        <f t="shared" si="73"/>
        <v>120378.41999998689</v>
      </c>
      <c r="N172" s="635">
        <f t="shared" si="73"/>
        <v>123267.5</v>
      </c>
      <c r="O172" s="635">
        <f t="shared" si="73"/>
        <v>126349.18999999762</v>
      </c>
      <c r="P172" s="635">
        <f t="shared" si="73"/>
        <v>129507.91999998689</v>
      </c>
      <c r="Q172" s="635">
        <f>SUM(G170:P170)-Q170</f>
        <v>0</v>
      </c>
      <c r="R172" s="77"/>
      <c r="S172" s="77"/>
      <c r="T172" s="77"/>
      <c r="U172" s="342"/>
      <c r="V172" s="77"/>
      <c r="W172" s="77"/>
      <c r="X172" s="77"/>
      <c r="Y172" s="77"/>
      <c r="Z172" s="77"/>
      <c r="AA172" s="77"/>
      <c r="AB172" s="77"/>
      <c r="AC172" s="77"/>
      <c r="AD172" s="77"/>
      <c r="AE172" s="77"/>
      <c r="AF172" s="77"/>
      <c r="AG172" s="77"/>
    </row>
    <row r="173" spans="1:33" ht="11.7" customHeight="1" x14ac:dyDescent="0.2">
      <c r="A173" s="1"/>
      <c r="B173" s="212"/>
      <c r="C173" s="1"/>
      <c r="D173" s="1"/>
      <c r="E173" s="1"/>
      <c r="F173" s="77"/>
      <c r="G173" s="77"/>
      <c r="H173" s="77"/>
      <c r="I173" s="77"/>
      <c r="J173" s="77"/>
      <c r="K173" s="77"/>
      <c r="L173" s="77"/>
      <c r="M173" s="77"/>
      <c r="N173" s="77"/>
      <c r="O173" s="77"/>
      <c r="P173" s="77"/>
      <c r="Q173" s="77"/>
      <c r="R173" s="77"/>
      <c r="S173" s="77"/>
      <c r="T173" s="77"/>
      <c r="U173" s="342"/>
      <c r="V173" s="77"/>
      <c r="W173" s="77"/>
      <c r="X173" s="77"/>
      <c r="Y173" s="77"/>
      <c r="Z173" s="77"/>
      <c r="AA173" s="77"/>
      <c r="AB173" s="77"/>
      <c r="AC173" s="77"/>
      <c r="AD173" s="77"/>
      <c r="AE173" s="77"/>
      <c r="AF173" s="77"/>
      <c r="AG173" s="77"/>
    </row>
    <row r="174" spans="1:33" ht="11.7" customHeight="1" x14ac:dyDescent="0.2">
      <c r="A174" s="1"/>
      <c r="B174" s="212"/>
      <c r="C174" s="1"/>
      <c r="D174" s="1"/>
      <c r="E174" s="1"/>
      <c r="F174" s="77"/>
      <c r="G174" s="77"/>
      <c r="H174" s="77"/>
      <c r="I174" s="77"/>
      <c r="J174" s="77"/>
      <c r="K174" s="77"/>
      <c r="L174" s="77"/>
      <c r="M174" s="77"/>
      <c r="N174" s="77"/>
      <c r="O174" s="77"/>
      <c r="P174" s="77"/>
      <c r="Q174" s="77"/>
      <c r="R174" s="77"/>
      <c r="S174" s="77"/>
      <c r="T174" s="77"/>
      <c r="U174" s="342"/>
      <c r="V174" s="77"/>
      <c r="W174" s="77"/>
      <c r="X174" s="77"/>
      <c r="Y174" s="77"/>
      <c r="Z174" s="77"/>
      <c r="AA174" s="77"/>
      <c r="AB174" s="77"/>
      <c r="AC174" s="77"/>
      <c r="AD174" s="77"/>
      <c r="AE174" s="77"/>
      <c r="AF174" s="77"/>
      <c r="AG174" s="77"/>
    </row>
    <row r="175" spans="1:33" customFormat="1" ht="19.95" customHeight="1" x14ac:dyDescent="0.25">
      <c r="A175" s="3"/>
      <c r="B175" s="212"/>
      <c r="C175" s="1246" t="s">
        <v>1001</v>
      </c>
      <c r="D175" s="740"/>
      <c r="E175" s="740"/>
      <c r="F175" s="203"/>
      <c r="G175" s="187"/>
      <c r="H175" s="204"/>
      <c r="I175" s="204"/>
      <c r="J175" s="204"/>
      <c r="K175" s="204"/>
      <c r="L175" s="204"/>
      <c r="M175" s="204"/>
      <c r="N175" s="204"/>
      <c r="O175" s="204"/>
      <c r="P175" s="204"/>
      <c r="Q175" s="326"/>
      <c r="R175" s="77"/>
      <c r="S175" s="77"/>
      <c r="T175" s="77"/>
      <c r="U175" s="214"/>
      <c r="V175" s="77"/>
      <c r="W175" s="3"/>
      <c r="X175" s="3"/>
      <c r="Y175" s="3"/>
      <c r="Z175" s="3"/>
      <c r="AA175" s="3"/>
      <c r="AB175" s="3"/>
      <c r="AC175" s="3"/>
      <c r="AD175" s="3"/>
      <c r="AE175" s="3"/>
      <c r="AF175" s="3"/>
      <c r="AG175" s="3"/>
    </row>
    <row r="176" spans="1:33" ht="11.7" customHeight="1" x14ac:dyDescent="0.25">
      <c r="A176" s="1"/>
      <c r="B176" s="212"/>
      <c r="C176" s="1212"/>
      <c r="D176" s="727"/>
      <c r="E176" s="727"/>
      <c r="F176" s="1249" t="str">
        <f t="shared" ref="F176:Q176" si="74">F$17</f>
        <v>Year 0</v>
      </c>
      <c r="G176" s="1249" t="str">
        <f t="shared" si="74"/>
        <v>Year 1</v>
      </c>
      <c r="H176" s="1249" t="str">
        <f t="shared" si="74"/>
        <v>Year 2</v>
      </c>
      <c r="I176" s="1249" t="str">
        <f t="shared" si="74"/>
        <v>Year 3</v>
      </c>
      <c r="J176" s="1249" t="str">
        <f t="shared" si="74"/>
        <v>Year 4</v>
      </c>
      <c r="K176" s="1249" t="str">
        <f t="shared" si="74"/>
        <v>Year 5</v>
      </c>
      <c r="L176" s="1249" t="str">
        <f t="shared" si="74"/>
        <v>Year 6</v>
      </c>
      <c r="M176" s="1249" t="str">
        <f t="shared" si="74"/>
        <v>Year 7</v>
      </c>
      <c r="N176" s="1249" t="str">
        <f t="shared" si="74"/>
        <v>Year 8</v>
      </c>
      <c r="O176" s="1249" t="str">
        <f t="shared" si="74"/>
        <v>Year 9</v>
      </c>
      <c r="P176" s="1249" t="str">
        <f t="shared" si="74"/>
        <v>Year 10</v>
      </c>
      <c r="Q176" s="1250" t="str">
        <f t="shared" si="74"/>
        <v>Sum of 10 years</v>
      </c>
      <c r="R176" s="77"/>
      <c r="S176" s="77"/>
      <c r="T176" s="77"/>
      <c r="U176" s="342"/>
      <c r="V176" s="77"/>
      <c r="W176" s="77"/>
      <c r="X176" s="77"/>
      <c r="Y176" s="77"/>
      <c r="Z176" s="77"/>
      <c r="AA176" s="77"/>
      <c r="AB176" s="77"/>
      <c r="AC176" s="77"/>
      <c r="AD176" s="77"/>
      <c r="AE176" s="77"/>
      <c r="AF176" s="77"/>
      <c r="AG176" s="77"/>
    </row>
    <row r="177" spans="1:33" ht="11.7" customHeight="1" x14ac:dyDescent="0.25">
      <c r="A177" s="1"/>
      <c r="B177" s="212"/>
      <c r="C177" s="328"/>
      <c r="D177" s="312"/>
      <c r="E177" s="304"/>
      <c r="F177" s="310" t="str">
        <f t="shared" ref="F177:P177" si="75">F$18</f>
        <v>2022-23</v>
      </c>
      <c r="G177" s="310" t="str">
        <f t="shared" si="75"/>
        <v>2023-24</v>
      </c>
      <c r="H177" s="310" t="str">
        <f t="shared" si="75"/>
        <v>2024-25</v>
      </c>
      <c r="I177" s="310" t="str">
        <f t="shared" si="75"/>
        <v>2025-26</v>
      </c>
      <c r="J177" s="310" t="str">
        <f t="shared" si="75"/>
        <v>2026-27</v>
      </c>
      <c r="K177" s="310" t="str">
        <f t="shared" si="75"/>
        <v>2027-28</v>
      </c>
      <c r="L177" s="310" t="str">
        <f t="shared" si="75"/>
        <v>2028-29</v>
      </c>
      <c r="M177" s="310" t="str">
        <f t="shared" si="75"/>
        <v>2029-30</v>
      </c>
      <c r="N177" s="310" t="str">
        <f t="shared" si="75"/>
        <v>2030-31</v>
      </c>
      <c r="O177" s="310" t="str">
        <f t="shared" si="75"/>
        <v>2031-32</v>
      </c>
      <c r="P177" s="310" t="str">
        <f t="shared" si="75"/>
        <v>2032-33</v>
      </c>
      <c r="Q177" s="330"/>
      <c r="R177" s="77"/>
      <c r="S177" s="77"/>
      <c r="T177" s="77"/>
      <c r="U177" s="342"/>
      <c r="V177" s="77"/>
      <c r="W177" s="77"/>
      <c r="X177" s="77"/>
      <c r="Y177" s="77"/>
      <c r="Z177" s="77"/>
      <c r="AA177" s="77"/>
      <c r="AB177" s="77"/>
      <c r="AC177" s="77"/>
      <c r="AD177" s="77"/>
      <c r="AE177" s="77"/>
      <c r="AF177" s="77"/>
      <c r="AG177" s="77"/>
    </row>
    <row r="178" spans="1:33" customFormat="1" ht="11.7" customHeight="1" outlineLevel="1" x14ac:dyDescent="0.25">
      <c r="A178" s="1"/>
      <c r="B178" s="212"/>
      <c r="C178" s="665" t="str">
        <f>C$19</f>
        <v>Income from continuing operations</v>
      </c>
      <c r="D178" s="738"/>
      <c r="E178" s="738"/>
      <c r="F178" s="738"/>
      <c r="G178" s="327"/>
      <c r="H178" s="79"/>
      <c r="I178" s="776"/>
      <c r="J178" s="79"/>
      <c r="K178" s="79"/>
      <c r="L178" s="79"/>
      <c r="M178" s="79"/>
      <c r="N178" s="79"/>
      <c r="O178" s="79"/>
      <c r="P178" s="79"/>
      <c r="Q178" s="564"/>
      <c r="R178" s="77"/>
      <c r="S178" s="77"/>
      <c r="T178" s="77"/>
      <c r="U178" s="214"/>
      <c r="V178" s="77"/>
      <c r="W178" s="3"/>
      <c r="X178" s="3"/>
      <c r="Y178" s="3"/>
      <c r="Z178" s="3"/>
      <c r="AA178" s="3"/>
      <c r="AB178" s="3"/>
      <c r="AC178" s="3"/>
      <c r="AD178" s="3"/>
      <c r="AE178" s="3"/>
      <c r="AF178" s="3"/>
      <c r="AG178" s="3"/>
    </row>
    <row r="179" spans="1:33" ht="11.7" customHeight="1" outlineLevel="1" x14ac:dyDescent="0.25">
      <c r="A179" s="1"/>
      <c r="B179" s="212"/>
      <c r="C179" s="737" t="str">
        <f>C$20</f>
        <v>Revenue:</v>
      </c>
      <c r="D179" s="1"/>
      <c r="E179" s="1"/>
      <c r="F179" s="576"/>
      <c r="G179" s="576"/>
      <c r="H179" s="576"/>
      <c r="I179" s="576"/>
      <c r="J179" s="576"/>
      <c r="K179" s="576"/>
      <c r="L179" s="576"/>
      <c r="M179" s="576"/>
      <c r="N179" s="576"/>
      <c r="O179" s="576"/>
      <c r="P179" s="576"/>
      <c r="Q179" s="576"/>
      <c r="R179" s="77"/>
      <c r="S179" s="77"/>
      <c r="T179" s="77"/>
      <c r="U179" s="214"/>
      <c r="V179" s="77"/>
      <c r="W179" s="77"/>
      <c r="X179" s="77"/>
      <c r="Y179" s="77"/>
      <c r="Z179" s="77"/>
      <c r="AA179" s="77"/>
      <c r="AB179" s="77"/>
      <c r="AC179" s="77"/>
      <c r="AD179" s="77"/>
      <c r="AE179" s="77"/>
      <c r="AF179" s="77"/>
      <c r="AG179" s="77"/>
    </row>
    <row r="180" spans="1:33" ht="11.7" customHeight="1" outlineLevel="1" x14ac:dyDescent="0.2">
      <c r="A180" s="1"/>
      <c r="B180" s="212"/>
      <c r="C180" s="750" t="str">
        <f>C$21</f>
        <v>Rates &amp; Annual Charges</v>
      </c>
      <c r="D180" s="307"/>
      <c r="E180" s="307"/>
      <c r="F180" s="207">
        <f t="shared" ref="F180:Q180" si="76">F21-F74</f>
        <v>0</v>
      </c>
      <c r="G180" s="207">
        <f t="shared" si="76"/>
        <v>3462604.8799999654</v>
      </c>
      <c r="H180" s="207">
        <f t="shared" si="76"/>
        <v>6850688.4899999499</v>
      </c>
      <c r="I180" s="207">
        <f t="shared" si="76"/>
        <v>10129129.859999925</v>
      </c>
      <c r="J180" s="207">
        <f t="shared" si="76"/>
        <v>13187495.740000039</v>
      </c>
      <c r="K180" s="207">
        <f t="shared" si="76"/>
        <v>13517183.130000025</v>
      </c>
      <c r="L180" s="207">
        <f t="shared" si="76"/>
        <v>13855112.669999957</v>
      </c>
      <c r="M180" s="207">
        <f t="shared" si="76"/>
        <v>14201490.540000051</v>
      </c>
      <c r="N180" s="207">
        <f t="shared" si="76"/>
        <v>14556527.789999962</v>
      </c>
      <c r="O180" s="207">
        <f t="shared" si="76"/>
        <v>14920440.960000008</v>
      </c>
      <c r="P180" s="207">
        <f t="shared" si="76"/>
        <v>15386591.310000062</v>
      </c>
      <c r="Q180" s="207">
        <f t="shared" si="76"/>
        <v>120067265.37000036</v>
      </c>
      <c r="R180" s="77"/>
      <c r="S180" s="77"/>
      <c r="T180" s="77"/>
      <c r="U180" s="214"/>
      <c r="V180" s="77"/>
      <c r="W180" s="77"/>
      <c r="X180" s="77"/>
      <c r="Y180" s="77"/>
      <c r="Z180" s="77"/>
      <c r="AA180" s="77"/>
      <c r="AB180" s="77"/>
      <c r="AC180" s="77"/>
      <c r="AD180" s="77"/>
      <c r="AE180" s="77"/>
      <c r="AF180" s="77"/>
      <c r="AG180" s="77"/>
    </row>
    <row r="181" spans="1:33" ht="11.7" customHeight="1" outlineLevel="1" x14ac:dyDescent="0.2">
      <c r="A181" s="1"/>
      <c r="B181" s="212"/>
      <c r="C181" s="750" t="str">
        <f>C$22</f>
        <v>User Charges &amp; Fees</v>
      </c>
      <c r="D181" s="307"/>
      <c r="E181" s="307"/>
      <c r="F181" s="207">
        <f t="shared" ref="F181:Q181" si="77">F22-F75</f>
        <v>0</v>
      </c>
      <c r="G181" s="207">
        <f t="shared" si="77"/>
        <v>0</v>
      </c>
      <c r="H181" s="207">
        <f t="shared" si="77"/>
        <v>0</v>
      </c>
      <c r="I181" s="207">
        <f t="shared" si="77"/>
        <v>0</v>
      </c>
      <c r="J181" s="207">
        <f t="shared" si="77"/>
        <v>0</v>
      </c>
      <c r="K181" s="207">
        <f t="shared" si="77"/>
        <v>0</v>
      </c>
      <c r="L181" s="207">
        <f t="shared" si="77"/>
        <v>0</v>
      </c>
      <c r="M181" s="207">
        <f t="shared" si="77"/>
        <v>0</v>
      </c>
      <c r="N181" s="207">
        <f t="shared" si="77"/>
        <v>0</v>
      </c>
      <c r="O181" s="207">
        <f t="shared" si="77"/>
        <v>0</v>
      </c>
      <c r="P181" s="207">
        <f t="shared" si="77"/>
        <v>0</v>
      </c>
      <c r="Q181" s="207">
        <f t="shared" si="77"/>
        <v>0</v>
      </c>
      <c r="R181" s="77"/>
      <c r="S181" s="77"/>
      <c r="T181" s="77"/>
      <c r="U181" s="214"/>
      <c r="V181" s="77"/>
      <c r="W181" s="77"/>
      <c r="X181" s="77"/>
      <c r="Y181" s="77"/>
      <c r="Z181" s="77"/>
      <c r="AA181" s="77"/>
      <c r="AB181" s="77"/>
      <c r="AC181" s="77"/>
      <c r="AD181" s="77"/>
      <c r="AE181" s="77"/>
      <c r="AF181" s="77"/>
      <c r="AG181" s="77"/>
    </row>
    <row r="182" spans="1:33" ht="11.7" customHeight="1" outlineLevel="1" x14ac:dyDescent="0.2">
      <c r="A182" s="1"/>
      <c r="B182" s="212"/>
      <c r="C182" s="750" t="str">
        <f>C$23</f>
        <v>Interest &amp; Investment Revenue</v>
      </c>
      <c r="D182" s="307"/>
      <c r="E182" s="307"/>
      <c r="F182" s="207">
        <f t="shared" ref="F182:Q182" si="78">F23-F76</f>
        <v>0</v>
      </c>
      <c r="G182" s="207">
        <f t="shared" si="78"/>
        <v>0</v>
      </c>
      <c r="H182" s="207">
        <f t="shared" si="78"/>
        <v>0</v>
      </c>
      <c r="I182" s="207">
        <f t="shared" si="78"/>
        <v>0</v>
      </c>
      <c r="J182" s="207">
        <f t="shared" si="78"/>
        <v>0</v>
      </c>
      <c r="K182" s="207">
        <f t="shared" si="78"/>
        <v>0</v>
      </c>
      <c r="L182" s="207">
        <f t="shared" si="78"/>
        <v>0</v>
      </c>
      <c r="M182" s="207">
        <f t="shared" si="78"/>
        <v>0</v>
      </c>
      <c r="N182" s="207">
        <f t="shared" si="78"/>
        <v>0</v>
      </c>
      <c r="O182" s="207">
        <f t="shared" si="78"/>
        <v>0</v>
      </c>
      <c r="P182" s="207">
        <f t="shared" si="78"/>
        <v>0</v>
      </c>
      <c r="Q182" s="207">
        <f t="shared" si="78"/>
        <v>0</v>
      </c>
      <c r="R182" s="77"/>
      <c r="S182" s="77"/>
      <c r="T182" s="77"/>
      <c r="U182" s="214"/>
      <c r="V182" s="77"/>
      <c r="W182" s="77"/>
      <c r="X182" s="77"/>
      <c r="Y182" s="77"/>
      <c r="Z182" s="77"/>
      <c r="AA182" s="77"/>
      <c r="AB182" s="77"/>
      <c r="AC182" s="77"/>
      <c r="AD182" s="77"/>
      <c r="AE182" s="77"/>
      <c r="AF182" s="77"/>
      <c r="AG182" s="77"/>
    </row>
    <row r="183" spans="1:33" ht="11.7" customHeight="1" outlineLevel="1" x14ac:dyDescent="0.2">
      <c r="A183" s="1"/>
      <c r="B183" s="212"/>
      <c r="C183" s="750" t="str">
        <f>C$24</f>
        <v>Other Revenues</v>
      </c>
      <c r="D183" s="307"/>
      <c r="E183" s="307"/>
      <c r="F183" s="207">
        <f t="shared" ref="F183:Q183" si="79">F24-F77</f>
        <v>0</v>
      </c>
      <c r="G183" s="207">
        <f t="shared" si="79"/>
        <v>0</v>
      </c>
      <c r="H183" s="207">
        <f t="shared" si="79"/>
        <v>0</v>
      </c>
      <c r="I183" s="207">
        <f t="shared" si="79"/>
        <v>0</v>
      </c>
      <c r="J183" s="207">
        <f t="shared" si="79"/>
        <v>0</v>
      </c>
      <c r="K183" s="207">
        <f t="shared" si="79"/>
        <v>0</v>
      </c>
      <c r="L183" s="207">
        <f t="shared" si="79"/>
        <v>0</v>
      </c>
      <c r="M183" s="207">
        <f t="shared" si="79"/>
        <v>0</v>
      </c>
      <c r="N183" s="207">
        <f t="shared" si="79"/>
        <v>0</v>
      </c>
      <c r="O183" s="207">
        <f t="shared" si="79"/>
        <v>0</v>
      </c>
      <c r="P183" s="207">
        <f t="shared" si="79"/>
        <v>0</v>
      </c>
      <c r="Q183" s="207">
        <f t="shared" si="79"/>
        <v>0</v>
      </c>
      <c r="R183" s="77"/>
      <c r="S183" s="77"/>
      <c r="T183" s="77"/>
      <c r="U183" s="214"/>
      <c r="V183" s="77"/>
      <c r="W183" s="77"/>
      <c r="X183" s="77"/>
      <c r="Y183" s="77"/>
      <c r="Z183" s="77"/>
      <c r="AA183" s="77"/>
      <c r="AB183" s="77"/>
      <c r="AC183" s="77"/>
      <c r="AD183" s="77"/>
      <c r="AE183" s="77"/>
      <c r="AF183" s="77"/>
      <c r="AG183" s="77"/>
    </row>
    <row r="184" spans="1:33" ht="11.7" customHeight="1" outlineLevel="1" x14ac:dyDescent="0.2">
      <c r="A184" s="1"/>
      <c r="B184" s="212"/>
      <c r="C184" s="750" t="str">
        <f>C$25</f>
        <v>Grants &amp; Contributions Op Purposes</v>
      </c>
      <c r="D184" s="307"/>
      <c r="E184" s="307"/>
      <c r="F184" s="207">
        <f t="shared" ref="F184:Q184" si="80">F25-F78</f>
        <v>0</v>
      </c>
      <c r="G184" s="207">
        <f t="shared" si="80"/>
        <v>0</v>
      </c>
      <c r="H184" s="207">
        <f t="shared" si="80"/>
        <v>0</v>
      </c>
      <c r="I184" s="207">
        <f t="shared" si="80"/>
        <v>0</v>
      </c>
      <c r="J184" s="207">
        <f t="shared" si="80"/>
        <v>0</v>
      </c>
      <c r="K184" s="207">
        <f t="shared" si="80"/>
        <v>0</v>
      </c>
      <c r="L184" s="207">
        <f t="shared" si="80"/>
        <v>0</v>
      </c>
      <c r="M184" s="207">
        <f t="shared" si="80"/>
        <v>0</v>
      </c>
      <c r="N184" s="207">
        <f t="shared" si="80"/>
        <v>0</v>
      </c>
      <c r="O184" s="207">
        <f t="shared" si="80"/>
        <v>0</v>
      </c>
      <c r="P184" s="207">
        <f t="shared" si="80"/>
        <v>0</v>
      </c>
      <c r="Q184" s="207">
        <f t="shared" si="80"/>
        <v>0</v>
      </c>
      <c r="R184" s="77"/>
      <c r="S184" s="77"/>
      <c r="T184" s="77"/>
      <c r="U184" s="214"/>
      <c r="V184" s="77"/>
      <c r="W184" s="77"/>
      <c r="X184" s="77"/>
      <c r="Y184" s="77"/>
      <c r="Z184" s="77"/>
      <c r="AA184" s="77"/>
      <c r="AB184" s="77"/>
      <c r="AC184" s="77"/>
      <c r="AD184" s="77"/>
      <c r="AE184" s="77"/>
      <c r="AF184" s="77"/>
      <c r="AG184" s="77"/>
    </row>
    <row r="185" spans="1:33" ht="11.7" customHeight="1" outlineLevel="1" x14ac:dyDescent="0.2">
      <c r="A185" s="1"/>
      <c r="B185" s="212"/>
      <c r="C185" s="750" t="str">
        <f>C$26</f>
        <v>Grants &amp; Contributions Capital Purposes</v>
      </c>
      <c r="D185" s="307"/>
      <c r="E185" s="307"/>
      <c r="F185" s="207">
        <f t="shared" ref="F185:Q185" si="81">F26-F79</f>
        <v>0</v>
      </c>
      <c r="G185" s="207">
        <f t="shared" si="81"/>
        <v>0</v>
      </c>
      <c r="H185" s="207">
        <f t="shared" si="81"/>
        <v>0</v>
      </c>
      <c r="I185" s="207">
        <f t="shared" si="81"/>
        <v>0</v>
      </c>
      <c r="J185" s="207">
        <f t="shared" si="81"/>
        <v>0</v>
      </c>
      <c r="K185" s="207">
        <f t="shared" si="81"/>
        <v>0</v>
      </c>
      <c r="L185" s="207">
        <f t="shared" si="81"/>
        <v>0</v>
      </c>
      <c r="M185" s="207">
        <f t="shared" si="81"/>
        <v>0</v>
      </c>
      <c r="N185" s="207">
        <f t="shared" si="81"/>
        <v>0</v>
      </c>
      <c r="O185" s="207">
        <f t="shared" si="81"/>
        <v>0</v>
      </c>
      <c r="P185" s="207">
        <f t="shared" si="81"/>
        <v>0</v>
      </c>
      <c r="Q185" s="207">
        <f t="shared" si="81"/>
        <v>0</v>
      </c>
      <c r="R185" s="77"/>
      <c r="S185" s="77"/>
      <c r="T185" s="77"/>
      <c r="U185" s="214"/>
      <c r="V185" s="77"/>
      <c r="W185" s="77"/>
      <c r="X185" s="77"/>
      <c r="Y185" s="77"/>
      <c r="Z185" s="77"/>
      <c r="AA185" s="77"/>
      <c r="AB185" s="77"/>
      <c r="AC185" s="77"/>
      <c r="AD185" s="77"/>
      <c r="AE185" s="77"/>
      <c r="AF185" s="77"/>
      <c r="AG185" s="77"/>
    </row>
    <row r="186" spans="1:33" ht="11.7" customHeight="1" outlineLevel="1" x14ac:dyDescent="0.2">
      <c r="A186" s="1"/>
      <c r="B186" s="212"/>
      <c r="C186" s="334" t="str">
        <f>C$27</f>
        <v>&lt;include additional items here&gt;</v>
      </c>
      <c r="D186" s="307"/>
      <c r="E186" s="307"/>
      <c r="F186" s="207">
        <f t="shared" ref="F186:Q186" si="82">F27-F80</f>
        <v>0</v>
      </c>
      <c r="G186" s="207">
        <f t="shared" si="82"/>
        <v>0</v>
      </c>
      <c r="H186" s="207">
        <f t="shared" si="82"/>
        <v>0</v>
      </c>
      <c r="I186" s="207">
        <f t="shared" si="82"/>
        <v>0</v>
      </c>
      <c r="J186" s="207">
        <f t="shared" si="82"/>
        <v>0</v>
      </c>
      <c r="K186" s="207">
        <f t="shared" si="82"/>
        <v>0</v>
      </c>
      <c r="L186" s="207">
        <f t="shared" si="82"/>
        <v>0</v>
      </c>
      <c r="M186" s="207">
        <f t="shared" si="82"/>
        <v>0</v>
      </c>
      <c r="N186" s="207">
        <f t="shared" si="82"/>
        <v>0</v>
      </c>
      <c r="O186" s="207">
        <f t="shared" si="82"/>
        <v>0</v>
      </c>
      <c r="P186" s="207">
        <f t="shared" si="82"/>
        <v>0</v>
      </c>
      <c r="Q186" s="207">
        <f t="shared" si="82"/>
        <v>0</v>
      </c>
      <c r="R186" s="77"/>
      <c r="S186" s="77"/>
      <c r="T186" s="77"/>
      <c r="U186" s="214"/>
      <c r="V186" s="77"/>
      <c r="W186" s="77"/>
      <c r="X186" s="77"/>
      <c r="Y186" s="77"/>
      <c r="Z186" s="77"/>
      <c r="AA186" s="77"/>
      <c r="AB186" s="77"/>
      <c r="AC186" s="77"/>
      <c r="AD186" s="77"/>
      <c r="AE186" s="77"/>
      <c r="AF186" s="77"/>
      <c r="AG186" s="77"/>
    </row>
    <row r="187" spans="1:33" ht="11.7" customHeight="1" outlineLevel="1" x14ac:dyDescent="0.2">
      <c r="A187" s="1"/>
      <c r="B187" s="212"/>
      <c r="C187" s="970" t="str">
        <f>C$28</f>
        <v>Other Income (items excluded from ratio analyis)</v>
      </c>
      <c r="D187" s="1"/>
      <c r="E187" s="1"/>
      <c r="F187" s="207"/>
      <c r="G187" s="207"/>
      <c r="H187" s="207"/>
      <c r="I187" s="207"/>
      <c r="J187" s="207"/>
      <c r="K187" s="207"/>
      <c r="L187" s="207"/>
      <c r="M187" s="207"/>
      <c r="N187" s="207"/>
      <c r="O187" s="207"/>
      <c r="P187" s="207"/>
      <c r="Q187" s="207"/>
      <c r="R187" s="77"/>
      <c r="S187" s="77"/>
      <c r="T187" s="77"/>
      <c r="U187" s="214"/>
      <c r="V187" s="77"/>
      <c r="W187" s="77"/>
      <c r="X187" s="77"/>
      <c r="Y187" s="77"/>
      <c r="Z187" s="77"/>
      <c r="AA187" s="77"/>
      <c r="AB187" s="77"/>
      <c r="AC187" s="77"/>
      <c r="AD187" s="77"/>
      <c r="AE187" s="77"/>
      <c r="AF187" s="77"/>
      <c r="AG187" s="77"/>
    </row>
    <row r="188" spans="1:33" ht="11.7" customHeight="1" outlineLevel="1" x14ac:dyDescent="0.2">
      <c r="A188" s="1"/>
      <c r="B188" s="212"/>
      <c r="C188" s="334" t="str">
        <f>C$29</f>
        <v>Net share of profit  on joint ventures</v>
      </c>
      <c r="D188" s="307"/>
      <c r="E188" s="307"/>
      <c r="F188" s="207">
        <f t="shared" ref="F188:Q188" si="83">F29-F82</f>
        <v>0</v>
      </c>
      <c r="G188" s="207">
        <f t="shared" si="83"/>
        <v>0</v>
      </c>
      <c r="H188" s="207">
        <f t="shared" si="83"/>
        <v>0</v>
      </c>
      <c r="I188" s="207">
        <f t="shared" si="83"/>
        <v>0</v>
      </c>
      <c r="J188" s="207">
        <f t="shared" si="83"/>
        <v>0</v>
      </c>
      <c r="K188" s="207">
        <f t="shared" si="83"/>
        <v>0</v>
      </c>
      <c r="L188" s="207">
        <f t="shared" si="83"/>
        <v>0</v>
      </c>
      <c r="M188" s="207">
        <f t="shared" si="83"/>
        <v>0</v>
      </c>
      <c r="N188" s="207">
        <f t="shared" si="83"/>
        <v>0</v>
      </c>
      <c r="O188" s="207">
        <f t="shared" si="83"/>
        <v>0</v>
      </c>
      <c r="P188" s="207">
        <f t="shared" si="83"/>
        <v>0</v>
      </c>
      <c r="Q188" s="207">
        <f t="shared" si="83"/>
        <v>0</v>
      </c>
      <c r="R188" s="77"/>
      <c r="S188" s="77"/>
      <c r="T188" s="77"/>
      <c r="U188" s="214"/>
      <c r="V188" s="77"/>
      <c r="W188" s="77"/>
      <c r="X188" s="77"/>
      <c r="Y188" s="77"/>
      <c r="Z188" s="77"/>
      <c r="AA188" s="77"/>
      <c r="AB188" s="77"/>
      <c r="AC188" s="77"/>
      <c r="AD188" s="77"/>
      <c r="AE188" s="77"/>
      <c r="AF188" s="77"/>
      <c r="AG188" s="77"/>
    </row>
    <row r="189" spans="1:33" ht="11.7" customHeight="1" outlineLevel="1" x14ac:dyDescent="0.2">
      <c r="A189" s="1"/>
      <c r="B189" s="212"/>
      <c r="C189" s="334" t="str">
        <f>C$30</f>
        <v>Fair value gains</v>
      </c>
      <c r="D189" s="307"/>
      <c r="E189" s="307"/>
      <c r="F189" s="207">
        <f t="shared" ref="F189:Q189" si="84">F30-F83</f>
        <v>0</v>
      </c>
      <c r="G189" s="207">
        <f t="shared" si="84"/>
        <v>0</v>
      </c>
      <c r="H189" s="207">
        <f t="shared" si="84"/>
        <v>0</v>
      </c>
      <c r="I189" s="207">
        <f t="shared" si="84"/>
        <v>0</v>
      </c>
      <c r="J189" s="207">
        <f t="shared" si="84"/>
        <v>0</v>
      </c>
      <c r="K189" s="207">
        <f t="shared" si="84"/>
        <v>0</v>
      </c>
      <c r="L189" s="207">
        <f t="shared" si="84"/>
        <v>0</v>
      </c>
      <c r="M189" s="207">
        <f t="shared" si="84"/>
        <v>0</v>
      </c>
      <c r="N189" s="207">
        <f t="shared" si="84"/>
        <v>0</v>
      </c>
      <c r="O189" s="207">
        <f t="shared" si="84"/>
        <v>0</v>
      </c>
      <c r="P189" s="207">
        <f t="shared" si="84"/>
        <v>0</v>
      </c>
      <c r="Q189" s="207">
        <f t="shared" si="84"/>
        <v>0</v>
      </c>
      <c r="R189" s="77"/>
      <c r="S189" s="77"/>
      <c r="T189" s="77"/>
      <c r="U189" s="214"/>
      <c r="V189" s="77"/>
      <c r="W189" s="77"/>
      <c r="X189" s="77"/>
      <c r="Y189" s="77"/>
      <c r="Z189" s="77"/>
      <c r="AA189" s="77"/>
      <c r="AB189" s="77"/>
      <c r="AC189" s="77"/>
      <c r="AD189" s="77"/>
      <c r="AE189" s="77"/>
      <c r="AF189" s="77"/>
      <c r="AG189" s="77"/>
    </row>
    <row r="190" spans="1:33" ht="11.7" customHeight="1" outlineLevel="1" x14ac:dyDescent="0.2">
      <c r="A190" s="1"/>
      <c r="B190" s="212"/>
      <c r="C190" s="334" t="str">
        <f>C$31</f>
        <v>Net gains from disposal of assets</v>
      </c>
      <c r="D190" s="307"/>
      <c r="E190" s="307"/>
      <c r="F190" s="207">
        <f t="shared" ref="F190:Q190" si="85">F31-F84</f>
        <v>0</v>
      </c>
      <c r="G190" s="207">
        <f t="shared" si="85"/>
        <v>0</v>
      </c>
      <c r="H190" s="207">
        <f t="shared" si="85"/>
        <v>0</v>
      </c>
      <c r="I190" s="207">
        <f t="shared" si="85"/>
        <v>0</v>
      </c>
      <c r="J190" s="207">
        <f t="shared" si="85"/>
        <v>0</v>
      </c>
      <c r="K190" s="207">
        <f t="shared" si="85"/>
        <v>0</v>
      </c>
      <c r="L190" s="207">
        <f t="shared" si="85"/>
        <v>0</v>
      </c>
      <c r="M190" s="207">
        <f t="shared" si="85"/>
        <v>0</v>
      </c>
      <c r="N190" s="207">
        <f t="shared" si="85"/>
        <v>0</v>
      </c>
      <c r="O190" s="207">
        <f t="shared" si="85"/>
        <v>0</v>
      </c>
      <c r="P190" s="207">
        <f t="shared" si="85"/>
        <v>0</v>
      </c>
      <c r="Q190" s="207">
        <f t="shared" si="85"/>
        <v>0</v>
      </c>
      <c r="R190" s="77"/>
      <c r="S190" s="77"/>
      <c r="T190" s="77"/>
      <c r="U190" s="214"/>
      <c r="V190" s="77"/>
      <c r="W190" s="77"/>
      <c r="X190" s="77"/>
      <c r="Y190" s="77"/>
      <c r="Z190" s="77"/>
      <c r="AA190" s="77"/>
      <c r="AB190" s="77"/>
      <c r="AC190" s="77"/>
      <c r="AD190" s="77"/>
      <c r="AE190" s="77"/>
      <c r="AF190" s="77"/>
      <c r="AG190" s="77"/>
    </row>
    <row r="191" spans="1:33" ht="11.7" customHeight="1" outlineLevel="1" x14ac:dyDescent="0.2">
      <c r="A191" s="1"/>
      <c r="B191" s="212"/>
      <c r="C191" s="334"/>
      <c r="D191" s="1"/>
      <c r="E191" s="1"/>
      <c r="F191" s="576"/>
      <c r="G191" s="576"/>
      <c r="H191" s="576"/>
      <c r="I191" s="576"/>
      <c r="J191" s="576"/>
      <c r="K191" s="576"/>
      <c r="L191" s="576"/>
      <c r="M191" s="576"/>
      <c r="N191" s="576"/>
      <c r="O191" s="576"/>
      <c r="P191" s="576"/>
      <c r="Q191" s="576"/>
      <c r="R191" s="77"/>
      <c r="S191" s="77"/>
      <c r="T191" s="77"/>
      <c r="U191" s="214"/>
      <c r="V191" s="77"/>
      <c r="W191" s="77"/>
      <c r="X191" s="77"/>
      <c r="Y191" s="77"/>
      <c r="Z191" s="77"/>
      <c r="AA191" s="77"/>
      <c r="AB191" s="77"/>
      <c r="AC191" s="77"/>
      <c r="AD191" s="77"/>
      <c r="AE191" s="77"/>
      <c r="AF191" s="77"/>
      <c r="AG191" s="77"/>
    </row>
    <row r="192" spans="1:33" ht="11.7" customHeight="1" outlineLevel="1" x14ac:dyDescent="0.25">
      <c r="A192" s="1"/>
      <c r="B192" s="212"/>
      <c r="C192" s="737" t="str">
        <f>C$33</f>
        <v>Total Income Continuing Operations</v>
      </c>
      <c r="D192" s="307"/>
      <c r="E192" s="307"/>
      <c r="F192" s="297">
        <f t="shared" ref="F192:Q192" si="86">F33-F86</f>
        <v>0</v>
      </c>
      <c r="G192" s="297">
        <f t="shared" si="86"/>
        <v>3462604.8799999654</v>
      </c>
      <c r="H192" s="297">
        <f t="shared" si="86"/>
        <v>6850688.4899999201</v>
      </c>
      <c r="I192" s="297">
        <f t="shared" si="86"/>
        <v>10129129.859999925</v>
      </c>
      <c r="J192" s="297">
        <f t="shared" si="86"/>
        <v>13187495.740000039</v>
      </c>
      <c r="K192" s="297">
        <f t="shared" si="86"/>
        <v>13517183.130000025</v>
      </c>
      <c r="L192" s="297">
        <f t="shared" si="86"/>
        <v>13855112.669999957</v>
      </c>
      <c r="M192" s="297">
        <f t="shared" si="86"/>
        <v>14201490.540000051</v>
      </c>
      <c r="N192" s="297">
        <f t="shared" si="86"/>
        <v>14556527.789999962</v>
      </c>
      <c r="O192" s="297">
        <f t="shared" si="86"/>
        <v>14920440.960000038</v>
      </c>
      <c r="P192" s="297">
        <f t="shared" si="86"/>
        <v>15386591.310000062</v>
      </c>
      <c r="Q192" s="297">
        <f t="shared" si="86"/>
        <v>120067265.36999989</v>
      </c>
      <c r="R192" s="77"/>
      <c r="S192" s="77"/>
      <c r="T192" s="77"/>
      <c r="U192" s="214"/>
      <c r="V192" s="77"/>
      <c r="W192" s="77"/>
      <c r="X192" s="77"/>
      <c r="Y192" s="77"/>
      <c r="Z192" s="77"/>
      <c r="AA192" s="77"/>
      <c r="AB192" s="77"/>
      <c r="AC192" s="77"/>
      <c r="AD192" s="77"/>
      <c r="AE192" s="77"/>
      <c r="AF192" s="77"/>
      <c r="AG192" s="77"/>
    </row>
    <row r="193" spans="1:33" ht="11.7" customHeight="1" outlineLevel="1" x14ac:dyDescent="0.25">
      <c r="A193" s="1"/>
      <c r="B193" s="212"/>
      <c r="C193" s="405"/>
      <c r="D193" s="307"/>
      <c r="E193" s="307"/>
      <c r="F193" s="207"/>
      <c r="G193" s="207"/>
      <c r="H193" s="207"/>
      <c r="I193" s="207"/>
      <c r="J193" s="207"/>
      <c r="K193" s="207"/>
      <c r="L193" s="207"/>
      <c r="M193" s="207"/>
      <c r="N193" s="207"/>
      <c r="O193" s="207"/>
      <c r="P193" s="207"/>
      <c r="Q193" s="207"/>
      <c r="R193" s="77"/>
      <c r="S193" s="77"/>
      <c r="T193" s="77"/>
      <c r="U193" s="214"/>
      <c r="V193" s="77"/>
      <c r="W193" s="77"/>
      <c r="X193" s="77"/>
      <c r="Y193" s="77"/>
      <c r="Z193" s="77"/>
      <c r="AA193" s="77"/>
      <c r="AB193" s="77"/>
      <c r="AC193" s="77"/>
      <c r="AD193" s="77"/>
      <c r="AE193" s="77"/>
      <c r="AF193" s="77"/>
      <c r="AG193" s="77"/>
    </row>
    <row r="194" spans="1:33" ht="23.25" customHeight="1" outlineLevel="1" x14ac:dyDescent="0.25">
      <c r="A194" s="1"/>
      <c r="B194" s="212"/>
      <c r="C194" s="895" t="str">
        <f>C$35</f>
        <v>Income excluding capital grants and contributions</v>
      </c>
      <c r="D194" s="307"/>
      <c r="E194" s="307"/>
      <c r="F194" s="207">
        <f t="shared" ref="F194:Q194" si="87">F35-F88</f>
        <v>0</v>
      </c>
      <c r="G194" s="207">
        <f t="shared" si="87"/>
        <v>3462604.8799999654</v>
      </c>
      <c r="H194" s="207">
        <f t="shared" si="87"/>
        <v>6850688.4899999201</v>
      </c>
      <c r="I194" s="207">
        <f t="shared" si="87"/>
        <v>10129129.859999925</v>
      </c>
      <c r="J194" s="207">
        <f t="shared" si="87"/>
        <v>13187495.740000039</v>
      </c>
      <c r="K194" s="207">
        <f t="shared" si="87"/>
        <v>13517183.130000025</v>
      </c>
      <c r="L194" s="207">
        <f t="shared" si="87"/>
        <v>13855112.669999957</v>
      </c>
      <c r="M194" s="207">
        <f t="shared" si="87"/>
        <v>14201490.540000051</v>
      </c>
      <c r="N194" s="207">
        <f t="shared" si="87"/>
        <v>14556527.789999962</v>
      </c>
      <c r="O194" s="207">
        <f t="shared" si="87"/>
        <v>14920440.960000038</v>
      </c>
      <c r="P194" s="207">
        <f t="shared" si="87"/>
        <v>15386591.310000062</v>
      </c>
      <c r="Q194" s="207">
        <f t="shared" si="87"/>
        <v>120067265.36999989</v>
      </c>
      <c r="R194" s="77"/>
      <c r="S194" s="77"/>
      <c r="T194" s="77"/>
      <c r="U194" s="214"/>
      <c r="V194" s="77"/>
      <c r="W194" s="77"/>
      <c r="X194" s="77"/>
      <c r="Y194" s="77"/>
      <c r="Z194" s="77"/>
      <c r="AA194" s="77"/>
      <c r="AB194" s="77"/>
      <c r="AC194" s="77"/>
      <c r="AD194" s="77"/>
      <c r="AE194" s="77"/>
      <c r="AF194" s="77"/>
      <c r="AG194" s="77"/>
    </row>
    <row r="195" spans="1:33" ht="11.7" customHeight="1" outlineLevel="1" x14ac:dyDescent="0.25">
      <c r="A195" s="1"/>
      <c r="B195" s="212"/>
      <c r="C195" s="405"/>
      <c r="D195" s="307"/>
      <c r="E195" s="307"/>
      <c r="F195" s="207"/>
      <c r="G195" s="207"/>
      <c r="H195" s="207"/>
      <c r="I195" s="207"/>
      <c r="J195" s="207"/>
      <c r="K195" s="207"/>
      <c r="L195" s="207"/>
      <c r="M195" s="207"/>
      <c r="N195" s="207"/>
      <c r="O195" s="207"/>
      <c r="P195" s="207"/>
      <c r="Q195" s="207"/>
      <c r="R195" s="77"/>
      <c r="S195" s="77"/>
      <c r="T195" s="77"/>
      <c r="U195" s="214"/>
      <c r="V195" s="77"/>
      <c r="W195" s="77"/>
      <c r="X195" s="77"/>
      <c r="Y195" s="77"/>
      <c r="Z195" s="77"/>
      <c r="AA195" s="77"/>
      <c r="AB195" s="77"/>
      <c r="AC195" s="77"/>
      <c r="AD195" s="77"/>
      <c r="AE195" s="77"/>
      <c r="AF195" s="77"/>
      <c r="AG195" s="77"/>
    </row>
    <row r="196" spans="1:33" ht="52.05" customHeight="1" outlineLevel="1" x14ac:dyDescent="0.2">
      <c r="A196" s="1"/>
      <c r="B196" s="212"/>
      <c r="C196" s="901" t="str">
        <f>C$37</f>
        <v>Income excluding capital grants and contributions, net gains from asset disposals, profit on joint ventures and fair value gains</v>
      </c>
      <c r="D196" s="307"/>
      <c r="E196" s="307"/>
      <c r="F196" s="207">
        <f t="shared" ref="F196:Q196" si="88">F37-F90</f>
        <v>0</v>
      </c>
      <c r="G196" s="207">
        <f t="shared" si="88"/>
        <v>3462604.8799999654</v>
      </c>
      <c r="H196" s="207">
        <f t="shared" si="88"/>
        <v>6850688.4899999201</v>
      </c>
      <c r="I196" s="207">
        <f t="shared" si="88"/>
        <v>10129129.859999925</v>
      </c>
      <c r="J196" s="207">
        <f t="shared" si="88"/>
        <v>13187495.740000039</v>
      </c>
      <c r="K196" s="207">
        <f t="shared" si="88"/>
        <v>13517183.130000025</v>
      </c>
      <c r="L196" s="207">
        <f t="shared" si="88"/>
        <v>13855112.669999957</v>
      </c>
      <c r="M196" s="207">
        <f t="shared" si="88"/>
        <v>14201490.540000051</v>
      </c>
      <c r="N196" s="207">
        <f t="shared" si="88"/>
        <v>14556527.789999962</v>
      </c>
      <c r="O196" s="207">
        <f t="shared" si="88"/>
        <v>14920440.960000038</v>
      </c>
      <c r="P196" s="207">
        <f t="shared" si="88"/>
        <v>15386591.310000062</v>
      </c>
      <c r="Q196" s="207">
        <f t="shared" si="88"/>
        <v>120067265.36999989</v>
      </c>
      <c r="R196" s="77"/>
      <c r="S196" s="77"/>
      <c r="T196" s="77"/>
      <c r="U196" s="214"/>
      <c r="V196" s="77"/>
      <c r="W196" s="77"/>
      <c r="X196" s="77"/>
      <c r="Y196" s="77"/>
      <c r="Z196" s="77"/>
      <c r="AA196" s="77"/>
      <c r="AB196" s="77"/>
      <c r="AC196" s="77"/>
      <c r="AD196" s="77"/>
      <c r="AE196" s="77"/>
      <c r="AF196" s="77"/>
      <c r="AG196" s="77"/>
    </row>
    <row r="197" spans="1:33" ht="11.25" customHeight="1" outlineLevel="1" x14ac:dyDescent="0.2">
      <c r="A197" s="1"/>
      <c r="B197" s="212"/>
      <c r="C197" s="428"/>
      <c r="D197" s="1"/>
      <c r="E197" s="1"/>
      <c r="F197" s="576"/>
      <c r="G197" s="576"/>
      <c r="H197" s="576"/>
      <c r="I197" s="576"/>
      <c r="J197" s="576"/>
      <c r="K197" s="576"/>
      <c r="L197" s="576"/>
      <c r="M197" s="576"/>
      <c r="N197" s="576"/>
      <c r="O197" s="576"/>
      <c r="P197" s="576"/>
      <c r="Q197" s="576"/>
      <c r="R197" s="77"/>
      <c r="S197" s="77"/>
      <c r="T197" s="77"/>
      <c r="U197" s="214"/>
      <c r="V197" s="77"/>
      <c r="W197" s="77"/>
      <c r="X197" s="77"/>
      <c r="Y197" s="77"/>
      <c r="Z197" s="77"/>
      <c r="AA197" s="77"/>
      <c r="AB197" s="77"/>
      <c r="AC197" s="77"/>
      <c r="AD197" s="77"/>
      <c r="AE197" s="77"/>
      <c r="AF197" s="77"/>
      <c r="AG197" s="77"/>
    </row>
    <row r="198" spans="1:33" customFormat="1" ht="11.7" customHeight="1" outlineLevel="1" x14ac:dyDescent="0.25">
      <c r="A198" s="1"/>
      <c r="B198" s="212"/>
      <c r="C198" s="665" t="str">
        <f>C$39</f>
        <v>Expenses from continuing operations</v>
      </c>
      <c r="D198" s="738"/>
      <c r="E198" s="738"/>
      <c r="F198" s="738"/>
      <c r="G198" s="327"/>
      <c r="H198" s="738"/>
      <c r="I198" s="777"/>
      <c r="J198" s="79"/>
      <c r="K198" s="79"/>
      <c r="L198" s="79"/>
      <c r="M198" s="79"/>
      <c r="N198" s="79"/>
      <c r="O198" s="79"/>
      <c r="P198" s="79"/>
      <c r="Q198" s="564"/>
      <c r="R198" s="77"/>
      <c r="S198" s="77"/>
      <c r="T198" s="77"/>
      <c r="U198" s="214"/>
      <c r="V198" s="77"/>
      <c r="W198" s="3"/>
      <c r="X198" s="3"/>
      <c r="Y198" s="3"/>
      <c r="Z198" s="3"/>
      <c r="AA198" s="3"/>
      <c r="AB198" s="3"/>
      <c r="AC198" s="3"/>
      <c r="AD198" s="3"/>
      <c r="AE198" s="3"/>
      <c r="AF198" s="3"/>
      <c r="AG198" s="3"/>
    </row>
    <row r="199" spans="1:33" ht="11.7" customHeight="1" outlineLevel="1" x14ac:dyDescent="0.2">
      <c r="A199" s="1"/>
      <c r="B199" s="212"/>
      <c r="C199" s="428"/>
      <c r="D199" s="1"/>
      <c r="E199" s="1"/>
      <c r="F199" s="576"/>
      <c r="G199" s="576"/>
      <c r="H199" s="576"/>
      <c r="I199" s="576"/>
      <c r="J199" s="576"/>
      <c r="K199" s="576"/>
      <c r="L199" s="576"/>
      <c r="M199" s="576"/>
      <c r="N199" s="576"/>
      <c r="O199" s="576"/>
      <c r="P199" s="576"/>
      <c r="Q199" s="576"/>
      <c r="R199" s="77"/>
      <c r="S199" s="77"/>
      <c r="T199" s="77"/>
      <c r="U199" s="214"/>
      <c r="V199" s="77"/>
      <c r="W199" s="77"/>
      <c r="X199" s="77"/>
      <c r="Y199" s="77"/>
      <c r="Z199" s="77"/>
      <c r="AA199" s="77"/>
      <c r="AB199" s="77"/>
      <c r="AC199" s="77"/>
      <c r="AD199" s="77"/>
      <c r="AE199" s="77"/>
      <c r="AF199" s="77"/>
      <c r="AG199" s="77"/>
    </row>
    <row r="200" spans="1:33" ht="11.7" customHeight="1" outlineLevel="1" x14ac:dyDescent="0.2">
      <c r="A200" s="1"/>
      <c r="B200" s="212"/>
      <c r="C200" s="750" t="str">
        <f>C$41</f>
        <v>Employee Benefits &amp; On-costs</v>
      </c>
      <c r="D200" s="307"/>
      <c r="E200" s="305"/>
      <c r="F200" s="207">
        <f t="shared" ref="F200:Q200" si="89">F41-F94</f>
        <v>0</v>
      </c>
      <c r="G200" s="207">
        <f t="shared" si="89"/>
        <v>160000</v>
      </c>
      <c r="H200" s="207">
        <f t="shared" si="89"/>
        <v>160000</v>
      </c>
      <c r="I200" s="207">
        <f t="shared" si="89"/>
        <v>160000</v>
      </c>
      <c r="J200" s="207">
        <f t="shared" si="89"/>
        <v>0</v>
      </c>
      <c r="K200" s="207">
        <f t="shared" si="89"/>
        <v>0</v>
      </c>
      <c r="L200" s="207">
        <f t="shared" si="89"/>
        <v>0</v>
      </c>
      <c r="M200" s="207">
        <f t="shared" si="89"/>
        <v>0</v>
      </c>
      <c r="N200" s="207">
        <f t="shared" si="89"/>
        <v>0</v>
      </c>
      <c r="O200" s="207">
        <f t="shared" si="89"/>
        <v>0</v>
      </c>
      <c r="P200" s="207">
        <f t="shared" si="89"/>
        <v>0</v>
      </c>
      <c r="Q200" s="207">
        <f t="shared" si="89"/>
        <v>480000</v>
      </c>
      <c r="R200" s="77"/>
      <c r="S200" s="77"/>
      <c r="T200" s="77"/>
      <c r="U200" s="214"/>
      <c r="V200" s="77"/>
      <c r="W200" s="77"/>
      <c r="X200" s="77"/>
      <c r="Y200" s="77"/>
      <c r="Z200" s="77"/>
      <c r="AA200" s="77"/>
      <c r="AB200" s="77"/>
      <c r="AC200" s="77"/>
      <c r="AD200" s="77"/>
      <c r="AE200" s="77"/>
      <c r="AF200" s="77"/>
      <c r="AG200" s="77"/>
    </row>
    <row r="201" spans="1:33" ht="11.7" customHeight="1" outlineLevel="1" x14ac:dyDescent="0.2">
      <c r="A201" s="1"/>
      <c r="B201" s="212"/>
      <c r="C201" s="750" t="str">
        <f>C$42</f>
        <v>Borrowing Costs (i.e. interest costs)</v>
      </c>
      <c r="D201" s="307"/>
      <c r="E201" s="305"/>
      <c r="F201" s="207">
        <f t="shared" ref="F201:Q201" si="90">F42-F95</f>
        <v>0</v>
      </c>
      <c r="G201" s="207">
        <f t="shared" si="90"/>
        <v>0</v>
      </c>
      <c r="H201" s="207">
        <f t="shared" si="90"/>
        <v>0</v>
      </c>
      <c r="I201" s="207">
        <f t="shared" si="90"/>
        <v>0</v>
      </c>
      <c r="J201" s="207">
        <f t="shared" si="90"/>
        <v>0</v>
      </c>
      <c r="K201" s="207">
        <f t="shared" si="90"/>
        <v>0</v>
      </c>
      <c r="L201" s="207">
        <f t="shared" si="90"/>
        <v>0</v>
      </c>
      <c r="M201" s="207">
        <f t="shared" si="90"/>
        <v>0</v>
      </c>
      <c r="N201" s="207">
        <f t="shared" si="90"/>
        <v>0</v>
      </c>
      <c r="O201" s="207">
        <f t="shared" si="90"/>
        <v>0</v>
      </c>
      <c r="P201" s="207">
        <f t="shared" si="90"/>
        <v>0</v>
      </c>
      <c r="Q201" s="207">
        <f t="shared" si="90"/>
        <v>0</v>
      </c>
      <c r="R201" s="77"/>
      <c r="S201" s="77"/>
      <c r="T201" s="77"/>
      <c r="U201" s="214"/>
      <c r="V201" s="77"/>
      <c r="W201" s="77"/>
      <c r="X201" s="77"/>
      <c r="Y201" s="77"/>
      <c r="Z201" s="77"/>
      <c r="AA201" s="77"/>
      <c r="AB201" s="77"/>
      <c r="AC201" s="77"/>
      <c r="AD201" s="77"/>
      <c r="AE201" s="77"/>
      <c r="AF201" s="77"/>
      <c r="AG201" s="77"/>
    </row>
    <row r="202" spans="1:33" ht="11.7" customHeight="1" outlineLevel="1" x14ac:dyDescent="0.2">
      <c r="A202" s="1"/>
      <c r="B202" s="212"/>
      <c r="C202" s="750" t="str">
        <f>C$43</f>
        <v>Materials &amp; Contracts</v>
      </c>
      <c r="D202" s="307"/>
      <c r="E202" s="305"/>
      <c r="F202" s="207">
        <f t="shared" ref="F202:Q202" si="91">F43-F96</f>
        <v>0</v>
      </c>
      <c r="G202" s="207">
        <f t="shared" si="91"/>
        <v>1461168</v>
      </c>
      <c r="H202" s="207">
        <f t="shared" si="91"/>
        <v>1593823</v>
      </c>
      <c r="I202" s="207">
        <f t="shared" si="91"/>
        <v>1741482.25</v>
      </c>
      <c r="J202" s="207">
        <f t="shared" si="91"/>
        <v>2014279.3100000024</v>
      </c>
      <c r="K202" s="207">
        <f t="shared" si="91"/>
        <v>1845318.8299999982</v>
      </c>
      <c r="L202" s="207">
        <f t="shared" si="91"/>
        <v>1894698.7699999958</v>
      </c>
      <c r="M202" s="207">
        <f t="shared" si="91"/>
        <v>1946547.7099999934</v>
      </c>
      <c r="N202" s="207">
        <f t="shared" si="91"/>
        <v>1750989.1000000089</v>
      </c>
      <c r="O202" s="207">
        <f t="shared" si="91"/>
        <v>1808152.5499999821</v>
      </c>
      <c r="P202" s="207">
        <f t="shared" si="91"/>
        <v>1868174.1800000072</v>
      </c>
      <c r="Q202" s="207">
        <f t="shared" si="91"/>
        <v>17924633.699999928</v>
      </c>
      <c r="R202" s="77"/>
      <c r="S202" s="77"/>
      <c r="T202" s="77"/>
      <c r="U202" s="214"/>
      <c r="V202" s="77"/>
      <c r="W202" s="77"/>
      <c r="X202" s="77"/>
      <c r="Y202" s="77"/>
      <c r="Z202" s="77"/>
      <c r="AA202" s="77"/>
      <c r="AB202" s="77"/>
      <c r="AC202" s="77"/>
      <c r="AD202" s="77"/>
      <c r="AE202" s="77"/>
      <c r="AF202" s="77"/>
      <c r="AG202" s="77"/>
    </row>
    <row r="203" spans="1:33" ht="11.7" customHeight="1" outlineLevel="1" x14ac:dyDescent="0.2">
      <c r="A203" s="1"/>
      <c r="B203" s="212"/>
      <c r="C203" s="750" t="str">
        <f>C$44</f>
        <v>Depreciation &amp; Amortisation</v>
      </c>
      <c r="D203" s="307"/>
      <c r="E203" s="305"/>
      <c r="F203" s="207">
        <f t="shared" ref="F203:Q203" si="92">F44-F97</f>
        <v>0</v>
      </c>
      <c r="G203" s="207">
        <f t="shared" si="92"/>
        <v>0</v>
      </c>
      <c r="H203" s="207">
        <f t="shared" si="92"/>
        <v>0</v>
      </c>
      <c r="I203" s="207">
        <f t="shared" si="92"/>
        <v>0</v>
      </c>
      <c r="J203" s="207">
        <f t="shared" si="92"/>
        <v>0</v>
      </c>
      <c r="K203" s="207">
        <f t="shared" si="92"/>
        <v>0</v>
      </c>
      <c r="L203" s="207">
        <f t="shared" si="92"/>
        <v>0</v>
      </c>
      <c r="M203" s="207">
        <f t="shared" si="92"/>
        <v>0</v>
      </c>
      <c r="N203" s="207">
        <f t="shared" si="92"/>
        <v>0</v>
      </c>
      <c r="O203" s="207">
        <f t="shared" si="92"/>
        <v>0</v>
      </c>
      <c r="P203" s="207">
        <f t="shared" si="92"/>
        <v>0</v>
      </c>
      <c r="Q203" s="207">
        <f t="shared" si="92"/>
        <v>0</v>
      </c>
      <c r="R203" s="77"/>
      <c r="S203" s="77"/>
      <c r="T203" s="77"/>
      <c r="U203" s="214"/>
      <c r="V203" s="77"/>
      <c r="W203" s="77"/>
      <c r="X203" s="77"/>
      <c r="Y203" s="77"/>
      <c r="Z203" s="77"/>
      <c r="AA203" s="77"/>
      <c r="AB203" s="77"/>
      <c r="AC203" s="77"/>
      <c r="AD203" s="77"/>
      <c r="AE203" s="77"/>
      <c r="AF203" s="77"/>
      <c r="AG203" s="77"/>
    </row>
    <row r="204" spans="1:33" ht="11.7" customHeight="1" outlineLevel="1" x14ac:dyDescent="0.2">
      <c r="A204" s="1"/>
      <c r="B204" s="212"/>
      <c r="C204" s="750" t="str">
        <f>C$45</f>
        <v>Other Expenses</v>
      </c>
      <c r="D204" s="307"/>
      <c r="E204" s="305"/>
      <c r="F204" s="207">
        <f t="shared" ref="F204:Q204" si="93">F45-F98</f>
        <v>0</v>
      </c>
      <c r="G204" s="207">
        <f t="shared" si="93"/>
        <v>0</v>
      </c>
      <c r="H204" s="207">
        <f t="shared" si="93"/>
        <v>0</v>
      </c>
      <c r="I204" s="207">
        <f t="shared" si="93"/>
        <v>0</v>
      </c>
      <c r="J204" s="207">
        <f t="shared" si="93"/>
        <v>0</v>
      </c>
      <c r="K204" s="207">
        <f t="shared" si="93"/>
        <v>0</v>
      </c>
      <c r="L204" s="207">
        <f t="shared" si="93"/>
        <v>0</v>
      </c>
      <c r="M204" s="207">
        <f t="shared" si="93"/>
        <v>0</v>
      </c>
      <c r="N204" s="207">
        <f t="shared" si="93"/>
        <v>0</v>
      </c>
      <c r="O204" s="207">
        <f t="shared" si="93"/>
        <v>0</v>
      </c>
      <c r="P204" s="207">
        <f t="shared" si="93"/>
        <v>0</v>
      </c>
      <c r="Q204" s="207">
        <f t="shared" si="93"/>
        <v>0</v>
      </c>
      <c r="R204" s="77"/>
      <c r="S204" s="77"/>
      <c r="T204" s="77"/>
      <c r="U204" s="214"/>
      <c r="V204" s="77"/>
      <c r="W204" s="77"/>
      <c r="X204" s="77"/>
      <c r="Y204" s="77"/>
      <c r="Z204" s="77"/>
      <c r="AA204" s="77"/>
      <c r="AB204" s="77"/>
      <c r="AC204" s="77"/>
      <c r="AD204" s="77"/>
      <c r="AE204" s="77"/>
      <c r="AF204" s="77"/>
      <c r="AG204" s="77"/>
    </row>
    <row r="205" spans="1:33" ht="11.7" customHeight="1" outlineLevel="1" x14ac:dyDescent="0.2">
      <c r="A205" s="1"/>
      <c r="B205" s="212"/>
      <c r="C205" s="334" t="str">
        <f>C$46</f>
        <v>&lt;include additional items here&gt;</v>
      </c>
      <c r="D205" s="307"/>
      <c r="E205" s="305"/>
      <c r="F205" s="207">
        <f t="shared" ref="F205:Q205" si="94">F46-F99</f>
        <v>0</v>
      </c>
      <c r="G205" s="207">
        <f t="shared" si="94"/>
        <v>0</v>
      </c>
      <c r="H205" s="207">
        <f t="shared" si="94"/>
        <v>0</v>
      </c>
      <c r="I205" s="207">
        <f t="shared" si="94"/>
        <v>0</v>
      </c>
      <c r="J205" s="207">
        <f t="shared" si="94"/>
        <v>0</v>
      </c>
      <c r="K205" s="207">
        <f t="shared" si="94"/>
        <v>0</v>
      </c>
      <c r="L205" s="207">
        <f t="shared" si="94"/>
        <v>0</v>
      </c>
      <c r="M205" s="207">
        <f t="shared" si="94"/>
        <v>0</v>
      </c>
      <c r="N205" s="207">
        <f t="shared" si="94"/>
        <v>0</v>
      </c>
      <c r="O205" s="207">
        <f t="shared" si="94"/>
        <v>0</v>
      </c>
      <c r="P205" s="207">
        <f t="shared" si="94"/>
        <v>0</v>
      </c>
      <c r="Q205" s="207">
        <f t="shared" si="94"/>
        <v>0</v>
      </c>
      <c r="R205" s="77"/>
      <c r="S205" s="77"/>
      <c r="T205" s="77"/>
      <c r="U205" s="214"/>
      <c r="V205" s="77"/>
      <c r="W205" s="77"/>
      <c r="X205" s="77"/>
      <c r="Y205" s="77"/>
      <c r="Z205" s="77"/>
      <c r="AA205" s="77"/>
      <c r="AB205" s="77"/>
      <c r="AC205" s="77"/>
      <c r="AD205" s="77"/>
      <c r="AE205" s="77"/>
      <c r="AF205" s="77"/>
      <c r="AG205" s="77"/>
    </row>
    <row r="206" spans="1:33" ht="11.7" customHeight="1" outlineLevel="1" x14ac:dyDescent="0.2">
      <c r="A206" s="1"/>
      <c r="B206" s="212"/>
      <c r="C206" s="970" t="str">
        <f>C$47</f>
        <v>Other Expenses (items excluded from ratio analyis)</v>
      </c>
      <c r="D206" s="307"/>
      <c r="E206" s="305"/>
      <c r="F206" s="207"/>
      <c r="G206" s="207"/>
      <c r="H206" s="207"/>
      <c r="I206" s="207"/>
      <c r="J206" s="207"/>
      <c r="K206" s="207"/>
      <c r="L206" s="207"/>
      <c r="M206" s="207"/>
      <c r="N206" s="207"/>
      <c r="O206" s="207"/>
      <c r="P206" s="207"/>
      <c r="Q206" s="207"/>
      <c r="R206" s="77"/>
      <c r="S206" s="77"/>
      <c r="T206" s="77"/>
      <c r="U206" s="214"/>
      <c r="V206" s="77"/>
      <c r="W206" s="77"/>
      <c r="X206" s="77"/>
      <c r="Y206" s="77"/>
      <c r="Z206" s="77"/>
      <c r="AA206" s="77"/>
      <c r="AB206" s="77"/>
      <c r="AC206" s="77"/>
      <c r="AD206" s="77"/>
      <c r="AE206" s="77"/>
      <c r="AF206" s="77"/>
      <c r="AG206" s="77"/>
    </row>
    <row r="207" spans="1:33" ht="11.7" customHeight="1" outlineLevel="1" x14ac:dyDescent="0.2">
      <c r="A207" s="1"/>
      <c r="B207" s="212"/>
      <c r="C207" s="334" t="str">
        <f>C$48</f>
        <v>Net loss on joint ventures</v>
      </c>
      <c r="D207" s="307"/>
      <c r="E207" s="305"/>
      <c r="F207" s="207">
        <f t="shared" ref="F207:Q207" si="95">F48-F101</f>
        <v>0</v>
      </c>
      <c r="G207" s="207">
        <f t="shared" si="95"/>
        <v>0</v>
      </c>
      <c r="H207" s="207">
        <f t="shared" si="95"/>
        <v>0</v>
      </c>
      <c r="I207" s="207">
        <f t="shared" si="95"/>
        <v>0</v>
      </c>
      <c r="J207" s="207">
        <f t="shared" si="95"/>
        <v>0</v>
      </c>
      <c r="K207" s="207">
        <f t="shared" si="95"/>
        <v>0</v>
      </c>
      <c r="L207" s="207">
        <f t="shared" si="95"/>
        <v>0</v>
      </c>
      <c r="M207" s="207">
        <f t="shared" si="95"/>
        <v>0</v>
      </c>
      <c r="N207" s="207">
        <f t="shared" si="95"/>
        <v>0</v>
      </c>
      <c r="O207" s="207">
        <f t="shared" si="95"/>
        <v>0</v>
      </c>
      <c r="P207" s="207">
        <f t="shared" si="95"/>
        <v>0</v>
      </c>
      <c r="Q207" s="207">
        <f t="shared" si="95"/>
        <v>0</v>
      </c>
      <c r="R207" s="77"/>
      <c r="S207" s="77"/>
      <c r="T207" s="77"/>
      <c r="U207" s="214"/>
      <c r="V207" s="77"/>
      <c r="W207" s="77"/>
      <c r="X207" s="77"/>
      <c r="Y207" s="77"/>
      <c r="Z207" s="77"/>
      <c r="AA207" s="77"/>
      <c r="AB207" s="77"/>
      <c r="AC207" s="77"/>
      <c r="AD207" s="77"/>
      <c r="AE207" s="77"/>
      <c r="AF207" s="77"/>
      <c r="AG207" s="77"/>
    </row>
    <row r="208" spans="1:33" ht="11.7" customHeight="1" outlineLevel="1" x14ac:dyDescent="0.2">
      <c r="A208" s="1"/>
      <c r="B208" s="212"/>
      <c r="C208" s="334" t="str">
        <f>C$49</f>
        <v>Fair value losses</v>
      </c>
      <c r="D208" s="307"/>
      <c r="E208" s="305"/>
      <c r="F208" s="207">
        <f t="shared" ref="F208:Q208" si="96">F49-F102</f>
        <v>0</v>
      </c>
      <c r="G208" s="207">
        <f t="shared" si="96"/>
        <v>0</v>
      </c>
      <c r="H208" s="207">
        <f t="shared" si="96"/>
        <v>0</v>
      </c>
      <c r="I208" s="207">
        <f t="shared" si="96"/>
        <v>0</v>
      </c>
      <c r="J208" s="207">
        <f t="shared" si="96"/>
        <v>0</v>
      </c>
      <c r="K208" s="207">
        <f t="shared" si="96"/>
        <v>0</v>
      </c>
      <c r="L208" s="207">
        <f t="shared" si="96"/>
        <v>0</v>
      </c>
      <c r="M208" s="207">
        <f t="shared" si="96"/>
        <v>0</v>
      </c>
      <c r="N208" s="207">
        <f t="shared" si="96"/>
        <v>0</v>
      </c>
      <c r="O208" s="207">
        <f t="shared" si="96"/>
        <v>0</v>
      </c>
      <c r="P208" s="207">
        <f t="shared" si="96"/>
        <v>0</v>
      </c>
      <c r="Q208" s="207">
        <f t="shared" si="96"/>
        <v>0</v>
      </c>
      <c r="R208" s="77"/>
      <c r="S208" s="77"/>
      <c r="T208" s="77"/>
      <c r="U208" s="214"/>
      <c r="V208" s="77"/>
      <c r="W208" s="77"/>
      <c r="X208" s="77"/>
      <c r="Y208" s="77"/>
      <c r="Z208" s="77"/>
      <c r="AA208" s="77"/>
      <c r="AB208" s="77"/>
      <c r="AC208" s="77"/>
      <c r="AD208" s="77"/>
      <c r="AE208" s="77"/>
      <c r="AF208" s="77"/>
      <c r="AG208" s="77"/>
    </row>
    <row r="209" spans="1:33" ht="11.7" customHeight="1" outlineLevel="1" x14ac:dyDescent="0.2">
      <c r="A209" s="1"/>
      <c r="B209" s="212"/>
      <c r="C209" s="750" t="str">
        <f>C$50</f>
        <v>Net loss from disposal of assets</v>
      </c>
      <c r="D209" s="307"/>
      <c r="E209" s="305"/>
      <c r="F209" s="207">
        <f t="shared" ref="F209:Q209" si="97">F50-F103</f>
        <v>0</v>
      </c>
      <c r="G209" s="207">
        <f t="shared" si="97"/>
        <v>0</v>
      </c>
      <c r="H209" s="207">
        <f t="shared" si="97"/>
        <v>0</v>
      </c>
      <c r="I209" s="207">
        <f t="shared" si="97"/>
        <v>0</v>
      </c>
      <c r="J209" s="207">
        <f t="shared" si="97"/>
        <v>0</v>
      </c>
      <c r="K209" s="207">
        <f t="shared" si="97"/>
        <v>0</v>
      </c>
      <c r="L209" s="207">
        <f t="shared" si="97"/>
        <v>0</v>
      </c>
      <c r="M209" s="207">
        <f t="shared" si="97"/>
        <v>0</v>
      </c>
      <c r="N209" s="207">
        <f t="shared" si="97"/>
        <v>0</v>
      </c>
      <c r="O209" s="207">
        <f t="shared" si="97"/>
        <v>0</v>
      </c>
      <c r="P209" s="207">
        <f t="shared" si="97"/>
        <v>0</v>
      </c>
      <c r="Q209" s="207">
        <f t="shared" si="97"/>
        <v>0</v>
      </c>
      <c r="R209" s="77"/>
      <c r="S209" s="77"/>
      <c r="T209" s="77"/>
      <c r="U209" s="214"/>
      <c r="V209" s="77"/>
      <c r="W209" s="77"/>
      <c r="X209" s="77"/>
      <c r="Y209" s="77"/>
      <c r="Z209" s="77"/>
      <c r="AA209" s="77"/>
      <c r="AB209" s="77"/>
      <c r="AC209" s="77"/>
      <c r="AD209" s="77"/>
      <c r="AE209" s="77"/>
      <c r="AF209" s="77"/>
      <c r="AG209" s="77"/>
    </row>
    <row r="210" spans="1:33" ht="11.7" customHeight="1" outlineLevel="1" x14ac:dyDescent="0.2">
      <c r="A210" s="1"/>
      <c r="B210" s="212"/>
      <c r="C210" s="334"/>
      <c r="D210" s="1"/>
      <c r="E210" s="1"/>
      <c r="F210" s="576"/>
      <c r="G210" s="576"/>
      <c r="H210" s="576"/>
      <c r="I210" s="576"/>
      <c r="J210" s="576"/>
      <c r="K210" s="576"/>
      <c r="L210" s="576"/>
      <c r="M210" s="576"/>
      <c r="N210" s="576"/>
      <c r="O210" s="576"/>
      <c r="P210" s="576"/>
      <c r="Q210" s="576"/>
      <c r="R210" s="77"/>
      <c r="S210" s="77"/>
      <c r="T210" s="77"/>
      <c r="U210" s="214"/>
      <c r="V210" s="77"/>
      <c r="W210" s="77"/>
      <c r="X210" s="77"/>
      <c r="Y210" s="77"/>
      <c r="Z210" s="77"/>
      <c r="AA210" s="77"/>
      <c r="AB210" s="77"/>
      <c r="AC210" s="77"/>
      <c r="AD210" s="77"/>
      <c r="AE210" s="77"/>
      <c r="AF210" s="77"/>
      <c r="AG210" s="77"/>
    </row>
    <row r="211" spans="1:33" ht="11.7" customHeight="1" outlineLevel="1" x14ac:dyDescent="0.25">
      <c r="A211" s="1"/>
      <c r="B211" s="212"/>
      <c r="C211" s="737" t="str">
        <f>C$52</f>
        <v>Total expenses continuing operations</v>
      </c>
      <c r="D211" s="307"/>
      <c r="E211" s="307"/>
      <c r="F211" s="297">
        <f t="shared" ref="F211:Q211" si="98">F52-F105</f>
        <v>0</v>
      </c>
      <c r="G211" s="297">
        <f t="shared" si="98"/>
        <v>1621168</v>
      </c>
      <c r="H211" s="297">
        <f t="shared" si="98"/>
        <v>1753823</v>
      </c>
      <c r="I211" s="297">
        <f t="shared" si="98"/>
        <v>1901482.2499999702</v>
      </c>
      <c r="J211" s="297">
        <f t="shared" si="98"/>
        <v>2014279.3100000024</v>
      </c>
      <c r="K211" s="297">
        <f t="shared" si="98"/>
        <v>1845318.8299999833</v>
      </c>
      <c r="L211" s="297">
        <f t="shared" si="98"/>
        <v>1894698.7699999809</v>
      </c>
      <c r="M211" s="297">
        <f t="shared" si="98"/>
        <v>1946547.7099999785</v>
      </c>
      <c r="N211" s="297">
        <f t="shared" si="98"/>
        <v>1750989.1000000238</v>
      </c>
      <c r="O211" s="297">
        <f t="shared" si="98"/>
        <v>1808152.5500000119</v>
      </c>
      <c r="P211" s="297">
        <f t="shared" si="98"/>
        <v>1868174.1800000072</v>
      </c>
      <c r="Q211" s="297">
        <f t="shared" si="98"/>
        <v>18404633.699999809</v>
      </c>
      <c r="R211" s="77"/>
      <c r="S211" s="77"/>
      <c r="T211" s="77"/>
      <c r="U211" s="214"/>
      <c r="V211" s="77"/>
      <c r="W211" s="77"/>
      <c r="X211" s="77"/>
      <c r="Y211" s="77"/>
      <c r="Z211" s="77"/>
      <c r="AA211" s="77"/>
      <c r="AB211" s="77"/>
      <c r="AC211" s="77"/>
      <c r="AD211" s="77"/>
      <c r="AE211" s="77"/>
      <c r="AF211" s="77"/>
      <c r="AG211" s="77"/>
    </row>
    <row r="212" spans="1:33" ht="11.7" customHeight="1" outlineLevel="1" x14ac:dyDescent="0.2">
      <c r="A212" s="1"/>
      <c r="B212" s="212"/>
      <c r="C212" s="334"/>
      <c r="D212" s="307"/>
      <c r="E212" s="305"/>
      <c r="F212" s="207"/>
      <c r="G212" s="207"/>
      <c r="H212" s="207"/>
      <c r="I212" s="324"/>
      <c r="J212" s="207"/>
      <c r="K212" s="207"/>
      <c r="L212" s="207"/>
      <c r="M212" s="207"/>
      <c r="N212" s="207"/>
      <c r="O212" s="207"/>
      <c r="P212" s="207"/>
      <c r="Q212" s="207"/>
      <c r="R212" s="77"/>
      <c r="S212" s="77"/>
      <c r="T212" s="77"/>
      <c r="U212" s="214"/>
      <c r="V212" s="77"/>
      <c r="W212" s="77"/>
      <c r="X212" s="77"/>
      <c r="Y212" s="77"/>
      <c r="Z212" s="77"/>
      <c r="AA212" s="77"/>
      <c r="AB212" s="77"/>
      <c r="AC212" s="77"/>
      <c r="AD212" s="77"/>
      <c r="AE212" s="77"/>
      <c r="AF212" s="77"/>
      <c r="AG212" s="77"/>
    </row>
    <row r="213" spans="1:33" customFormat="1" ht="11.7" customHeight="1" x14ac:dyDescent="0.25">
      <c r="A213" s="1"/>
      <c r="B213" s="212"/>
      <c r="C213" s="665" t="str">
        <f>C$56</f>
        <v>Operating results</v>
      </c>
      <c r="D213" s="738"/>
      <c r="E213" s="738"/>
      <c r="F213" s="738"/>
      <c r="G213" s="327"/>
      <c r="H213" s="738"/>
      <c r="I213" s="777"/>
      <c r="J213" s="79"/>
      <c r="K213" s="79"/>
      <c r="L213" s="79"/>
      <c r="M213" s="79"/>
      <c r="N213" s="79"/>
      <c r="O213" s="79"/>
      <c r="P213" s="79"/>
      <c r="Q213" s="564"/>
      <c r="R213" s="77"/>
      <c r="S213" s="77"/>
      <c r="T213" s="77"/>
      <c r="U213" s="214"/>
      <c r="V213" s="77"/>
      <c r="W213" s="3"/>
      <c r="X213" s="3"/>
      <c r="Y213" s="3"/>
      <c r="Z213" s="3"/>
      <c r="AA213" s="3"/>
      <c r="AB213" s="3"/>
      <c r="AC213" s="3"/>
      <c r="AD213" s="3"/>
      <c r="AE213" s="3"/>
      <c r="AF213" s="3"/>
      <c r="AG213" s="3"/>
    </row>
    <row r="214" spans="1:33" ht="11.7" customHeight="1" x14ac:dyDescent="0.2">
      <c r="A214" s="1"/>
      <c r="B214" s="212"/>
      <c r="C214" s="428"/>
      <c r="D214" s="1"/>
      <c r="E214" s="1"/>
      <c r="F214" s="576"/>
      <c r="G214" s="576"/>
      <c r="H214" s="576"/>
      <c r="I214" s="576"/>
      <c r="J214" s="576"/>
      <c r="K214" s="576"/>
      <c r="L214" s="576"/>
      <c r="M214" s="576"/>
      <c r="N214" s="576"/>
      <c r="O214" s="576"/>
      <c r="P214" s="576"/>
      <c r="Q214" s="576"/>
      <c r="R214" s="77"/>
      <c r="S214" s="77"/>
      <c r="T214" s="77"/>
      <c r="U214" s="214"/>
      <c r="V214" s="77"/>
      <c r="W214" s="77"/>
      <c r="X214" s="77"/>
      <c r="Y214" s="77"/>
      <c r="Z214" s="77"/>
      <c r="AA214" s="77"/>
      <c r="AB214" s="77"/>
      <c r="AC214" s="77"/>
      <c r="AD214" s="77"/>
      <c r="AE214" s="77"/>
      <c r="AF214" s="77"/>
      <c r="AG214" s="77"/>
    </row>
    <row r="215" spans="1:33" ht="11.7" customHeight="1" x14ac:dyDescent="0.2">
      <c r="A215" s="1"/>
      <c r="B215" s="212"/>
      <c r="C215" s="334" t="str">
        <f>C$58</f>
        <v>Operating result from continuing operations</v>
      </c>
      <c r="D215" s="307"/>
      <c r="E215" s="305"/>
      <c r="F215" s="207">
        <f t="shared" ref="F215:Q215" si="99">F58-F111</f>
        <v>0</v>
      </c>
      <c r="G215" s="207">
        <f t="shared" si="99"/>
        <v>1841436.8799999654</v>
      </c>
      <c r="H215" s="207">
        <f t="shared" si="99"/>
        <v>5096865.4899999201</v>
      </c>
      <c r="I215" s="324">
        <f t="shared" si="99"/>
        <v>8227647.6099999547</v>
      </c>
      <c r="J215" s="207">
        <f t="shared" si="99"/>
        <v>11173216.430000037</v>
      </c>
      <c r="K215" s="207">
        <f t="shared" si="99"/>
        <v>11671864.300000042</v>
      </c>
      <c r="L215" s="207">
        <f t="shared" si="99"/>
        <v>11960413.899999976</v>
      </c>
      <c r="M215" s="207">
        <f t="shared" si="99"/>
        <v>12254942.830000073</v>
      </c>
      <c r="N215" s="207">
        <f t="shared" si="99"/>
        <v>12805538.689999938</v>
      </c>
      <c r="O215" s="207">
        <f t="shared" si="99"/>
        <v>13112288.410000026</v>
      </c>
      <c r="P215" s="207">
        <f t="shared" si="99"/>
        <v>13518417.130000055</v>
      </c>
      <c r="Q215" s="207">
        <f t="shared" si="99"/>
        <v>101662631.66999999</v>
      </c>
      <c r="R215" s="77"/>
      <c r="S215" s="77"/>
      <c r="T215" s="77"/>
      <c r="U215" s="214"/>
      <c r="V215" s="77"/>
      <c r="W215" s="77"/>
      <c r="X215" s="77"/>
      <c r="Y215" s="77"/>
      <c r="Z215" s="77"/>
      <c r="AA215" s="77"/>
      <c r="AB215" s="77"/>
      <c r="AC215" s="77"/>
      <c r="AD215" s="77"/>
      <c r="AE215" s="77"/>
      <c r="AF215" s="77"/>
      <c r="AG215" s="77"/>
    </row>
    <row r="216" spans="1:33" ht="47.25" customHeight="1" x14ac:dyDescent="0.25">
      <c r="A216" s="1"/>
      <c r="B216" s="212"/>
      <c r="C216" s="896" t="str">
        <f>C$59</f>
        <v>Net operating result before capital grants &amp; contributions</v>
      </c>
      <c r="D216" s="911"/>
      <c r="E216" s="912"/>
      <c r="F216" s="297">
        <f t="shared" ref="F216:Q216" si="100">F59-F112</f>
        <v>0</v>
      </c>
      <c r="G216" s="297">
        <f t="shared" si="100"/>
        <v>1841436.8799999654</v>
      </c>
      <c r="H216" s="297">
        <f t="shared" si="100"/>
        <v>5096865.4899999201</v>
      </c>
      <c r="I216" s="297">
        <f t="shared" si="100"/>
        <v>8227647.6099999547</v>
      </c>
      <c r="J216" s="297">
        <f t="shared" si="100"/>
        <v>11173216.430000037</v>
      </c>
      <c r="K216" s="297">
        <f t="shared" si="100"/>
        <v>11671864.300000042</v>
      </c>
      <c r="L216" s="297">
        <f t="shared" si="100"/>
        <v>11960413.899999976</v>
      </c>
      <c r="M216" s="297">
        <f t="shared" si="100"/>
        <v>12254942.830000073</v>
      </c>
      <c r="N216" s="297">
        <f t="shared" si="100"/>
        <v>12805538.689999938</v>
      </c>
      <c r="O216" s="297">
        <f t="shared" si="100"/>
        <v>13112288.410000026</v>
      </c>
      <c r="P216" s="297">
        <f t="shared" si="100"/>
        <v>13518417.130000055</v>
      </c>
      <c r="Q216" s="297">
        <f t="shared" si="100"/>
        <v>101662631.66999999</v>
      </c>
      <c r="R216" s="77"/>
      <c r="S216" s="77"/>
      <c r="T216" s="77"/>
      <c r="U216" s="214"/>
      <c r="V216" s="77"/>
      <c r="W216" s="77"/>
      <c r="X216" s="77"/>
      <c r="Y216" s="77"/>
      <c r="Z216" s="77"/>
      <c r="AA216" s="77"/>
      <c r="AB216" s="77"/>
      <c r="AC216" s="77"/>
      <c r="AD216" s="77"/>
      <c r="AE216" s="77"/>
      <c r="AF216" s="77"/>
      <c r="AG216" s="77"/>
    </row>
    <row r="217" spans="1:33" ht="53.1" customHeight="1" x14ac:dyDescent="0.2">
      <c r="A217" s="1"/>
      <c r="B217" s="212"/>
      <c r="C217" s="909" t="str">
        <f>C$60</f>
        <v>Net operating result before capital grants &amp; contributions, gains/losses on asset disposals, gains/losses on joint ventures and fair value adjustments</v>
      </c>
      <c r="D217" s="307"/>
      <c r="E217" s="305"/>
      <c r="F217" s="207">
        <f t="shared" ref="F217:Q217" si="101">F60-F113</f>
        <v>0</v>
      </c>
      <c r="G217" s="207">
        <f t="shared" si="101"/>
        <v>1841436.8799999654</v>
      </c>
      <c r="H217" s="207">
        <f t="shared" si="101"/>
        <v>5096865.4899999201</v>
      </c>
      <c r="I217" s="207">
        <f t="shared" si="101"/>
        <v>8227647.6099999547</v>
      </c>
      <c r="J217" s="207">
        <f t="shared" si="101"/>
        <v>11173216.430000037</v>
      </c>
      <c r="K217" s="207">
        <f t="shared" si="101"/>
        <v>11671864.300000042</v>
      </c>
      <c r="L217" s="207">
        <f t="shared" si="101"/>
        <v>11960413.899999976</v>
      </c>
      <c r="M217" s="207">
        <f t="shared" si="101"/>
        <v>12254942.830000073</v>
      </c>
      <c r="N217" s="207">
        <f t="shared" si="101"/>
        <v>12805538.689999938</v>
      </c>
      <c r="O217" s="207">
        <f t="shared" si="101"/>
        <v>13112288.410000026</v>
      </c>
      <c r="P217" s="207">
        <f t="shared" si="101"/>
        <v>13518417.130000055</v>
      </c>
      <c r="Q217" s="207">
        <f t="shared" si="101"/>
        <v>101662631.66999999</v>
      </c>
      <c r="R217" s="77"/>
      <c r="S217" s="77"/>
      <c r="T217" s="77"/>
      <c r="U217" s="214"/>
      <c r="V217" s="77"/>
      <c r="W217" s="77"/>
      <c r="X217" s="77"/>
      <c r="Y217" s="77"/>
      <c r="Z217" s="77"/>
      <c r="AA217" s="77"/>
      <c r="AB217" s="77"/>
      <c r="AC217" s="77"/>
      <c r="AD217" s="77"/>
      <c r="AE217" s="77"/>
      <c r="AF217" s="77"/>
      <c r="AG217" s="77"/>
    </row>
    <row r="218" spans="1:33" ht="11.7" customHeight="1" x14ac:dyDescent="0.2">
      <c r="A218" s="1"/>
      <c r="B218" s="212"/>
      <c r="C218" s="334"/>
      <c r="D218" s="321"/>
      <c r="E218" s="321"/>
      <c r="F218" s="322"/>
      <c r="G218" s="322"/>
      <c r="H218" s="322"/>
      <c r="I218" s="322"/>
      <c r="J218" s="322"/>
      <c r="K218" s="322"/>
      <c r="L218" s="322"/>
      <c r="M218" s="322"/>
      <c r="N218" s="322"/>
      <c r="O218" s="322"/>
      <c r="P218" s="322"/>
      <c r="Q218" s="576"/>
      <c r="R218" s="77"/>
      <c r="S218" s="77"/>
      <c r="T218" s="77"/>
      <c r="U218" s="214"/>
      <c r="V218" s="77"/>
      <c r="W218" s="77"/>
      <c r="X218" s="77"/>
      <c r="Y218" s="77"/>
      <c r="Z218" s="77"/>
      <c r="AA218" s="77"/>
      <c r="AB218" s="77"/>
      <c r="AC218" s="77"/>
      <c r="AD218" s="77"/>
      <c r="AE218" s="77"/>
      <c r="AF218" s="77"/>
      <c r="AG218" s="77"/>
    </row>
    <row r="219" spans="1:33" customFormat="1" ht="11.7" customHeight="1" x14ac:dyDescent="0.25">
      <c r="A219" s="1"/>
      <c r="B219" s="212"/>
      <c r="C219" s="665" t="str">
        <f>C$62</f>
        <v>Increase in rates and annual charges</v>
      </c>
      <c r="D219" s="738"/>
      <c r="E219" s="738"/>
      <c r="F219" s="738"/>
      <c r="G219" s="327"/>
      <c r="H219" s="738"/>
      <c r="I219" s="777"/>
      <c r="J219" s="79"/>
      <c r="K219" s="79"/>
      <c r="L219" s="79"/>
      <c r="M219" s="79"/>
      <c r="N219" s="79"/>
      <c r="O219" s="79"/>
      <c r="P219" s="79"/>
      <c r="Q219" s="564"/>
      <c r="R219" s="77"/>
      <c r="S219" s="77"/>
      <c r="T219" s="77"/>
      <c r="U219" s="214"/>
      <c r="V219" s="77"/>
      <c r="W219" s="3"/>
      <c r="X219" s="3"/>
      <c r="Y219" s="3"/>
      <c r="Z219" s="3"/>
      <c r="AA219" s="3"/>
      <c r="AB219" s="3"/>
      <c r="AC219" s="3"/>
      <c r="AD219" s="3"/>
      <c r="AE219" s="3"/>
      <c r="AF219" s="3"/>
      <c r="AG219" s="3"/>
    </row>
    <row r="220" spans="1:33" ht="11.7" customHeight="1" x14ac:dyDescent="0.2">
      <c r="A220" s="1"/>
      <c r="B220" s="212"/>
      <c r="C220" s="428"/>
      <c r="D220" s="1"/>
      <c r="E220" s="1"/>
      <c r="F220" s="576"/>
      <c r="G220" s="576"/>
      <c r="H220" s="576"/>
      <c r="I220" s="576"/>
      <c r="J220" s="576"/>
      <c r="K220" s="576"/>
      <c r="L220" s="576"/>
      <c r="M220" s="576"/>
      <c r="N220" s="576"/>
      <c r="O220" s="576"/>
      <c r="P220" s="576"/>
      <c r="Q220" s="576"/>
      <c r="R220" s="77"/>
      <c r="S220" s="77"/>
      <c r="T220" s="77"/>
      <c r="U220" s="214"/>
      <c r="V220" s="77"/>
      <c r="W220" s="77"/>
      <c r="X220" s="77"/>
      <c r="Y220" s="77"/>
      <c r="Z220" s="77"/>
      <c r="AA220" s="77"/>
      <c r="AB220" s="77"/>
      <c r="AC220" s="77"/>
      <c r="AD220" s="77"/>
      <c r="AE220" s="77"/>
      <c r="AF220" s="77"/>
      <c r="AG220" s="77"/>
    </row>
    <row r="221" spans="1:33" ht="11.7" customHeight="1" x14ac:dyDescent="0.2">
      <c r="A221" s="1"/>
      <c r="B221" s="212"/>
      <c r="C221" s="334" t="str">
        <f>C$64</f>
        <v>$ Increase in rates and annual charges</v>
      </c>
      <c r="D221" s="307"/>
      <c r="E221" s="305"/>
      <c r="F221" s="323"/>
      <c r="G221" s="207">
        <f t="shared" ref="G221:Q221" si="102">G64-G117</f>
        <v>3462604.8799999654</v>
      </c>
      <c r="H221" s="207">
        <f t="shared" si="102"/>
        <v>3388083.6099999845</v>
      </c>
      <c r="I221" s="207">
        <f t="shared" si="102"/>
        <v>3278441.369999975</v>
      </c>
      <c r="J221" s="207">
        <f t="shared" si="102"/>
        <v>3058365.8800001144</v>
      </c>
      <c r="K221" s="207">
        <f t="shared" si="102"/>
        <v>329687.38999998569</v>
      </c>
      <c r="L221" s="207">
        <f t="shared" si="102"/>
        <v>337929.53999993205</v>
      </c>
      <c r="M221" s="207">
        <f t="shared" si="102"/>
        <v>346377.87000009418</v>
      </c>
      <c r="N221" s="207">
        <f t="shared" si="102"/>
        <v>355037.24999991059</v>
      </c>
      <c r="O221" s="207">
        <f t="shared" si="102"/>
        <v>363913.17000004649</v>
      </c>
      <c r="P221" s="207">
        <f t="shared" si="102"/>
        <v>466150.35000005364</v>
      </c>
      <c r="Q221" s="207">
        <f t="shared" si="102"/>
        <v>15386591.310000062</v>
      </c>
      <c r="R221" s="77"/>
      <c r="S221" s="77"/>
      <c r="T221" s="77"/>
      <c r="U221" s="214"/>
      <c r="V221" s="77"/>
      <c r="W221" s="77"/>
      <c r="X221" s="77"/>
      <c r="Y221" s="77"/>
      <c r="Z221" s="77"/>
      <c r="AA221" s="77"/>
      <c r="AB221" s="77"/>
      <c r="AC221" s="77"/>
      <c r="AD221" s="77"/>
      <c r="AE221" s="77"/>
      <c r="AF221" s="77"/>
      <c r="AG221" s="77"/>
    </row>
    <row r="222" spans="1:33" ht="11.7" customHeight="1" x14ac:dyDescent="0.2">
      <c r="A222" s="1"/>
      <c r="B222" s="212"/>
      <c r="C222" s="336" t="str">
        <f>C$65</f>
        <v>% Increase in rates and annual charges</v>
      </c>
      <c r="D222" s="313"/>
      <c r="E222" s="306"/>
      <c r="F222" s="337"/>
      <c r="G222" s="154">
        <f t="shared" ref="G222:Q222" si="103">G65-G118</f>
        <v>3.1722751355388823E-2</v>
      </c>
      <c r="H222" s="154">
        <f t="shared" si="103"/>
        <v>2.8040365337459239E-2</v>
      </c>
      <c r="I222" s="154">
        <f t="shared" si="103"/>
        <v>2.4840045164048252E-2</v>
      </c>
      <c r="J222" s="154">
        <f t="shared" si="103"/>
        <v>2.1503468073260201E-2</v>
      </c>
      <c r="K222" s="154">
        <f t="shared" si="103"/>
        <v>2.9698129978550369E-5</v>
      </c>
      <c r="L222" s="154">
        <f t="shared" si="103"/>
        <v>2.9685882193764002E-5</v>
      </c>
      <c r="M222" s="154">
        <f t="shared" si="103"/>
        <v>2.9674511657695746E-5</v>
      </c>
      <c r="N222" s="154">
        <f t="shared" si="103"/>
        <v>2.9662001078456512E-5</v>
      </c>
      <c r="O222" s="154">
        <f t="shared" si="103"/>
        <v>-1.7387402628799009E-10</v>
      </c>
      <c r="P222" s="154">
        <f t="shared" si="103"/>
        <v>1.8508760508106903E-4</v>
      </c>
      <c r="Q222" s="154">
        <f t="shared" si="103"/>
        <v>0.14096468619720914</v>
      </c>
      <c r="R222" s="77"/>
      <c r="S222" s="77"/>
      <c r="T222" s="77"/>
      <c r="U222" s="214"/>
      <c r="V222" s="77"/>
      <c r="W222" s="77"/>
      <c r="X222" s="77"/>
      <c r="Y222" s="77"/>
      <c r="Z222" s="77"/>
      <c r="AA222" s="77"/>
      <c r="AB222" s="77"/>
      <c r="AC222" s="77"/>
      <c r="AD222" s="77"/>
      <c r="AE222" s="77"/>
      <c r="AF222" s="77"/>
      <c r="AG222" s="77"/>
    </row>
    <row r="223" spans="1:33" ht="11.7" customHeight="1" x14ac:dyDescent="0.2">
      <c r="A223" s="1"/>
      <c r="B223" s="212"/>
      <c r="C223" s="917" t="s">
        <v>127</v>
      </c>
      <c r="D223" s="1"/>
      <c r="E223" s="1"/>
      <c r="F223" s="77"/>
      <c r="G223" s="635">
        <f t="shared" ref="G223:P223" si="104">G216-G217-G190+G209</f>
        <v>0</v>
      </c>
      <c r="H223" s="635">
        <f t="shared" si="104"/>
        <v>0</v>
      </c>
      <c r="I223" s="635">
        <f t="shared" si="104"/>
        <v>0</v>
      </c>
      <c r="J223" s="635">
        <f t="shared" si="104"/>
        <v>0</v>
      </c>
      <c r="K223" s="635">
        <f t="shared" si="104"/>
        <v>0</v>
      </c>
      <c r="L223" s="635">
        <f t="shared" si="104"/>
        <v>0</v>
      </c>
      <c r="M223" s="635">
        <f t="shared" si="104"/>
        <v>0</v>
      </c>
      <c r="N223" s="635">
        <f t="shared" si="104"/>
        <v>0</v>
      </c>
      <c r="O223" s="635">
        <f t="shared" si="104"/>
        <v>0</v>
      </c>
      <c r="P223" s="635">
        <f t="shared" si="104"/>
        <v>0</v>
      </c>
      <c r="Q223" s="77"/>
      <c r="R223" s="77"/>
      <c r="S223" s="77"/>
      <c r="T223" s="77"/>
      <c r="U223" s="342"/>
      <c r="V223" s="77"/>
      <c r="W223" s="77"/>
      <c r="X223" s="77"/>
      <c r="Y223" s="77"/>
      <c r="Z223" s="77"/>
      <c r="AA223" s="77"/>
      <c r="AB223" s="77"/>
      <c r="AC223" s="77"/>
      <c r="AD223" s="77"/>
      <c r="AE223" s="77"/>
      <c r="AF223" s="77"/>
      <c r="AG223" s="77"/>
    </row>
    <row r="224" spans="1:33" ht="11.7" customHeight="1" x14ac:dyDescent="0.2">
      <c r="A224" s="1"/>
      <c r="B224" s="212"/>
      <c r="C224" s="1"/>
      <c r="D224" s="1"/>
      <c r="E224" s="1"/>
      <c r="F224" s="77"/>
      <c r="G224" s="77"/>
      <c r="H224" s="77"/>
      <c r="I224" s="77"/>
      <c r="J224" s="77"/>
      <c r="K224" s="77"/>
      <c r="L224" s="77"/>
      <c r="M224" s="77"/>
      <c r="N224" s="77"/>
      <c r="O224" s="77"/>
      <c r="P224" s="77"/>
      <c r="Q224" s="77"/>
      <c r="R224" s="77"/>
      <c r="S224" s="77"/>
      <c r="T224" s="77"/>
      <c r="U224" s="342"/>
      <c r="V224" s="77"/>
      <c r="W224" s="77"/>
      <c r="X224" s="77"/>
      <c r="Y224" s="77"/>
      <c r="Z224" s="77"/>
      <c r="AA224" s="77"/>
      <c r="AB224" s="77"/>
      <c r="AC224" s="77"/>
      <c r="AD224" s="77"/>
      <c r="AE224" s="77"/>
      <c r="AF224" s="77"/>
      <c r="AG224" s="77"/>
    </row>
    <row r="225" spans="1:33" ht="11.7" customHeight="1" x14ac:dyDescent="0.2">
      <c r="A225" s="1"/>
      <c r="B225" s="212"/>
      <c r="C225" s="1"/>
      <c r="D225" s="1"/>
      <c r="E225" s="1"/>
      <c r="F225" s="77"/>
      <c r="G225" s="77"/>
      <c r="H225" s="77"/>
      <c r="I225" s="77"/>
      <c r="J225" s="77"/>
      <c r="K225" s="77"/>
      <c r="L225" s="77"/>
      <c r="M225" s="77"/>
      <c r="N225" s="77"/>
      <c r="O225" s="77"/>
      <c r="P225" s="77"/>
      <c r="Q225" s="77"/>
      <c r="R225" s="77"/>
      <c r="S225" s="77"/>
      <c r="T225" s="77"/>
      <c r="U225" s="342"/>
      <c r="V225" s="77"/>
      <c r="W225" s="77"/>
      <c r="X225" s="77"/>
      <c r="Y225" s="77"/>
      <c r="Z225" s="77"/>
      <c r="AA225" s="77"/>
      <c r="AB225" s="77"/>
      <c r="AC225" s="77"/>
      <c r="AD225" s="77"/>
      <c r="AE225" s="77"/>
      <c r="AF225" s="77"/>
      <c r="AG225" s="77"/>
    </row>
    <row r="226" spans="1:33" customFormat="1" ht="19.95" customHeight="1" x14ac:dyDescent="0.25">
      <c r="A226" s="3"/>
      <c r="B226" s="212"/>
      <c r="C226" s="1246" t="s">
        <v>1002</v>
      </c>
      <c r="D226" s="740"/>
      <c r="E226" s="740"/>
      <c r="F226" s="203" t="s">
        <v>1003</v>
      </c>
      <c r="G226" s="187"/>
      <c r="H226" s="204"/>
      <c r="I226" s="204"/>
      <c r="J226" s="204"/>
      <c r="K226" s="204"/>
      <c r="L226" s="204"/>
      <c r="M226" s="204"/>
      <c r="N226" s="204"/>
      <c r="O226" s="204"/>
      <c r="P226" s="326"/>
      <c r="Q226" s="77"/>
      <c r="R226" s="77"/>
      <c r="S226" s="77"/>
      <c r="T226" s="77"/>
      <c r="U226" s="214"/>
      <c r="V226" s="77"/>
      <c r="W226" s="3"/>
      <c r="X226" s="3"/>
      <c r="Y226" s="3"/>
      <c r="Z226" s="3"/>
      <c r="AA226" s="3"/>
      <c r="AB226" s="3"/>
      <c r="AC226" s="3"/>
      <c r="AD226" s="3"/>
      <c r="AE226" s="3"/>
      <c r="AF226" s="3"/>
      <c r="AG226" s="3"/>
    </row>
    <row r="227" spans="1:33" ht="11.7" customHeight="1" x14ac:dyDescent="0.25">
      <c r="A227" s="1"/>
      <c r="B227" s="212"/>
      <c r="C227" s="1212"/>
      <c r="D227" s="727"/>
      <c r="E227" s="727"/>
      <c r="F227" s="1031"/>
      <c r="G227" s="1249" t="str">
        <f t="shared" ref="G227:P227" si="105">G$17</f>
        <v>Year 1</v>
      </c>
      <c r="H227" s="1249" t="str">
        <f t="shared" si="105"/>
        <v>Year 2</v>
      </c>
      <c r="I227" s="1249" t="str">
        <f t="shared" si="105"/>
        <v>Year 3</v>
      </c>
      <c r="J227" s="1249" t="str">
        <f t="shared" si="105"/>
        <v>Year 4</v>
      </c>
      <c r="K227" s="1249" t="str">
        <f t="shared" si="105"/>
        <v>Year 5</v>
      </c>
      <c r="L227" s="1249" t="str">
        <f t="shared" si="105"/>
        <v>Year 6</v>
      </c>
      <c r="M227" s="1249" t="str">
        <f t="shared" si="105"/>
        <v>Year 7</v>
      </c>
      <c r="N227" s="1249" t="str">
        <f t="shared" si="105"/>
        <v>Year 8</v>
      </c>
      <c r="O227" s="1249" t="str">
        <f t="shared" si="105"/>
        <v>Year 9</v>
      </c>
      <c r="P227" s="1249" t="str">
        <f t="shared" si="105"/>
        <v>Year 10</v>
      </c>
      <c r="Q227" s="77"/>
      <c r="R227" s="77"/>
      <c r="S227" s="77"/>
      <c r="T227" s="77"/>
      <c r="U227" s="214"/>
      <c r="V227" s="77"/>
      <c r="W227" s="77"/>
      <c r="X227" s="77"/>
      <c r="Y227" s="77"/>
      <c r="Z227" s="77"/>
      <c r="AA227" s="77"/>
      <c r="AB227" s="77"/>
      <c r="AC227" s="77"/>
      <c r="AD227" s="77"/>
      <c r="AE227" s="77"/>
      <c r="AF227" s="77"/>
      <c r="AG227" s="77"/>
    </row>
    <row r="228" spans="1:33" ht="11.7" customHeight="1" x14ac:dyDescent="0.25">
      <c r="A228" s="1"/>
      <c r="B228" s="212"/>
      <c r="C228" s="328"/>
      <c r="D228" s="312"/>
      <c r="E228" s="312"/>
      <c r="F228" s="359"/>
      <c r="G228" s="310" t="str">
        <f t="shared" ref="G228:P228" si="106">G$18</f>
        <v>2023-24</v>
      </c>
      <c r="H228" s="310" t="str">
        <f t="shared" si="106"/>
        <v>2024-25</v>
      </c>
      <c r="I228" s="310" t="str">
        <f t="shared" si="106"/>
        <v>2025-26</v>
      </c>
      <c r="J228" s="310" t="str">
        <f t="shared" si="106"/>
        <v>2026-27</v>
      </c>
      <c r="K228" s="310" t="str">
        <f t="shared" si="106"/>
        <v>2027-28</v>
      </c>
      <c r="L228" s="310" t="str">
        <f t="shared" si="106"/>
        <v>2028-29</v>
      </c>
      <c r="M228" s="310" t="str">
        <f t="shared" si="106"/>
        <v>2029-30</v>
      </c>
      <c r="N228" s="310" t="str">
        <f t="shared" si="106"/>
        <v>2030-31</v>
      </c>
      <c r="O228" s="310" t="str">
        <f t="shared" si="106"/>
        <v>2031-32</v>
      </c>
      <c r="P228" s="310" t="str">
        <f t="shared" si="106"/>
        <v>2032-33</v>
      </c>
      <c r="Q228" s="77"/>
      <c r="R228" s="77"/>
      <c r="S228" s="77"/>
      <c r="T228" s="77"/>
      <c r="U228" s="214"/>
      <c r="V228" s="77"/>
      <c r="W228" s="77"/>
      <c r="X228" s="77"/>
      <c r="Y228" s="77"/>
      <c r="Z228" s="77"/>
      <c r="AA228" s="77"/>
      <c r="AB228" s="77"/>
      <c r="AC228" s="77"/>
      <c r="AD228" s="77"/>
      <c r="AE228" s="77"/>
      <c r="AF228" s="77"/>
      <c r="AG228" s="77"/>
    </row>
    <row r="229" spans="1:33" ht="11.7" customHeight="1" x14ac:dyDescent="0.25">
      <c r="A229" s="1"/>
      <c r="B229" s="212"/>
      <c r="C229" s="1212"/>
      <c r="D229" s="727"/>
      <c r="E229" s="727"/>
      <c r="F229" s="1190"/>
      <c r="G229" s="1256"/>
      <c r="H229" s="1256"/>
      <c r="I229" s="1256"/>
      <c r="J229" s="1256"/>
      <c r="K229" s="1256"/>
      <c r="L229" s="1256"/>
      <c r="M229" s="1256"/>
      <c r="N229" s="1256"/>
      <c r="O229" s="1256"/>
      <c r="P229" s="1256"/>
      <c r="Q229" s="77"/>
      <c r="R229" s="741"/>
      <c r="S229" s="77"/>
      <c r="T229" s="77"/>
      <c r="U229" s="214"/>
      <c r="V229" s="77"/>
      <c r="W229" s="77"/>
      <c r="X229" s="77"/>
      <c r="Y229" s="77"/>
      <c r="Z229" s="77"/>
      <c r="AA229" s="77"/>
      <c r="AB229" s="77"/>
      <c r="AC229" s="77"/>
      <c r="AD229" s="77"/>
      <c r="AE229" s="77"/>
      <c r="AF229" s="77"/>
      <c r="AG229" s="77"/>
    </row>
    <row r="230" spans="1:33" ht="11.7" customHeight="1" x14ac:dyDescent="0.25">
      <c r="A230" s="1"/>
      <c r="B230" s="212"/>
      <c r="C230" s="309" t="s">
        <v>1004</v>
      </c>
      <c r="E230" s="314"/>
      <c r="F230" s="347"/>
      <c r="G230" s="348"/>
      <c r="H230" s="348"/>
      <c r="I230" s="348"/>
      <c r="J230" s="348"/>
      <c r="K230" s="348"/>
      <c r="L230" s="348"/>
      <c r="M230" s="348"/>
      <c r="N230" s="348"/>
      <c r="O230" s="348"/>
      <c r="P230" s="348"/>
      <c r="Q230" s="77"/>
      <c r="R230" s="741"/>
      <c r="S230" s="77"/>
      <c r="T230" s="77"/>
      <c r="U230" s="214"/>
      <c r="V230" s="77"/>
      <c r="W230" s="77"/>
      <c r="X230" s="77"/>
      <c r="Y230" s="77"/>
      <c r="Z230" s="77"/>
      <c r="AA230" s="77"/>
      <c r="AB230" s="77"/>
      <c r="AC230" s="77"/>
      <c r="AD230" s="77"/>
      <c r="AE230" s="77"/>
      <c r="AF230" s="77"/>
      <c r="AG230" s="77"/>
    </row>
    <row r="231" spans="1:33" ht="11.7" customHeight="1" x14ac:dyDescent="0.25">
      <c r="A231" s="1"/>
      <c r="B231" s="212"/>
      <c r="C231" s="350" t="s">
        <v>1005</v>
      </c>
      <c r="D231" s="362" t="s">
        <v>1006</v>
      </c>
      <c r="E231" s="314"/>
      <c r="F231" s="347"/>
      <c r="G231" s="825">
        <f t="shared" ref="G231:P231" si="107">IF(G41=0,".",(G41/F41)-1)</f>
        <v>4.6172007714694985E-2</v>
      </c>
      <c r="H231" s="825">
        <f t="shared" si="107"/>
        <v>3.9943482115212259E-2</v>
      </c>
      <c r="I231" s="825">
        <f t="shared" si="107"/>
        <v>3.5915231843976603E-2</v>
      </c>
      <c r="J231" s="825">
        <f t="shared" si="107"/>
        <v>3.0202492846557627E-2</v>
      </c>
      <c r="K231" s="825">
        <f t="shared" si="107"/>
        <v>3.300000060362529E-2</v>
      </c>
      <c r="L231" s="825">
        <f t="shared" si="107"/>
        <v>3.2999999322137485E-2</v>
      </c>
      <c r="M231" s="825">
        <f t="shared" si="107"/>
        <v>3.3000000223714299E-2</v>
      </c>
      <c r="N231" s="825">
        <f t="shared" si="107"/>
        <v>3.2999999880909403E-2</v>
      </c>
      <c r="O231" s="825">
        <f t="shared" si="107"/>
        <v>3.1999999762216014E-2</v>
      </c>
      <c r="P231" s="825">
        <f t="shared" si="107"/>
        <v>3.1999999257313672E-2</v>
      </c>
      <c r="Q231" s="77"/>
      <c r="R231" s="741"/>
      <c r="S231" s="77"/>
      <c r="T231" s="77"/>
      <c r="U231" s="214"/>
      <c r="V231" s="77"/>
      <c r="W231" s="77"/>
      <c r="X231" s="77"/>
      <c r="Y231" s="77"/>
      <c r="Z231" s="77"/>
      <c r="AA231" s="77"/>
      <c r="AB231" s="77"/>
      <c r="AC231" s="77"/>
      <c r="AD231" s="77"/>
      <c r="AE231" s="77"/>
      <c r="AF231" s="77"/>
      <c r="AG231" s="77"/>
    </row>
    <row r="232" spans="1:33" ht="11.7" customHeight="1" x14ac:dyDescent="0.25">
      <c r="A232" s="1"/>
      <c r="B232" s="212"/>
      <c r="C232" s="350" t="s">
        <v>1007</v>
      </c>
      <c r="D232" s="692" t="str">
        <f>D231</f>
        <v>% pa</v>
      </c>
      <c r="E232" s="314"/>
      <c r="F232" s="347"/>
      <c r="G232" s="825">
        <f t="shared" ref="G232:P232" si="108">IF(G94=0,".",(G94/F94)-1)</f>
        <v>4.311984332223795E-2</v>
      </c>
      <c r="H232" s="825">
        <f t="shared" si="108"/>
        <v>4.0060356580407408E-2</v>
      </c>
      <c r="I232" s="825">
        <f t="shared" si="108"/>
        <v>3.6016271962199253E-2</v>
      </c>
      <c r="J232" s="825">
        <f t="shared" si="108"/>
        <v>3.2999999906654587E-2</v>
      </c>
      <c r="K232" s="825">
        <f t="shared" si="108"/>
        <v>3.300000060362529E-2</v>
      </c>
      <c r="L232" s="825">
        <f t="shared" si="108"/>
        <v>3.2999999322137485E-2</v>
      </c>
      <c r="M232" s="825">
        <f t="shared" si="108"/>
        <v>3.3000000223714299E-2</v>
      </c>
      <c r="N232" s="825">
        <f t="shared" si="108"/>
        <v>3.2999999880909403E-2</v>
      </c>
      <c r="O232" s="825">
        <f t="shared" si="108"/>
        <v>3.1999999762216014E-2</v>
      </c>
      <c r="P232" s="825">
        <f t="shared" si="108"/>
        <v>3.1999999257313672E-2</v>
      </c>
      <c r="Q232" s="77"/>
      <c r="R232" s="741"/>
      <c r="S232" s="77"/>
      <c r="T232" s="77"/>
      <c r="U232" s="214"/>
      <c r="V232" s="77"/>
      <c r="W232" s="77"/>
      <c r="X232" s="77"/>
      <c r="Y232" s="77"/>
      <c r="Z232" s="77"/>
      <c r="AA232" s="77"/>
      <c r="AB232" s="77"/>
      <c r="AC232" s="77"/>
      <c r="AD232" s="77"/>
      <c r="AE232" s="77"/>
      <c r="AF232" s="77"/>
      <c r="AG232" s="77"/>
    </row>
    <row r="233" spans="1:33" ht="11.7" customHeight="1" x14ac:dyDescent="0.25">
      <c r="A233" s="1"/>
      <c r="B233" s="212"/>
      <c r="C233" s="309" t="s">
        <v>1008</v>
      </c>
      <c r="D233" s="314"/>
      <c r="E233" s="314"/>
      <c r="F233" s="742"/>
      <c r="G233" s="348"/>
      <c r="H233" s="348"/>
      <c r="I233" s="348"/>
      <c r="J233" s="348"/>
      <c r="K233" s="348"/>
      <c r="L233" s="348"/>
      <c r="M233" s="348"/>
      <c r="N233" s="348"/>
      <c r="O233" s="348"/>
      <c r="P233" s="348"/>
      <c r="Q233" s="77"/>
      <c r="R233" s="741"/>
      <c r="S233" s="77"/>
      <c r="T233" s="77"/>
      <c r="U233" s="342"/>
      <c r="V233" s="77"/>
      <c r="W233" s="77"/>
      <c r="X233" s="77"/>
      <c r="Y233" s="77"/>
      <c r="Z233" s="77"/>
      <c r="AA233" s="77"/>
      <c r="AB233" s="77"/>
      <c r="AC233" s="77"/>
      <c r="AD233" s="77"/>
      <c r="AE233" s="77"/>
      <c r="AF233" s="77"/>
      <c r="AG233" s="77"/>
    </row>
    <row r="234" spans="1:33" ht="11.7" customHeight="1" x14ac:dyDescent="0.25">
      <c r="A234" s="1"/>
      <c r="B234" s="212"/>
      <c r="C234" s="334" t="str">
        <f>$C$231</f>
        <v>Scenario 1: Proposed (with SV)</v>
      </c>
      <c r="D234" s="692" t="str">
        <f>D$231</f>
        <v>% pa</v>
      </c>
      <c r="E234" s="314"/>
      <c r="F234" s="360"/>
      <c r="G234" s="352">
        <v>2E-3</v>
      </c>
      <c r="H234" s="352">
        <v>0</v>
      </c>
      <c r="I234" s="352">
        <v>0</v>
      </c>
      <c r="J234" s="352">
        <v>-2E-3</v>
      </c>
      <c r="K234" s="352">
        <v>0</v>
      </c>
      <c r="L234" s="352">
        <v>0</v>
      </c>
      <c r="M234" s="352">
        <v>0</v>
      </c>
      <c r="N234" s="352">
        <v>0</v>
      </c>
      <c r="O234" s="352">
        <v>0</v>
      </c>
      <c r="P234" s="352">
        <v>0</v>
      </c>
      <c r="Q234" s="77"/>
      <c r="R234" s="349"/>
      <c r="S234" s="77"/>
      <c r="T234" s="77"/>
      <c r="U234" s="342"/>
      <c r="V234" s="77"/>
      <c r="W234" s="77"/>
      <c r="X234" s="77"/>
      <c r="Y234" s="77"/>
      <c r="Z234" s="77"/>
      <c r="AA234" s="77"/>
      <c r="AB234" s="77"/>
      <c r="AC234" s="77"/>
      <c r="AD234" s="77"/>
      <c r="AE234" s="77"/>
      <c r="AF234" s="77"/>
      <c r="AG234" s="77"/>
    </row>
    <row r="235" spans="1:33" ht="11.7" customHeight="1" x14ac:dyDescent="0.25">
      <c r="A235" s="1"/>
      <c r="B235" s="212"/>
      <c r="C235" s="334" t="str">
        <f>$C$232</f>
        <v>Scenario 2 - Base case (no SV)</v>
      </c>
      <c r="D235" s="692" t="str">
        <f>D232</f>
        <v>% pa</v>
      </c>
      <c r="E235" s="314"/>
      <c r="F235" s="360"/>
      <c r="G235" s="352">
        <v>0</v>
      </c>
      <c r="H235" s="352">
        <v>0</v>
      </c>
      <c r="I235" s="352">
        <v>0</v>
      </c>
      <c r="J235" s="352">
        <v>0</v>
      </c>
      <c r="K235" s="352">
        <v>0</v>
      </c>
      <c r="L235" s="352">
        <v>0</v>
      </c>
      <c r="M235" s="352">
        <v>0</v>
      </c>
      <c r="N235" s="352">
        <v>0</v>
      </c>
      <c r="O235" s="352">
        <v>0</v>
      </c>
      <c r="P235" s="352">
        <v>0</v>
      </c>
      <c r="Q235" s="77"/>
      <c r="R235" s="349"/>
      <c r="S235" s="77"/>
      <c r="T235" s="77"/>
      <c r="U235" s="342"/>
      <c r="V235" s="77"/>
      <c r="W235" s="77"/>
      <c r="X235" s="77"/>
      <c r="Y235" s="77"/>
      <c r="Z235" s="77"/>
      <c r="AA235" s="77"/>
      <c r="AB235" s="77"/>
      <c r="AC235" s="77"/>
      <c r="AD235" s="77"/>
      <c r="AE235" s="77"/>
      <c r="AF235" s="77"/>
      <c r="AG235" s="77"/>
    </row>
    <row r="236" spans="1:33" ht="11.7" customHeight="1" x14ac:dyDescent="0.25">
      <c r="A236" s="1"/>
      <c r="B236" s="212"/>
      <c r="C236" s="309" t="s">
        <v>1009</v>
      </c>
      <c r="D236" s="314"/>
      <c r="E236" s="314"/>
      <c r="F236" s="742"/>
      <c r="G236" s="351"/>
      <c r="H236" s="351"/>
      <c r="I236" s="351"/>
      <c r="J236" s="351"/>
      <c r="K236" s="351"/>
      <c r="L236" s="351"/>
      <c r="M236" s="351"/>
      <c r="N236" s="351"/>
      <c r="O236" s="351"/>
      <c r="P236" s="351"/>
      <c r="Q236" s="77"/>
      <c r="R236" s="741"/>
      <c r="S236" s="77"/>
      <c r="T236" s="77"/>
      <c r="U236" s="342"/>
      <c r="V236" s="77"/>
      <c r="W236" s="77"/>
      <c r="X236" s="77"/>
      <c r="Y236" s="77"/>
      <c r="Z236" s="77"/>
      <c r="AA236" s="77"/>
      <c r="AB236" s="77"/>
      <c r="AC236" s="77"/>
      <c r="AD236" s="77"/>
      <c r="AE236" s="77"/>
      <c r="AF236" s="77"/>
      <c r="AG236" s="77"/>
    </row>
    <row r="237" spans="1:33" ht="11.7" customHeight="1" x14ac:dyDescent="0.25">
      <c r="A237" s="1"/>
      <c r="B237" s="212"/>
      <c r="C237" s="334" t="str">
        <f>$C$231</f>
        <v>Scenario 1: Proposed (with SV)</v>
      </c>
      <c r="D237" s="692" t="str">
        <f t="shared" ref="D237" si="109">D$231</f>
        <v>% pa</v>
      </c>
      <c r="E237" s="314"/>
      <c r="F237" s="360"/>
      <c r="G237" s="352">
        <v>0</v>
      </c>
      <c r="H237" s="352">
        <v>0</v>
      </c>
      <c r="I237" s="352">
        <v>0</v>
      </c>
      <c r="J237" s="352">
        <v>0</v>
      </c>
      <c r="K237" s="352">
        <v>0</v>
      </c>
      <c r="L237" s="352">
        <v>0</v>
      </c>
      <c r="M237" s="352">
        <v>0</v>
      </c>
      <c r="N237" s="352">
        <v>0</v>
      </c>
      <c r="O237" s="352">
        <v>0</v>
      </c>
      <c r="P237" s="352">
        <v>1.12E-2</v>
      </c>
      <c r="Q237" s="77"/>
      <c r="R237" s="349"/>
      <c r="S237" s="77"/>
      <c r="T237" s="77"/>
      <c r="U237" s="342"/>
      <c r="V237" s="77"/>
      <c r="W237" s="77"/>
      <c r="X237" s="77"/>
      <c r="Y237" s="77"/>
      <c r="Z237" s="77"/>
      <c r="AA237" s="77"/>
      <c r="AB237" s="77"/>
      <c r="AC237" s="77"/>
      <c r="AD237" s="77"/>
      <c r="AE237" s="77"/>
      <c r="AF237" s="77"/>
      <c r="AG237" s="77"/>
    </row>
    <row r="238" spans="1:33" ht="11.7" customHeight="1" x14ac:dyDescent="0.25">
      <c r="A238" s="1"/>
      <c r="B238" s="212"/>
      <c r="C238" s="334" t="str">
        <f>$C$232</f>
        <v>Scenario 2 - Base case (no SV)</v>
      </c>
      <c r="D238" s="692" t="str">
        <f t="shared" ref="D238" si="110">D235</f>
        <v>% pa</v>
      </c>
      <c r="E238" s="314"/>
      <c r="F238" s="360"/>
      <c r="G238" s="352">
        <v>0</v>
      </c>
      <c r="H238" s="352">
        <v>0</v>
      </c>
      <c r="I238" s="352">
        <v>0</v>
      </c>
      <c r="J238" s="352">
        <v>0</v>
      </c>
      <c r="K238" s="352">
        <v>0</v>
      </c>
      <c r="L238" s="352">
        <v>0</v>
      </c>
      <c r="M238" s="352">
        <v>0</v>
      </c>
      <c r="N238" s="352">
        <v>0</v>
      </c>
      <c r="O238" s="352">
        <v>0</v>
      </c>
      <c r="P238" s="352">
        <v>1.12E-2</v>
      </c>
      <c r="Q238" s="77"/>
      <c r="R238" s="349"/>
      <c r="S238" s="77"/>
      <c r="T238" s="77"/>
      <c r="U238" s="342"/>
      <c r="V238" s="77"/>
      <c r="W238" s="77"/>
      <c r="X238" s="77"/>
      <c r="Y238" s="77"/>
      <c r="Z238" s="77"/>
      <c r="AA238" s="77"/>
      <c r="AB238" s="77"/>
      <c r="AC238" s="77"/>
      <c r="AD238" s="77"/>
      <c r="AE238" s="77"/>
      <c r="AF238" s="77"/>
      <c r="AG238" s="77"/>
    </row>
    <row r="239" spans="1:33" ht="11.7" customHeight="1" x14ac:dyDescent="0.25">
      <c r="A239" s="1"/>
      <c r="B239" s="212"/>
      <c r="C239" s="309" t="s">
        <v>1010</v>
      </c>
      <c r="D239" s="314"/>
      <c r="E239" s="314"/>
      <c r="F239" s="742"/>
      <c r="G239" s="351"/>
      <c r="H239" s="351"/>
      <c r="I239" s="351"/>
      <c r="J239" s="351"/>
      <c r="K239" s="351"/>
      <c r="L239" s="351"/>
      <c r="M239" s="351"/>
      <c r="N239" s="351"/>
      <c r="O239" s="351"/>
      <c r="P239" s="351"/>
      <c r="Q239" s="77"/>
      <c r="R239" s="741"/>
      <c r="S239" s="77"/>
      <c r="T239" s="77"/>
      <c r="U239" s="342"/>
      <c r="V239" s="77"/>
      <c r="W239" s="77"/>
      <c r="X239" s="77"/>
      <c r="Y239" s="77"/>
      <c r="Z239" s="77"/>
      <c r="AA239" s="77"/>
      <c r="AB239" s="77"/>
      <c r="AC239" s="77"/>
      <c r="AD239" s="77"/>
      <c r="AE239" s="77"/>
      <c r="AF239" s="77"/>
      <c r="AG239" s="77"/>
    </row>
    <row r="240" spans="1:33" ht="11.7" customHeight="1" x14ac:dyDescent="0.25">
      <c r="A240" s="1"/>
      <c r="B240" s="212"/>
      <c r="C240" s="334" t="str">
        <f>$C$231</f>
        <v>Scenario 1: Proposed (with SV)</v>
      </c>
      <c r="D240" s="692" t="str">
        <f t="shared" ref="D240" si="111">D$231</f>
        <v>% pa</v>
      </c>
      <c r="E240" s="314"/>
      <c r="F240" s="360"/>
      <c r="G240" s="352">
        <v>3.5000000000000003E-2</v>
      </c>
      <c r="H240" s="352">
        <v>2.9000000000000001E-2</v>
      </c>
      <c r="I240" s="352">
        <v>2.8000000000000001E-2</v>
      </c>
      <c r="J240" s="352">
        <v>2.4E-2</v>
      </c>
      <c r="K240" s="352">
        <v>2.4E-2</v>
      </c>
      <c r="L240" s="352">
        <v>2.4E-2</v>
      </c>
      <c r="M240" s="352">
        <v>2.4E-2</v>
      </c>
      <c r="N240" s="352">
        <v>2.4E-2</v>
      </c>
      <c r="O240" s="352">
        <v>2.5000000000000001E-2</v>
      </c>
      <c r="P240" s="352">
        <v>2.5000000000000001E-2</v>
      </c>
      <c r="Q240" s="77"/>
      <c r="R240" s="349"/>
      <c r="S240" s="77"/>
      <c r="T240" s="77"/>
      <c r="U240" s="342"/>
      <c r="V240" s="77"/>
      <c r="W240" s="77"/>
      <c r="X240" s="77"/>
      <c r="Y240" s="77"/>
      <c r="Z240" s="77"/>
      <c r="AA240" s="77"/>
      <c r="AB240" s="77"/>
      <c r="AC240" s="77"/>
      <c r="AD240" s="77"/>
      <c r="AE240" s="77"/>
      <c r="AF240" s="77"/>
      <c r="AG240" s="77"/>
    </row>
    <row r="241" spans="1:33" ht="11.7" customHeight="1" x14ac:dyDescent="0.25">
      <c r="A241" s="1"/>
      <c r="B241" s="212"/>
      <c r="C241" s="334" t="str">
        <f>$C$232</f>
        <v>Scenario 2 - Base case (no SV)</v>
      </c>
      <c r="D241" s="692" t="str">
        <f t="shared" ref="D241" si="112">D238</f>
        <v>% pa</v>
      </c>
      <c r="E241" s="314"/>
      <c r="F241" s="360"/>
      <c r="G241" s="352">
        <v>3.5000000000000003E-2</v>
      </c>
      <c r="H241" s="352">
        <v>2.9000000000000001E-2</v>
      </c>
      <c r="I241" s="352">
        <v>2.8000000000000001E-2</v>
      </c>
      <c r="J241" s="352">
        <v>2.4E-2</v>
      </c>
      <c r="K241" s="352">
        <v>2.4E-2</v>
      </c>
      <c r="L241" s="352">
        <v>2.4E-2</v>
      </c>
      <c r="M241" s="352">
        <v>2.4E-2</v>
      </c>
      <c r="N241" s="352">
        <v>2.4E-2</v>
      </c>
      <c r="O241" s="352">
        <v>2.5000000000000001E-2</v>
      </c>
      <c r="P241" s="352">
        <v>2.5000000000000001E-2</v>
      </c>
      <c r="Q241" s="77"/>
      <c r="R241" s="349"/>
      <c r="S241" s="77"/>
      <c r="T241" s="77"/>
      <c r="U241" s="342"/>
      <c r="V241" s="77"/>
      <c r="W241" s="77"/>
      <c r="X241" s="77"/>
      <c r="Y241" s="77"/>
      <c r="Z241" s="77"/>
      <c r="AA241" s="77"/>
      <c r="AB241" s="77"/>
      <c r="AC241" s="77"/>
      <c r="AD241" s="77"/>
      <c r="AE241" s="77"/>
      <c r="AF241" s="77"/>
      <c r="AG241" s="77"/>
    </row>
    <row r="242" spans="1:33" ht="11.7" customHeight="1" x14ac:dyDescent="0.25">
      <c r="A242" s="1"/>
      <c r="B242" s="212"/>
      <c r="C242" s="309" t="s">
        <v>1011</v>
      </c>
      <c r="D242" s="314"/>
      <c r="E242" s="314"/>
      <c r="F242" s="742"/>
      <c r="G242" s="351"/>
      <c r="H242" s="351"/>
      <c r="I242" s="351"/>
      <c r="J242" s="351"/>
      <c r="K242" s="351"/>
      <c r="L242" s="351"/>
      <c r="M242" s="351"/>
      <c r="N242" s="351"/>
      <c r="O242" s="351"/>
      <c r="P242" s="351"/>
      <c r="Q242" s="77"/>
      <c r="R242" s="741"/>
      <c r="S242" s="77"/>
      <c r="T242" s="77"/>
      <c r="U242" s="342"/>
      <c r="V242" s="77"/>
      <c r="W242" s="77"/>
      <c r="X242" s="77"/>
      <c r="Y242" s="77"/>
      <c r="Z242" s="77"/>
      <c r="AA242" s="77"/>
      <c r="AB242" s="77"/>
      <c r="AC242" s="77"/>
      <c r="AD242" s="77"/>
      <c r="AE242" s="77"/>
      <c r="AF242" s="77"/>
      <c r="AG242" s="77"/>
    </row>
    <row r="243" spans="1:33" ht="11.7" customHeight="1" x14ac:dyDescent="0.25">
      <c r="A243" s="1"/>
      <c r="B243" s="212"/>
      <c r="C243" s="334" t="str">
        <f>$C$231</f>
        <v>Scenario 1: Proposed (with SV)</v>
      </c>
      <c r="D243" s="692" t="str">
        <f t="shared" ref="D243" si="113">D$231</f>
        <v>% pa</v>
      </c>
      <c r="E243" s="314"/>
      <c r="F243" s="360"/>
      <c r="G243" s="352">
        <v>0</v>
      </c>
      <c r="H243" s="352">
        <v>0</v>
      </c>
      <c r="I243" s="352">
        <v>0</v>
      </c>
      <c r="J243" s="352">
        <v>0</v>
      </c>
      <c r="K243" s="352">
        <v>0</v>
      </c>
      <c r="L243" s="352">
        <v>0</v>
      </c>
      <c r="M243" s="352">
        <v>0</v>
      </c>
      <c r="N243" s="352">
        <v>0</v>
      </c>
      <c r="O243" s="352">
        <v>0</v>
      </c>
      <c r="P243" s="352">
        <v>0</v>
      </c>
      <c r="Q243" s="77"/>
      <c r="R243" s="349"/>
      <c r="S243" s="77"/>
      <c r="T243" s="77"/>
      <c r="U243" s="342"/>
      <c r="V243" s="77"/>
      <c r="W243" s="77"/>
      <c r="X243" s="77"/>
      <c r="Y243" s="77"/>
      <c r="Z243" s="77"/>
      <c r="AA243" s="77"/>
      <c r="AB243" s="77"/>
      <c r="AC243" s="77"/>
      <c r="AD243" s="77"/>
      <c r="AE243" s="77"/>
      <c r="AF243" s="77"/>
      <c r="AG243" s="77"/>
    </row>
    <row r="244" spans="1:33" ht="11.7" customHeight="1" x14ac:dyDescent="0.25">
      <c r="A244" s="1"/>
      <c r="B244" s="212"/>
      <c r="C244" s="336" t="str">
        <f>$C$232</f>
        <v>Scenario 2 - Base case (no SV)</v>
      </c>
      <c r="D244" s="693" t="str">
        <f t="shared" ref="D244" si="114">D241</f>
        <v>% pa</v>
      </c>
      <c r="E244" s="315"/>
      <c r="F244" s="361"/>
      <c r="G244" s="353">
        <v>0</v>
      </c>
      <c r="H244" s="353">
        <v>0</v>
      </c>
      <c r="I244" s="353">
        <v>0</v>
      </c>
      <c r="J244" s="353">
        <v>0</v>
      </c>
      <c r="K244" s="353">
        <v>0</v>
      </c>
      <c r="L244" s="353">
        <v>0</v>
      </c>
      <c r="M244" s="353">
        <v>0</v>
      </c>
      <c r="N244" s="353">
        <v>0</v>
      </c>
      <c r="O244" s="353">
        <v>0</v>
      </c>
      <c r="P244" s="353">
        <v>0</v>
      </c>
      <c r="Q244" s="77"/>
      <c r="R244" s="349"/>
      <c r="S244" s="77"/>
      <c r="T244" s="77"/>
      <c r="U244" s="342"/>
      <c r="V244" s="77"/>
      <c r="W244" s="77"/>
      <c r="X244" s="77"/>
      <c r="Y244" s="77"/>
      <c r="Z244" s="77"/>
      <c r="AA244" s="77"/>
      <c r="AB244" s="77"/>
      <c r="AC244" s="77"/>
      <c r="AD244" s="77"/>
      <c r="AE244" s="77"/>
      <c r="AF244" s="77"/>
      <c r="AG244" s="77"/>
    </row>
    <row r="245" spans="1:33" ht="11.7" customHeight="1" thickBot="1" x14ac:dyDescent="0.25">
      <c r="A245" s="1"/>
      <c r="B245" s="222"/>
      <c r="C245" s="473"/>
      <c r="D245" s="473"/>
      <c r="E245" s="473"/>
      <c r="F245" s="355"/>
      <c r="G245" s="355"/>
      <c r="H245" s="355"/>
      <c r="I245" s="355"/>
      <c r="J245" s="355"/>
      <c r="K245" s="355"/>
      <c r="L245" s="355"/>
      <c r="M245" s="355"/>
      <c r="N245" s="355"/>
      <c r="O245" s="355"/>
      <c r="P245" s="355"/>
      <c r="Q245" s="355"/>
      <c r="R245" s="355"/>
      <c r="S245" s="355"/>
      <c r="T245" s="355"/>
      <c r="U245" s="356"/>
      <c r="V245" s="77"/>
      <c r="W245" s="77"/>
      <c r="X245" s="77"/>
      <c r="Y245" s="77"/>
      <c r="Z245" s="77"/>
      <c r="AA245" s="77"/>
      <c r="AB245" s="77"/>
      <c r="AC245" s="77"/>
      <c r="AD245" s="77"/>
      <c r="AE245" s="77"/>
      <c r="AF245" s="77"/>
      <c r="AG245" s="77"/>
    </row>
    <row r="246" spans="1:33" ht="11.7" customHeight="1" x14ac:dyDescent="0.2">
      <c r="A246" s="1"/>
      <c r="B246" s="3"/>
      <c r="C246" s="1"/>
      <c r="D246" s="1"/>
      <c r="E246" s="1"/>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row>
    <row r="247" spans="1:33" ht="11.7" customHeight="1" x14ac:dyDescent="0.2">
      <c r="A247" s="1"/>
      <c r="B247" s="3"/>
      <c r="C247" s="1"/>
      <c r="D247" s="1"/>
      <c r="E247" s="1"/>
      <c r="F247" s="77"/>
      <c r="G247" s="77"/>
      <c r="H247" s="77"/>
      <c r="I247" s="80"/>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row>
    <row r="248" spans="1:33" ht="11.7" customHeight="1" x14ac:dyDescent="0.2">
      <c r="A248" s="1"/>
      <c r="B248" s="3"/>
      <c r="C248" s="1"/>
      <c r="D248" s="1"/>
      <c r="E248" s="1"/>
      <c r="F248" s="77"/>
      <c r="G248" s="77"/>
      <c r="H248" s="77"/>
      <c r="I248" s="80"/>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row>
    <row r="249" spans="1:33" ht="11.7" customHeight="1" x14ac:dyDescent="0.2">
      <c r="A249" s="1"/>
      <c r="B249" s="3"/>
      <c r="C249" s="1"/>
      <c r="D249" s="1"/>
      <c r="E249" s="1"/>
      <c r="F249" s="77"/>
      <c r="G249" s="77"/>
      <c r="H249" s="77"/>
      <c r="I249" s="80"/>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row>
    <row r="250" spans="1:33" ht="11.7" customHeight="1" x14ac:dyDescent="0.2">
      <c r="A250" s="1"/>
      <c r="B250" s="3"/>
      <c r="C250" s="1"/>
      <c r="D250" s="1"/>
      <c r="E250" s="1"/>
      <c r="F250" s="77"/>
      <c r="G250" s="77"/>
      <c r="H250" s="77"/>
      <c r="I250" s="80"/>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row>
    <row r="251" spans="1:33" ht="11.7" customHeight="1" x14ac:dyDescent="0.2">
      <c r="A251" s="1"/>
      <c r="B251" s="3"/>
      <c r="C251" s="1"/>
      <c r="D251" s="1"/>
      <c r="E251" s="1"/>
      <c r="F251" s="77"/>
      <c r="G251" s="77"/>
      <c r="H251" s="77"/>
      <c r="I251" s="80"/>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row>
    <row r="252" spans="1:33" ht="11.7" customHeight="1" x14ac:dyDescent="0.2">
      <c r="A252" s="1"/>
      <c r="B252" s="3"/>
      <c r="C252" s="1"/>
      <c r="D252" s="1"/>
      <c r="E252" s="1"/>
      <c r="F252" s="77"/>
      <c r="G252" s="357"/>
      <c r="H252" s="357"/>
      <c r="I252" s="358"/>
      <c r="J252" s="357"/>
      <c r="K252" s="357"/>
      <c r="L252" s="357"/>
      <c r="M252" s="357"/>
      <c r="N252" s="357"/>
      <c r="O252" s="357"/>
      <c r="P252" s="357"/>
      <c r="Q252" s="77"/>
      <c r="R252" s="77"/>
      <c r="S252" s="77"/>
      <c r="T252" s="77"/>
      <c r="U252" s="77"/>
      <c r="V252" s="77"/>
      <c r="W252" s="77"/>
      <c r="X252" s="77"/>
      <c r="Y252" s="77"/>
      <c r="Z252" s="77"/>
      <c r="AA252" s="77"/>
      <c r="AB252" s="77"/>
      <c r="AC252" s="77"/>
      <c r="AD252" s="77"/>
      <c r="AE252" s="77"/>
      <c r="AF252" s="77"/>
      <c r="AG252" s="77"/>
    </row>
    <row r="253" spans="1:33" ht="11.7" customHeight="1" x14ac:dyDescent="0.2">
      <c r="A253" s="1"/>
      <c r="B253" s="3"/>
      <c r="C253" s="1"/>
      <c r="D253" s="1"/>
      <c r="E253" s="1"/>
      <c r="F253" s="77"/>
      <c r="G253" s="357"/>
      <c r="H253" s="357"/>
      <c r="I253" s="358"/>
      <c r="J253" s="357"/>
      <c r="K253" s="357"/>
      <c r="L253" s="357"/>
      <c r="M253" s="357"/>
      <c r="N253" s="357"/>
      <c r="O253" s="357"/>
      <c r="P253" s="357"/>
      <c r="Q253" s="77"/>
      <c r="R253" s="77"/>
      <c r="S253" s="77"/>
      <c r="T253" s="77"/>
      <c r="U253" s="77"/>
      <c r="V253" s="77"/>
      <c r="W253" s="77"/>
      <c r="X253" s="77"/>
      <c r="Y253" s="77"/>
      <c r="Z253" s="77"/>
      <c r="AA253" s="77"/>
      <c r="AB253" s="77"/>
      <c r="AC253" s="77"/>
      <c r="AD253" s="77"/>
      <c r="AE253" s="77"/>
      <c r="AF253" s="77"/>
      <c r="AG253" s="77"/>
    </row>
    <row r="254" spans="1:33" ht="11.7" customHeight="1" x14ac:dyDescent="0.2">
      <c r="A254" s="1"/>
      <c r="B254" s="3"/>
      <c r="C254" s="1"/>
      <c r="D254" s="1"/>
      <c r="E254" s="1"/>
      <c r="F254" s="77"/>
      <c r="G254" s="357"/>
      <c r="H254" s="357"/>
      <c r="I254" s="358"/>
      <c r="J254" s="357"/>
      <c r="K254" s="357"/>
      <c r="L254" s="357"/>
      <c r="M254" s="357"/>
      <c r="N254" s="357"/>
      <c r="O254" s="357"/>
      <c r="P254" s="357"/>
      <c r="Q254" s="77"/>
      <c r="R254" s="77"/>
      <c r="S254" s="77"/>
      <c r="T254" s="77"/>
      <c r="U254" s="77"/>
      <c r="V254" s="77"/>
      <c r="W254" s="77"/>
      <c r="X254" s="77"/>
      <c r="Y254" s="77"/>
      <c r="Z254" s="77"/>
      <c r="AA254" s="77"/>
      <c r="AB254" s="77"/>
      <c r="AC254" s="77"/>
      <c r="AD254" s="77"/>
      <c r="AE254" s="77"/>
      <c r="AF254" s="77"/>
      <c r="AG254" s="77"/>
    </row>
    <row r="255" spans="1:33" ht="11.7" customHeight="1" x14ac:dyDescent="0.2">
      <c r="A255" s="1"/>
      <c r="B255" s="3"/>
      <c r="C255" s="1"/>
      <c r="D255" s="1"/>
      <c r="E255" s="1"/>
      <c r="F255" s="77"/>
      <c r="G255" s="357"/>
      <c r="H255" s="357"/>
      <c r="I255" s="358"/>
      <c r="J255" s="357"/>
      <c r="K255" s="357"/>
      <c r="L255" s="357"/>
      <c r="M255" s="357"/>
      <c r="N255" s="357"/>
      <c r="O255" s="357"/>
      <c r="P255" s="357"/>
      <c r="Q255" s="77"/>
      <c r="R255" s="77"/>
      <c r="S255" s="77"/>
      <c r="T255" s="77"/>
      <c r="U255" s="77"/>
      <c r="V255" s="77"/>
      <c r="W255" s="77"/>
      <c r="X255" s="77"/>
      <c r="Y255" s="77"/>
      <c r="Z255" s="77"/>
      <c r="AA255" s="77"/>
      <c r="AB255" s="77"/>
      <c r="AC255" s="77"/>
      <c r="AD255" s="77"/>
      <c r="AE255" s="77"/>
      <c r="AF255" s="77"/>
      <c r="AG255" s="77"/>
    </row>
    <row r="256" spans="1:33" ht="11.7" customHeight="1" x14ac:dyDescent="0.2">
      <c r="A256" s="1"/>
      <c r="B256" s="3"/>
      <c r="C256" s="1"/>
      <c r="D256" s="1"/>
      <c r="E256" s="1"/>
      <c r="F256" s="77"/>
      <c r="G256" s="357"/>
      <c r="H256" s="357"/>
      <c r="I256" s="358"/>
      <c r="J256" s="357"/>
      <c r="K256" s="357"/>
      <c r="L256" s="357"/>
      <c r="M256" s="357"/>
      <c r="N256" s="357"/>
      <c r="O256" s="357"/>
      <c r="P256" s="357"/>
      <c r="Q256" s="77"/>
      <c r="R256" s="77"/>
      <c r="S256" s="77"/>
      <c r="T256" s="77"/>
      <c r="U256" s="77"/>
      <c r="V256" s="77"/>
      <c r="W256" s="77"/>
      <c r="X256" s="77"/>
      <c r="Y256" s="77"/>
      <c r="Z256" s="77"/>
      <c r="AA256" s="77"/>
      <c r="AB256" s="77"/>
      <c r="AC256" s="77"/>
      <c r="AD256" s="77"/>
      <c r="AE256" s="77"/>
      <c r="AF256" s="77"/>
      <c r="AG256" s="77"/>
    </row>
    <row r="257" spans="1:33" ht="11.7" customHeight="1" x14ac:dyDescent="0.2">
      <c r="A257" s="1"/>
      <c r="B257" s="3"/>
      <c r="C257" s="1"/>
      <c r="D257" s="1"/>
      <c r="E257" s="1"/>
      <c r="F257" s="77"/>
      <c r="G257" s="357"/>
      <c r="H257" s="357"/>
      <c r="I257" s="358"/>
      <c r="J257" s="357"/>
      <c r="K257" s="357"/>
      <c r="L257" s="357"/>
      <c r="M257" s="357"/>
      <c r="N257" s="357"/>
      <c r="O257" s="357"/>
      <c r="P257" s="357"/>
      <c r="Q257" s="77"/>
      <c r="R257" s="77"/>
      <c r="S257" s="77"/>
      <c r="T257" s="77"/>
      <c r="U257" s="77"/>
      <c r="V257" s="77"/>
      <c r="W257" s="77"/>
      <c r="X257" s="77"/>
      <c r="Y257" s="77"/>
      <c r="Z257" s="77"/>
      <c r="AA257" s="77"/>
      <c r="AB257" s="77"/>
      <c r="AC257" s="77"/>
      <c r="AD257" s="77"/>
      <c r="AE257" s="77"/>
      <c r="AF257" s="77"/>
      <c r="AG257" s="77"/>
    </row>
    <row r="258" spans="1:33" ht="11.7" customHeight="1" x14ac:dyDescent="0.2">
      <c r="A258" s="1"/>
      <c r="B258" s="3"/>
      <c r="C258" s="1"/>
      <c r="D258" s="1"/>
      <c r="E258" s="1"/>
      <c r="F258" s="77"/>
      <c r="G258" s="357"/>
      <c r="H258" s="357"/>
      <c r="I258" s="358"/>
      <c r="J258" s="357"/>
      <c r="K258" s="357"/>
      <c r="L258" s="357"/>
      <c r="M258" s="357"/>
      <c r="N258" s="357"/>
      <c r="O258" s="357"/>
      <c r="P258" s="357"/>
      <c r="Q258" s="77"/>
      <c r="R258" s="77"/>
      <c r="S258" s="77"/>
      <c r="T258" s="77"/>
      <c r="U258" s="77"/>
      <c r="V258" s="77"/>
      <c r="W258" s="77"/>
      <c r="X258" s="77"/>
      <c r="Y258" s="77"/>
      <c r="Z258" s="77"/>
      <c r="AA258" s="77"/>
      <c r="AB258" s="77"/>
      <c r="AC258" s="77"/>
      <c r="AD258" s="77"/>
      <c r="AE258" s="77"/>
      <c r="AF258" s="77"/>
      <c r="AG258" s="77"/>
    </row>
    <row r="259" spans="1:33" ht="11.7" customHeight="1" x14ac:dyDescent="0.2">
      <c r="A259" s="1"/>
      <c r="B259" s="3"/>
      <c r="C259" s="1"/>
      <c r="D259" s="1"/>
      <c r="E259" s="1"/>
      <c r="F259" s="77"/>
      <c r="G259" s="357"/>
      <c r="H259" s="357"/>
      <c r="I259" s="358"/>
      <c r="J259" s="357"/>
      <c r="K259" s="357"/>
      <c r="L259" s="357"/>
      <c r="M259" s="357"/>
      <c r="N259" s="357"/>
      <c r="O259" s="357"/>
      <c r="P259" s="357"/>
      <c r="Q259" s="77"/>
      <c r="R259" s="77"/>
      <c r="S259" s="77"/>
      <c r="T259" s="77"/>
      <c r="U259" s="77"/>
      <c r="V259" s="77"/>
      <c r="W259" s="77"/>
      <c r="X259" s="77"/>
      <c r="Y259" s="77"/>
      <c r="Z259" s="77"/>
      <c r="AA259" s="77"/>
      <c r="AB259" s="77"/>
      <c r="AC259" s="77"/>
      <c r="AD259" s="77"/>
      <c r="AE259" s="77"/>
      <c r="AF259" s="77"/>
      <c r="AG259" s="77"/>
    </row>
    <row r="260" spans="1:33" ht="11.7" customHeight="1" x14ac:dyDescent="0.2">
      <c r="A260" s="1"/>
      <c r="B260" s="3"/>
      <c r="C260" s="1"/>
      <c r="D260" s="1"/>
      <c r="E260" s="1"/>
      <c r="F260" s="77"/>
      <c r="G260" s="357"/>
      <c r="H260" s="357"/>
      <c r="I260" s="358"/>
      <c r="J260" s="357"/>
      <c r="K260" s="357"/>
      <c r="L260" s="357"/>
      <c r="M260" s="357"/>
      <c r="N260" s="357"/>
      <c r="O260" s="357"/>
      <c r="P260" s="357"/>
      <c r="Q260" s="77"/>
      <c r="R260" s="77"/>
      <c r="S260" s="77"/>
      <c r="T260" s="77"/>
      <c r="U260" s="77"/>
      <c r="V260" s="77"/>
      <c r="W260" s="77"/>
      <c r="X260" s="77"/>
      <c r="Y260" s="77"/>
      <c r="Z260" s="77"/>
      <c r="AA260" s="77"/>
      <c r="AB260" s="77"/>
      <c r="AC260" s="77"/>
      <c r="AD260" s="77"/>
      <c r="AE260" s="77"/>
      <c r="AF260" s="77"/>
      <c r="AG260" s="77"/>
    </row>
    <row r="261" spans="1:33" ht="11.7" customHeight="1" x14ac:dyDescent="0.2">
      <c r="A261" s="1"/>
      <c r="B261" s="3"/>
      <c r="C261" s="1"/>
      <c r="D261" s="1"/>
      <c r="E261" s="1"/>
      <c r="F261" s="77"/>
      <c r="G261" s="357"/>
      <c r="H261" s="357"/>
      <c r="I261" s="358"/>
      <c r="J261" s="357"/>
      <c r="K261" s="357"/>
      <c r="L261" s="357"/>
      <c r="M261" s="357"/>
      <c r="N261" s="357"/>
      <c r="O261" s="357"/>
      <c r="P261" s="357"/>
      <c r="Q261" s="77"/>
      <c r="R261" s="77"/>
      <c r="S261" s="77"/>
      <c r="T261" s="77"/>
      <c r="U261" s="77"/>
      <c r="V261" s="77"/>
      <c r="W261" s="77"/>
      <c r="X261" s="77"/>
      <c r="Y261" s="77"/>
      <c r="Z261" s="77"/>
      <c r="AA261" s="77"/>
      <c r="AB261" s="77"/>
      <c r="AC261" s="77"/>
      <c r="AD261" s="77"/>
      <c r="AE261" s="77"/>
      <c r="AF261" s="77"/>
      <c r="AG261" s="77"/>
    </row>
    <row r="262" spans="1:33" ht="11.7" customHeight="1" x14ac:dyDescent="0.2">
      <c r="A262" s="1"/>
      <c r="B262" s="3"/>
      <c r="C262" s="1"/>
      <c r="D262" s="1"/>
      <c r="E262" s="1"/>
      <c r="F262" s="77"/>
      <c r="G262" s="357"/>
      <c r="H262" s="357"/>
      <c r="I262" s="358"/>
      <c r="J262" s="357"/>
      <c r="K262" s="357"/>
      <c r="L262" s="357"/>
      <c r="M262" s="357"/>
      <c r="N262" s="357"/>
      <c r="O262" s="357"/>
      <c r="P262" s="357"/>
      <c r="Q262" s="77"/>
      <c r="R262" s="77"/>
      <c r="S262" s="77"/>
      <c r="T262" s="77"/>
      <c r="U262" s="77"/>
      <c r="V262" s="77"/>
      <c r="W262" s="77"/>
      <c r="X262" s="77"/>
      <c r="Y262" s="77"/>
      <c r="Z262" s="77"/>
      <c r="AA262" s="77"/>
      <c r="AB262" s="77"/>
      <c r="AC262" s="77"/>
      <c r="AD262" s="77"/>
      <c r="AE262" s="77"/>
      <c r="AF262" s="77"/>
      <c r="AG262" s="77"/>
    </row>
    <row r="263" spans="1:33" ht="11.7" customHeight="1" x14ac:dyDescent="0.2">
      <c r="A263" s="1"/>
      <c r="B263" s="3"/>
      <c r="C263" s="1"/>
      <c r="D263" s="1"/>
      <c r="E263" s="1"/>
      <c r="F263" s="77"/>
      <c r="G263" s="357"/>
      <c r="H263" s="357"/>
      <c r="I263" s="358"/>
      <c r="J263" s="357"/>
      <c r="K263" s="357"/>
      <c r="L263" s="357"/>
      <c r="M263" s="357"/>
      <c r="N263" s="357"/>
      <c r="O263" s="357"/>
      <c r="P263" s="357"/>
      <c r="Q263" s="77"/>
      <c r="R263" s="77"/>
      <c r="S263" s="77"/>
      <c r="T263" s="77"/>
      <c r="U263" s="77"/>
      <c r="V263" s="77"/>
      <c r="W263" s="77"/>
      <c r="X263" s="77"/>
      <c r="Y263" s="77"/>
      <c r="Z263" s="77"/>
      <c r="AA263" s="77"/>
      <c r="AB263" s="77"/>
      <c r="AC263" s="77"/>
      <c r="AD263" s="77"/>
      <c r="AE263" s="77"/>
      <c r="AF263" s="77"/>
      <c r="AG263" s="77"/>
    </row>
    <row r="264" spans="1:33" ht="11.7" customHeight="1" x14ac:dyDescent="0.2">
      <c r="A264" s="1"/>
      <c r="B264" s="3"/>
      <c r="C264" s="1"/>
      <c r="D264" s="1"/>
      <c r="E264" s="1"/>
      <c r="F264" s="77"/>
      <c r="G264" s="357"/>
      <c r="H264" s="357"/>
      <c r="I264" s="358"/>
      <c r="J264" s="357"/>
      <c r="K264" s="357"/>
      <c r="L264" s="357"/>
      <c r="M264" s="357"/>
      <c r="N264" s="357"/>
      <c r="O264" s="357"/>
      <c r="P264" s="357"/>
      <c r="Q264" s="77"/>
      <c r="R264" s="77"/>
      <c r="S264" s="77"/>
      <c r="T264" s="77"/>
      <c r="U264" s="77"/>
      <c r="V264" s="77"/>
      <c r="W264" s="77"/>
      <c r="X264" s="77"/>
      <c r="Y264" s="77"/>
      <c r="Z264" s="77"/>
      <c r="AA264" s="77"/>
      <c r="AB264" s="77"/>
      <c r="AC264" s="77"/>
      <c r="AD264" s="77"/>
      <c r="AE264" s="77"/>
      <c r="AF264" s="77"/>
      <c r="AG264" s="77"/>
    </row>
    <row r="265" spans="1:33" ht="11.7" customHeight="1" x14ac:dyDescent="0.2">
      <c r="A265" s="1"/>
      <c r="B265" s="3"/>
      <c r="C265" s="1"/>
      <c r="D265" s="1"/>
      <c r="E265" s="1"/>
      <c r="F265" s="77"/>
      <c r="G265" s="357"/>
      <c r="H265" s="357"/>
      <c r="I265" s="358"/>
      <c r="J265" s="357"/>
      <c r="K265" s="357"/>
      <c r="L265" s="357"/>
      <c r="M265" s="357"/>
      <c r="N265" s="357"/>
      <c r="O265" s="357"/>
      <c r="P265" s="357"/>
      <c r="Q265" s="77"/>
      <c r="R265" s="77"/>
      <c r="S265" s="77"/>
      <c r="T265" s="77"/>
      <c r="U265" s="77"/>
      <c r="V265" s="77"/>
      <c r="W265" s="77"/>
      <c r="X265" s="77"/>
      <c r="Y265" s="77"/>
      <c r="Z265" s="77"/>
      <c r="AA265" s="77"/>
      <c r="AB265" s="77"/>
      <c r="AC265" s="77"/>
      <c r="AD265" s="77"/>
      <c r="AE265" s="77"/>
      <c r="AF265" s="77"/>
      <c r="AG265" s="77"/>
    </row>
    <row r="266" spans="1:33" ht="11.7" customHeight="1" x14ac:dyDescent="0.2">
      <c r="A266" s="1"/>
      <c r="B266" s="3"/>
      <c r="C266" s="1"/>
      <c r="D266" s="1"/>
      <c r="E266" s="1"/>
      <c r="F266" s="77"/>
      <c r="G266" s="357"/>
      <c r="H266" s="357"/>
      <c r="I266" s="358"/>
      <c r="J266" s="357"/>
      <c r="K266" s="357"/>
      <c r="L266" s="357"/>
      <c r="M266" s="357"/>
      <c r="N266" s="357"/>
      <c r="O266" s="357"/>
      <c r="P266" s="357"/>
      <c r="Q266" s="77"/>
      <c r="R266" s="77"/>
      <c r="S266" s="77"/>
      <c r="T266" s="77"/>
      <c r="U266" s="77"/>
      <c r="V266" s="77"/>
      <c r="W266" s="77"/>
      <c r="X266" s="77"/>
      <c r="Y266" s="77"/>
      <c r="Z266" s="77"/>
      <c r="AA266" s="77"/>
      <c r="AB266" s="77"/>
      <c r="AC266" s="77"/>
      <c r="AD266" s="77"/>
      <c r="AE266" s="77"/>
      <c r="AF266" s="77"/>
      <c r="AG266" s="77"/>
    </row>
    <row r="267" spans="1:33" ht="11.7" customHeight="1" x14ac:dyDescent="0.2">
      <c r="A267" s="1"/>
      <c r="B267" s="3"/>
      <c r="C267" s="1"/>
      <c r="D267" s="1"/>
      <c r="E267" s="1"/>
      <c r="F267" s="77"/>
      <c r="G267" s="357"/>
      <c r="H267" s="357"/>
      <c r="I267" s="358"/>
      <c r="J267" s="357"/>
      <c r="K267" s="357"/>
      <c r="L267" s="357"/>
      <c r="M267" s="357"/>
      <c r="N267" s="357"/>
      <c r="O267" s="357"/>
      <c r="P267" s="357"/>
      <c r="Q267" s="77"/>
      <c r="R267" s="77"/>
      <c r="S267" s="77"/>
      <c r="T267" s="77"/>
      <c r="U267" s="77"/>
      <c r="V267" s="77"/>
      <c r="W267" s="77"/>
      <c r="X267" s="77"/>
      <c r="Y267" s="77"/>
      <c r="Z267" s="77"/>
      <c r="AA267" s="77"/>
      <c r="AB267" s="77"/>
      <c r="AC267" s="77"/>
      <c r="AD267" s="77"/>
      <c r="AE267" s="77"/>
      <c r="AF267" s="77"/>
      <c r="AG267" s="77"/>
    </row>
    <row r="268" spans="1:33" ht="11.7" customHeight="1" x14ac:dyDescent="0.2">
      <c r="A268" s="1"/>
      <c r="B268" s="3"/>
      <c r="C268" s="1"/>
      <c r="D268" s="1"/>
      <c r="E268" s="1"/>
      <c r="F268" s="77"/>
      <c r="G268" s="357"/>
      <c r="H268" s="357"/>
      <c r="I268" s="358"/>
      <c r="J268" s="357"/>
      <c r="K268" s="357"/>
      <c r="L268" s="357"/>
      <c r="M268" s="357"/>
      <c r="N268" s="357"/>
      <c r="O268" s="357"/>
      <c r="P268" s="357"/>
      <c r="Q268" s="77"/>
      <c r="R268" s="77"/>
      <c r="S268" s="77"/>
      <c r="T268" s="77"/>
      <c r="U268" s="77"/>
      <c r="V268" s="77"/>
      <c r="W268" s="77"/>
      <c r="X268" s="77"/>
      <c r="Y268" s="77"/>
      <c r="Z268" s="77"/>
      <c r="AA268" s="77"/>
      <c r="AB268" s="77"/>
      <c r="AC268" s="77"/>
      <c r="AD268" s="77"/>
      <c r="AE268" s="77"/>
      <c r="AF268" s="77"/>
      <c r="AG268" s="77"/>
    </row>
    <row r="269" spans="1:33" ht="11.7" customHeight="1" x14ac:dyDescent="0.2">
      <c r="A269" s="1"/>
      <c r="B269" s="3"/>
      <c r="C269" s="1"/>
      <c r="D269" s="1"/>
      <c r="E269" s="1"/>
      <c r="F269" s="77"/>
      <c r="G269" s="357"/>
      <c r="H269" s="357"/>
      <c r="I269" s="358"/>
      <c r="J269" s="357"/>
      <c r="K269" s="357"/>
      <c r="L269" s="357"/>
      <c r="M269" s="357"/>
      <c r="N269" s="357"/>
      <c r="O269" s="357"/>
      <c r="P269" s="357"/>
      <c r="Q269" s="77"/>
      <c r="R269" s="77"/>
      <c r="S269" s="77"/>
      <c r="T269" s="77"/>
      <c r="U269" s="77"/>
      <c r="V269" s="77"/>
      <c r="W269" s="77"/>
      <c r="X269" s="77"/>
      <c r="Y269" s="77"/>
      <c r="Z269" s="77"/>
      <c r="AA269" s="77"/>
      <c r="AB269" s="77"/>
      <c r="AC269" s="77"/>
      <c r="AD269" s="77"/>
      <c r="AE269" s="77"/>
      <c r="AF269" s="77"/>
      <c r="AG269" s="77"/>
    </row>
    <row r="270" spans="1:33" ht="11.7" customHeight="1" x14ac:dyDescent="0.2">
      <c r="A270" s="1"/>
      <c r="B270" s="3"/>
      <c r="C270" s="1"/>
      <c r="D270" s="1"/>
      <c r="E270" s="1"/>
      <c r="F270" s="77"/>
      <c r="G270" s="357"/>
      <c r="H270" s="357"/>
      <c r="I270" s="358"/>
      <c r="J270" s="357"/>
      <c r="K270" s="357"/>
      <c r="L270" s="357"/>
      <c r="M270" s="357"/>
      <c r="N270" s="357"/>
      <c r="O270" s="357"/>
      <c r="P270" s="357"/>
      <c r="Q270" s="77"/>
      <c r="R270" s="77"/>
      <c r="S270" s="77"/>
      <c r="T270" s="77"/>
      <c r="U270" s="77"/>
      <c r="V270" s="77"/>
      <c r="W270" s="77"/>
      <c r="X270" s="77"/>
      <c r="Y270" s="77"/>
      <c r="Z270" s="77"/>
      <c r="AA270" s="77"/>
      <c r="AB270" s="77"/>
      <c r="AC270" s="77"/>
      <c r="AD270" s="77"/>
      <c r="AE270" s="77"/>
      <c r="AF270" s="77"/>
      <c r="AG270" s="77"/>
    </row>
    <row r="271" spans="1:33" ht="11.7" customHeight="1" x14ac:dyDescent="0.2">
      <c r="A271" s="1"/>
      <c r="B271" s="3"/>
      <c r="C271" s="1"/>
      <c r="D271" s="1"/>
      <c r="E271" s="1"/>
      <c r="F271" s="77"/>
      <c r="G271" s="357"/>
      <c r="H271" s="357"/>
      <c r="I271" s="358"/>
      <c r="J271" s="357"/>
      <c r="K271" s="357"/>
      <c r="L271" s="357"/>
      <c r="M271" s="357"/>
      <c r="N271" s="357"/>
      <c r="O271" s="357"/>
      <c r="P271" s="357"/>
      <c r="Q271" s="77"/>
      <c r="R271" s="77"/>
      <c r="S271" s="77"/>
      <c r="T271" s="77"/>
      <c r="U271" s="77"/>
      <c r="V271" s="77"/>
      <c r="W271" s="77"/>
      <c r="X271" s="77"/>
      <c r="Y271" s="77"/>
      <c r="Z271" s="77"/>
      <c r="AA271" s="77"/>
      <c r="AB271" s="77"/>
      <c r="AC271" s="77"/>
      <c r="AD271" s="77"/>
      <c r="AE271" s="77"/>
      <c r="AF271" s="77"/>
      <c r="AG271" s="77"/>
    </row>
    <row r="272" spans="1:33" ht="11.7" customHeight="1" x14ac:dyDescent="0.2">
      <c r="A272" s="1"/>
      <c r="B272" s="3"/>
      <c r="C272" s="1"/>
      <c r="D272" s="1"/>
      <c r="E272" s="1"/>
      <c r="F272" s="77"/>
      <c r="G272" s="357"/>
      <c r="H272" s="357"/>
      <c r="I272" s="358"/>
      <c r="J272" s="357"/>
      <c r="K272" s="357"/>
      <c r="L272" s="357"/>
      <c r="M272" s="357"/>
      <c r="N272" s="357"/>
      <c r="O272" s="357"/>
      <c r="P272" s="357"/>
      <c r="Q272" s="77"/>
      <c r="R272" s="77"/>
      <c r="S272" s="77"/>
      <c r="T272" s="77"/>
      <c r="U272" s="77"/>
      <c r="V272" s="77"/>
      <c r="W272" s="77"/>
      <c r="X272" s="77"/>
      <c r="Y272" s="77"/>
      <c r="Z272" s="77"/>
      <c r="AA272" s="77"/>
      <c r="AB272" s="77"/>
      <c r="AC272" s="77"/>
      <c r="AD272" s="77"/>
      <c r="AE272" s="77"/>
      <c r="AF272" s="77"/>
      <c r="AG272" s="77"/>
    </row>
    <row r="273" spans="1:33" ht="11.7" customHeight="1" x14ac:dyDescent="0.2">
      <c r="A273" s="1"/>
      <c r="B273" s="3"/>
      <c r="C273" s="1"/>
      <c r="D273" s="1"/>
      <c r="E273" s="1"/>
      <c r="F273" s="77"/>
      <c r="G273" s="357"/>
      <c r="H273" s="357"/>
      <c r="I273" s="358"/>
      <c r="J273" s="357"/>
      <c r="K273" s="357"/>
      <c r="L273" s="357"/>
      <c r="M273" s="357"/>
      <c r="N273" s="357"/>
      <c r="O273" s="357"/>
      <c r="P273" s="357"/>
      <c r="Q273" s="77"/>
      <c r="R273" s="77"/>
      <c r="S273" s="77"/>
      <c r="T273" s="77"/>
      <c r="U273" s="77"/>
      <c r="V273" s="77"/>
      <c r="W273" s="77"/>
      <c r="X273" s="77"/>
      <c r="Y273" s="77"/>
      <c r="Z273" s="77"/>
      <c r="AA273" s="77"/>
      <c r="AB273" s="77"/>
      <c r="AC273" s="77"/>
      <c r="AD273" s="77"/>
      <c r="AE273" s="77"/>
      <c r="AF273" s="77"/>
      <c r="AG273" s="77"/>
    </row>
    <row r="274" spans="1:33" ht="11.7" customHeight="1" x14ac:dyDescent="0.2">
      <c r="A274" s="1"/>
      <c r="B274" s="3"/>
      <c r="C274" s="1"/>
      <c r="D274" s="1"/>
      <c r="E274" s="1"/>
      <c r="F274" s="77"/>
      <c r="G274" s="357"/>
      <c r="H274" s="357"/>
      <c r="I274" s="358"/>
      <c r="J274" s="357"/>
      <c r="K274" s="357"/>
      <c r="L274" s="357"/>
      <c r="M274" s="357"/>
      <c r="N274" s="357"/>
      <c r="O274" s="357"/>
      <c r="P274" s="357"/>
      <c r="Q274" s="77"/>
      <c r="R274" s="77"/>
      <c r="S274" s="77"/>
      <c r="T274" s="77"/>
      <c r="U274" s="77"/>
      <c r="V274" s="77"/>
      <c r="W274" s="77"/>
      <c r="X274" s="77"/>
      <c r="Y274" s="77"/>
      <c r="Z274" s="77"/>
      <c r="AA274" s="77"/>
      <c r="AB274" s="77"/>
      <c r="AC274" s="77"/>
      <c r="AD274" s="77"/>
      <c r="AE274" s="77"/>
      <c r="AF274" s="77"/>
      <c r="AG274" s="77"/>
    </row>
    <row r="275" spans="1:33" ht="11.7" customHeight="1" x14ac:dyDescent="0.2">
      <c r="A275" s="1"/>
      <c r="B275" s="3"/>
      <c r="C275" s="1"/>
      <c r="D275" s="1"/>
      <c r="E275" s="1"/>
      <c r="F275" s="77"/>
      <c r="G275" s="357"/>
      <c r="H275" s="357"/>
      <c r="I275" s="358"/>
      <c r="J275" s="357"/>
      <c r="K275" s="357"/>
      <c r="L275" s="357"/>
      <c r="M275" s="357"/>
      <c r="N275" s="357"/>
      <c r="O275" s="357"/>
      <c r="P275" s="357"/>
      <c r="Q275" s="77"/>
      <c r="R275" s="77"/>
      <c r="S275" s="77"/>
      <c r="T275" s="77"/>
      <c r="U275" s="77"/>
      <c r="V275" s="77"/>
      <c r="W275" s="77"/>
      <c r="X275" s="77"/>
      <c r="Y275" s="77"/>
      <c r="Z275" s="77"/>
      <c r="AA275" s="77"/>
      <c r="AB275" s="77"/>
      <c r="AC275" s="77"/>
      <c r="AD275" s="77"/>
      <c r="AE275" s="77"/>
      <c r="AF275" s="77"/>
      <c r="AG275" s="77"/>
    </row>
    <row r="276" spans="1:33" ht="11.7" customHeight="1" x14ac:dyDescent="0.2">
      <c r="A276" s="1"/>
      <c r="B276" s="3"/>
      <c r="C276" s="1"/>
      <c r="D276" s="1"/>
      <c r="E276" s="1"/>
      <c r="F276" s="77"/>
      <c r="G276" s="357"/>
      <c r="H276" s="357"/>
      <c r="I276" s="358"/>
      <c r="J276" s="357"/>
      <c r="K276" s="357"/>
      <c r="L276" s="357"/>
      <c r="M276" s="357"/>
      <c r="N276" s="357"/>
      <c r="O276" s="357"/>
      <c r="P276" s="357"/>
      <c r="Q276" s="77"/>
      <c r="R276" s="77"/>
      <c r="S276" s="77"/>
      <c r="T276" s="77"/>
      <c r="U276" s="77"/>
      <c r="V276" s="77"/>
      <c r="W276" s="77"/>
      <c r="X276" s="77"/>
      <c r="Y276" s="77"/>
      <c r="Z276" s="77"/>
      <c r="AA276" s="77"/>
      <c r="AB276" s="77"/>
      <c r="AC276" s="77"/>
      <c r="AD276" s="77"/>
      <c r="AE276" s="77"/>
      <c r="AF276" s="77"/>
      <c r="AG276" s="77"/>
    </row>
    <row r="277" spans="1:33" ht="11.7" customHeight="1" x14ac:dyDescent="0.2">
      <c r="A277" s="1"/>
      <c r="B277" s="3"/>
      <c r="C277" s="1"/>
      <c r="D277" s="1"/>
      <c r="E277" s="1"/>
      <c r="F277" s="77"/>
      <c r="G277" s="357"/>
      <c r="H277" s="357"/>
      <c r="I277" s="358"/>
      <c r="J277" s="357"/>
      <c r="K277" s="357"/>
      <c r="L277" s="357"/>
      <c r="M277" s="357"/>
      <c r="N277" s="357"/>
      <c r="O277" s="357"/>
      <c r="P277" s="357"/>
      <c r="Q277" s="77"/>
      <c r="R277" s="77"/>
      <c r="S277" s="77"/>
      <c r="T277" s="77"/>
      <c r="U277" s="77"/>
      <c r="V277" s="77"/>
      <c r="W277" s="77"/>
      <c r="X277" s="77"/>
      <c r="Y277" s="77"/>
      <c r="Z277" s="77"/>
      <c r="AA277" s="77"/>
      <c r="AB277" s="77"/>
      <c r="AC277" s="77"/>
      <c r="AD277" s="77"/>
      <c r="AE277" s="77"/>
      <c r="AF277" s="77"/>
      <c r="AG277" s="77"/>
    </row>
    <row r="278" spans="1:33" ht="11.7" customHeight="1" x14ac:dyDescent="0.2">
      <c r="A278" s="1"/>
      <c r="B278" s="3"/>
      <c r="C278" s="1"/>
      <c r="D278" s="1"/>
      <c r="E278" s="1"/>
      <c r="F278" s="77"/>
      <c r="G278" s="357"/>
      <c r="H278" s="357"/>
      <c r="I278" s="358"/>
      <c r="J278" s="357"/>
      <c r="K278" s="357"/>
      <c r="L278" s="357"/>
      <c r="M278" s="357"/>
      <c r="N278" s="357"/>
      <c r="O278" s="357"/>
      <c r="P278" s="357"/>
      <c r="Q278" s="77"/>
      <c r="R278" s="77"/>
      <c r="S278" s="77"/>
      <c r="T278" s="77"/>
      <c r="U278" s="77"/>
      <c r="V278" s="77"/>
      <c r="W278" s="77"/>
      <c r="X278" s="77"/>
      <c r="Y278" s="77"/>
      <c r="Z278" s="77"/>
      <c r="AA278" s="77"/>
      <c r="AB278" s="77"/>
      <c r="AC278" s="77"/>
      <c r="AD278" s="77"/>
      <c r="AE278" s="77"/>
      <c r="AF278" s="77"/>
      <c r="AG278" s="77"/>
    </row>
    <row r="279" spans="1:33" ht="11.7" customHeight="1" x14ac:dyDescent="0.2">
      <c r="A279" s="1"/>
      <c r="B279" s="3"/>
      <c r="C279" s="1"/>
      <c r="D279" s="1"/>
      <c r="E279" s="1"/>
      <c r="F279" s="77"/>
      <c r="G279" s="357"/>
      <c r="H279" s="357"/>
      <c r="I279" s="358"/>
      <c r="J279" s="357"/>
      <c r="K279" s="357"/>
      <c r="L279" s="357"/>
      <c r="M279" s="357"/>
      <c r="N279" s="357"/>
      <c r="O279" s="357"/>
      <c r="P279" s="357"/>
      <c r="Q279" s="77"/>
      <c r="R279" s="77"/>
      <c r="S279" s="77"/>
      <c r="T279" s="77"/>
      <c r="U279" s="77"/>
      <c r="V279" s="77"/>
      <c r="W279" s="77"/>
      <c r="X279" s="77"/>
      <c r="Y279" s="77"/>
      <c r="Z279" s="77"/>
      <c r="AA279" s="77"/>
      <c r="AB279" s="77"/>
      <c r="AC279" s="77"/>
      <c r="AD279" s="77"/>
      <c r="AE279" s="77"/>
      <c r="AF279" s="77"/>
      <c r="AG279" s="77"/>
    </row>
    <row r="280" spans="1:33" ht="11.7" customHeight="1" x14ac:dyDescent="0.2">
      <c r="A280" s="1"/>
      <c r="B280" s="3"/>
      <c r="C280" s="1"/>
      <c r="D280" s="1"/>
      <c r="E280" s="1"/>
      <c r="F280" s="77"/>
      <c r="G280" s="357"/>
      <c r="H280" s="357"/>
      <c r="I280" s="358"/>
      <c r="J280" s="357"/>
      <c r="K280" s="357"/>
      <c r="L280" s="357"/>
      <c r="M280" s="357"/>
      <c r="N280" s="357"/>
      <c r="O280" s="357"/>
      <c r="P280" s="357"/>
      <c r="Q280" s="77"/>
      <c r="R280" s="77"/>
      <c r="S280" s="77"/>
      <c r="T280" s="77"/>
      <c r="U280" s="77"/>
      <c r="V280" s="77"/>
      <c r="W280" s="77"/>
      <c r="X280" s="77"/>
      <c r="Y280" s="77"/>
      <c r="Z280" s="77"/>
      <c r="AA280" s="77"/>
      <c r="AB280" s="77"/>
      <c r="AC280" s="77"/>
      <c r="AD280" s="77"/>
      <c r="AE280" s="77"/>
      <c r="AF280" s="77"/>
      <c r="AG280" s="77"/>
    </row>
    <row r="281" spans="1:33" ht="11.7" customHeight="1" x14ac:dyDescent="0.2">
      <c r="A281" s="1"/>
      <c r="B281" s="3"/>
      <c r="C281" s="1"/>
      <c r="D281" s="1"/>
      <c r="E281" s="1"/>
      <c r="F281" s="77"/>
      <c r="G281" s="357"/>
      <c r="H281" s="357"/>
      <c r="I281" s="358"/>
      <c r="J281" s="357"/>
      <c r="K281" s="357"/>
      <c r="L281" s="357"/>
      <c r="M281" s="357"/>
      <c r="N281" s="357"/>
      <c r="O281" s="357"/>
      <c r="P281" s="357"/>
      <c r="Q281" s="77"/>
      <c r="R281" s="77"/>
      <c r="S281" s="77"/>
      <c r="T281" s="77"/>
      <c r="U281" s="77"/>
      <c r="V281" s="77"/>
      <c r="W281" s="77"/>
      <c r="X281" s="77"/>
      <c r="Y281" s="77"/>
      <c r="Z281" s="77"/>
      <c r="AA281" s="77"/>
      <c r="AB281" s="77"/>
      <c r="AC281" s="77"/>
      <c r="AD281" s="77"/>
      <c r="AE281" s="77"/>
      <c r="AF281" s="77"/>
      <c r="AG281" s="77"/>
    </row>
    <row r="282" spans="1:33" ht="11.7" customHeight="1" x14ac:dyDescent="0.2">
      <c r="A282" s="1"/>
      <c r="B282" s="3"/>
      <c r="C282" s="1"/>
      <c r="D282" s="1"/>
      <c r="E282" s="1"/>
      <c r="F282" s="77"/>
      <c r="G282" s="357"/>
      <c r="H282" s="357"/>
      <c r="I282" s="358"/>
      <c r="J282" s="357"/>
      <c r="K282" s="357"/>
      <c r="L282" s="357"/>
      <c r="M282" s="357"/>
      <c r="N282" s="357"/>
      <c r="O282" s="357"/>
      <c r="P282" s="357"/>
      <c r="Q282" s="77"/>
      <c r="R282" s="77"/>
      <c r="S282" s="77"/>
      <c r="T282" s="77"/>
      <c r="U282" s="77"/>
      <c r="V282" s="77"/>
      <c r="W282" s="77"/>
      <c r="X282" s="77"/>
      <c r="Y282" s="77"/>
      <c r="Z282" s="77"/>
      <c r="AA282" s="77"/>
      <c r="AB282" s="77"/>
      <c r="AC282" s="77"/>
      <c r="AD282" s="77"/>
      <c r="AE282" s="77"/>
      <c r="AF282" s="77"/>
      <c r="AG282" s="77"/>
    </row>
    <row r="283" spans="1:33" ht="11.7" customHeight="1" x14ac:dyDescent="0.2">
      <c r="A283" s="1"/>
      <c r="B283" s="3"/>
      <c r="C283" s="1"/>
      <c r="D283" s="1"/>
      <c r="E283" s="1"/>
      <c r="F283" s="77"/>
      <c r="G283" s="357"/>
      <c r="H283" s="357"/>
      <c r="I283" s="358"/>
      <c r="J283" s="357"/>
      <c r="K283" s="357"/>
      <c r="L283" s="357"/>
      <c r="M283" s="357"/>
      <c r="N283" s="357"/>
      <c r="O283" s="357"/>
      <c r="P283" s="357"/>
      <c r="Q283" s="77"/>
      <c r="R283" s="77"/>
      <c r="S283" s="77"/>
      <c r="T283" s="77"/>
      <c r="U283" s="77"/>
      <c r="V283" s="77"/>
      <c r="W283" s="77"/>
      <c r="X283" s="77"/>
      <c r="Y283" s="77"/>
      <c r="Z283" s="77"/>
      <c r="AA283" s="77"/>
      <c r="AB283" s="77"/>
      <c r="AC283" s="77"/>
      <c r="AD283" s="77"/>
      <c r="AE283" s="77"/>
      <c r="AF283" s="77"/>
      <c r="AG283" s="77"/>
    </row>
    <row r="284" spans="1:33" ht="11.7" customHeight="1" x14ac:dyDescent="0.2">
      <c r="A284" s="1"/>
      <c r="B284" s="3"/>
      <c r="C284" s="1"/>
      <c r="D284" s="1"/>
      <c r="E284" s="1"/>
      <c r="F284" s="77"/>
      <c r="G284" s="357"/>
      <c r="H284" s="357"/>
      <c r="I284" s="358"/>
      <c r="J284" s="357"/>
      <c r="K284" s="357"/>
      <c r="L284" s="357"/>
      <c r="M284" s="357"/>
      <c r="N284" s="357"/>
      <c r="O284" s="357"/>
      <c r="P284" s="357"/>
      <c r="Q284" s="77"/>
      <c r="R284" s="77"/>
      <c r="S284" s="77"/>
      <c r="T284" s="77"/>
      <c r="U284" s="77"/>
      <c r="V284" s="77"/>
      <c r="W284" s="77"/>
      <c r="X284" s="77"/>
      <c r="Y284" s="77"/>
      <c r="Z284" s="77"/>
      <c r="AA284" s="77"/>
      <c r="AB284" s="77"/>
      <c r="AC284" s="77"/>
      <c r="AD284" s="77"/>
      <c r="AE284" s="77"/>
      <c r="AF284" s="77"/>
      <c r="AG284" s="77"/>
    </row>
    <row r="285" spans="1:33" ht="11.7" customHeight="1" x14ac:dyDescent="0.2">
      <c r="A285" s="1"/>
      <c r="B285" s="3"/>
      <c r="C285" s="1"/>
      <c r="D285" s="1"/>
      <c r="E285" s="1"/>
      <c r="F285" s="77"/>
      <c r="G285" s="357"/>
      <c r="H285" s="357"/>
      <c r="I285" s="358"/>
      <c r="J285" s="357"/>
      <c r="K285" s="357"/>
      <c r="L285" s="357"/>
      <c r="M285" s="357"/>
      <c r="N285" s="357"/>
      <c r="O285" s="357"/>
      <c r="P285" s="357"/>
      <c r="Q285" s="77"/>
      <c r="R285" s="77"/>
      <c r="S285" s="77"/>
      <c r="T285" s="77"/>
      <c r="U285" s="77"/>
      <c r="V285" s="77"/>
      <c r="W285" s="77"/>
      <c r="X285" s="77"/>
      <c r="Y285" s="77"/>
      <c r="Z285" s="77"/>
      <c r="AA285" s="77"/>
      <c r="AB285" s="77"/>
      <c r="AC285" s="77"/>
      <c r="AD285" s="77"/>
      <c r="AE285" s="77"/>
      <c r="AF285" s="77"/>
      <c r="AG285" s="77"/>
    </row>
  </sheetData>
  <sheetProtection algorithmName="SHA-512" hashValue="cDhIgQp5Y/7jn3Psj/iVbpIfx6TdgSxaW+nqHIIaklB8T5NyJqhMQpbx3QkjL4BvnlGcqGGALWaZL/djDwcAdQ==" saltValue="D5V/5AqDD1Rsf0TaQb/udQ==" spinCount="100000" sheet="1" formatColumns="0" formatRows="0"/>
  <conditionalFormatting sqref="C3">
    <cfRule type="cellIs" dxfId="1" priority="1" operator="equal">
      <formula>0</formula>
    </cfRule>
  </conditionalFormatting>
  <dataValidations count="2">
    <dataValidation allowBlank="1" showErrorMessage="1" promptTitle="Debt servicing costs" prompt="Include the associated debt servicing costs as relevant across the proposed program of expenditure._x000a__x000a_Delete this heading and associated rows if this is not part of the council's application." sqref="C167:E169 C114:E116 C219:E220 C61:R63" xr:uid="{00000000-0002-0000-0C00-000000000000}"/>
    <dataValidation allowBlank="1" showInputMessage="1" showErrorMessage="1" prompt="_x000a_" sqref="C64:E64" xr:uid="{00000000-0002-0000-0C00-000001000000}"/>
  </dataValidations>
  <pageMargins left="0.19685039370078741" right="0.19685039370078741" top="0.19685039370078741" bottom="0.19685039370078741" header="0.31496062992125984" footer="0.31496062992125984"/>
  <pageSetup paperSize="9" scale="66" fitToWidth="0" fitToHeight="0" orientation="landscape" r:id="rId1"/>
  <rowBreaks count="3" manualBreakCount="3">
    <brk id="66" max="20" man="1"/>
    <brk id="120" max="20" man="1"/>
    <brk id="174"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Q334"/>
  <sheetViews>
    <sheetView showGridLines="0" topLeftCell="F25" zoomScaleNormal="100" workbookViewId="0">
      <selection activeCell="V41" sqref="V41"/>
    </sheetView>
  </sheetViews>
  <sheetFormatPr defaultRowHeight="11.4" outlineLevelCol="1" x14ac:dyDescent="0.2"/>
  <cols>
    <col min="1" max="1" width="2.125" customWidth="1"/>
    <col min="2" max="2" width="5" customWidth="1"/>
    <col min="3" max="3" width="31.625" customWidth="1"/>
    <col min="4" max="4" width="44.875" customWidth="1"/>
    <col min="6" max="6" width="27.375" customWidth="1"/>
    <col min="7" max="22" width="11.75" customWidth="1"/>
    <col min="23" max="23" width="5.375" customWidth="1"/>
    <col min="25" max="25" width="78.375" customWidth="1" outlineLevel="1"/>
  </cols>
  <sheetData>
    <row r="1" spans="1:43" ht="14.1" customHeight="1" thickBot="1" x14ac:dyDescent="0.45">
      <c r="A1" s="1"/>
      <c r="B1" s="3"/>
      <c r="C1" s="3"/>
      <c r="D1" s="3"/>
      <c r="E1" s="3"/>
      <c r="G1" s="1136"/>
      <c r="H1" s="145"/>
      <c r="I1" s="1"/>
      <c r="J1" s="1"/>
      <c r="K1" s="1"/>
      <c r="L1" s="77"/>
      <c r="M1" s="77"/>
      <c r="N1" s="77"/>
      <c r="O1" s="80"/>
      <c r="P1" s="77"/>
      <c r="Q1" s="77"/>
      <c r="R1" s="77"/>
      <c r="S1" s="77"/>
      <c r="T1" s="77"/>
      <c r="U1" s="77"/>
      <c r="V1" s="77"/>
      <c r="W1" s="77"/>
      <c r="X1" s="3"/>
      <c r="Y1" s="3"/>
      <c r="Z1" s="3"/>
      <c r="AA1" s="3"/>
      <c r="AB1" s="3"/>
      <c r="AC1" s="3"/>
      <c r="AD1" s="3"/>
      <c r="AE1" s="3"/>
      <c r="AF1" s="3"/>
      <c r="AG1" s="3"/>
      <c r="AH1" s="3"/>
      <c r="AI1" s="3"/>
      <c r="AJ1" s="3"/>
      <c r="AK1" s="3"/>
      <c r="AL1" s="3"/>
      <c r="AM1" s="3"/>
      <c r="AN1" s="3"/>
      <c r="AO1" s="3"/>
      <c r="AP1" s="3"/>
      <c r="AQ1" s="3"/>
    </row>
    <row r="2" spans="1:43" x14ac:dyDescent="0.2">
      <c r="A2" s="1"/>
      <c r="B2" s="209"/>
      <c r="C2" s="210"/>
      <c r="D2" s="210"/>
      <c r="E2" s="210"/>
      <c r="F2" s="210"/>
      <c r="G2" s="228"/>
      <c r="H2" s="228"/>
      <c r="I2" s="228"/>
      <c r="J2" s="228"/>
      <c r="K2" s="228"/>
      <c r="L2" s="552"/>
      <c r="M2" s="552"/>
      <c r="N2" s="552"/>
      <c r="O2" s="743"/>
      <c r="P2" s="552"/>
      <c r="Q2" s="552"/>
      <c r="R2" s="552"/>
      <c r="S2" s="552"/>
      <c r="T2" s="552"/>
      <c r="U2" s="552"/>
      <c r="V2" s="552"/>
      <c r="W2" s="744"/>
      <c r="X2" s="3"/>
      <c r="Y2" s="3"/>
      <c r="Z2" s="3"/>
      <c r="AA2" s="3"/>
      <c r="AB2" s="3"/>
      <c r="AC2" s="3"/>
      <c r="AD2" s="3"/>
      <c r="AE2" s="3"/>
      <c r="AF2" s="3"/>
      <c r="AG2" s="3"/>
      <c r="AH2" s="3"/>
      <c r="AI2" s="3"/>
      <c r="AJ2" s="3"/>
      <c r="AK2" s="3"/>
      <c r="AL2" s="3"/>
      <c r="AM2" s="3"/>
      <c r="AN2" s="3"/>
      <c r="AO2" s="3"/>
      <c r="AP2" s="3"/>
      <c r="AQ2" s="3"/>
    </row>
    <row r="3" spans="1:43" ht="15" x14ac:dyDescent="0.25">
      <c r="A3" s="1"/>
      <c r="B3" s="215"/>
      <c r="C3" s="695" t="str">
        <f>'WK2 - Notional General Income'!$C$3</f>
        <v>Hornsby, The Council of the Shire of</v>
      </c>
      <c r="D3" s="227"/>
      <c r="E3" s="505"/>
      <c r="F3" s="504"/>
      <c r="G3" s="504"/>
      <c r="H3" s="504"/>
      <c r="I3" s="504"/>
      <c r="J3" s="504"/>
      <c r="K3" s="504"/>
      <c r="L3" s="745"/>
      <c r="M3" s="745"/>
      <c r="N3" s="745"/>
      <c r="O3" s="745"/>
      <c r="P3" s="3"/>
      <c r="Q3" s="3"/>
      <c r="R3" s="3"/>
      <c r="S3" s="3"/>
      <c r="T3" s="745"/>
      <c r="U3" s="745"/>
      <c r="V3" s="77"/>
      <c r="W3" s="342"/>
      <c r="X3" s="3"/>
      <c r="Y3" s="3"/>
      <c r="Z3" s="3"/>
      <c r="AA3" s="3"/>
      <c r="AB3" s="3"/>
      <c r="AC3" s="3"/>
      <c r="AD3" s="3"/>
      <c r="AE3" s="3"/>
      <c r="AF3" s="3"/>
      <c r="AG3" s="3"/>
      <c r="AH3" s="3"/>
      <c r="AI3" s="3"/>
      <c r="AJ3" s="3"/>
      <c r="AK3" s="3"/>
      <c r="AL3" s="3"/>
      <c r="AM3" s="3"/>
      <c r="AN3" s="3"/>
      <c r="AO3" s="3"/>
      <c r="AP3" s="3"/>
      <c r="AQ3" s="3"/>
    </row>
    <row r="4" spans="1:43" ht="15" x14ac:dyDescent="0.25">
      <c r="A4" s="1"/>
      <c r="B4" s="215"/>
      <c r="C4" s="1"/>
      <c r="D4" s="1"/>
      <c r="E4" s="1"/>
      <c r="F4" s="1"/>
      <c r="G4" s="1"/>
      <c r="H4" s="1"/>
      <c r="I4" s="1"/>
      <c r="J4" s="1"/>
      <c r="K4" s="747"/>
      <c r="L4" s="77"/>
      <c r="M4" s="77"/>
      <c r="N4" s="77"/>
      <c r="O4" s="77"/>
      <c r="P4" s="3"/>
      <c r="Q4" s="3"/>
      <c r="R4" s="3"/>
      <c r="S4" s="3"/>
      <c r="T4" s="77"/>
      <c r="U4" s="77"/>
      <c r="V4" s="77"/>
      <c r="W4" s="342"/>
      <c r="X4" s="3"/>
      <c r="Y4" s="3"/>
      <c r="Z4" s="3"/>
      <c r="AA4" s="3"/>
      <c r="AB4" s="3"/>
      <c r="AC4" s="3"/>
      <c r="AD4" s="3"/>
      <c r="AE4" s="3"/>
      <c r="AF4" s="3"/>
      <c r="AG4" s="3"/>
      <c r="AH4" s="3"/>
      <c r="AI4" s="3"/>
      <c r="AJ4" s="3"/>
      <c r="AK4" s="3"/>
      <c r="AL4" s="3"/>
      <c r="AM4" s="3"/>
      <c r="AN4" s="3"/>
      <c r="AO4" s="3"/>
      <c r="AP4" s="3"/>
      <c r="AQ4" s="3"/>
    </row>
    <row r="5" spans="1:43" ht="15.6" x14ac:dyDescent="0.25">
      <c r="A5" s="1"/>
      <c r="B5" s="367"/>
      <c r="C5" s="122"/>
      <c r="D5" s="122"/>
      <c r="E5" s="122"/>
      <c r="F5" s="736"/>
      <c r="G5" s="736" t="s">
        <v>1012</v>
      </c>
      <c r="H5" s="122"/>
      <c r="I5" s="122"/>
      <c r="J5" s="122"/>
      <c r="K5" s="3"/>
      <c r="L5" s="122"/>
      <c r="M5" s="122"/>
      <c r="N5" s="122"/>
      <c r="O5" s="122"/>
      <c r="P5" s="3"/>
      <c r="Q5" s="3"/>
      <c r="R5" s="3"/>
      <c r="S5" s="3"/>
      <c r="T5" s="122"/>
      <c r="U5" s="77"/>
      <c r="V5" s="77"/>
      <c r="W5" s="342"/>
      <c r="Y5" s="3"/>
      <c r="Z5" s="3"/>
      <c r="AA5" s="3"/>
      <c r="AB5" s="3"/>
      <c r="AC5" s="3"/>
      <c r="AD5" s="3"/>
      <c r="AE5" s="3"/>
      <c r="AF5" s="3"/>
      <c r="AG5" s="3"/>
      <c r="AH5" s="3"/>
      <c r="AI5" s="3"/>
      <c r="AJ5" s="3"/>
      <c r="AK5" s="3"/>
      <c r="AL5" s="3"/>
      <c r="AM5" s="3"/>
      <c r="AN5" s="3"/>
      <c r="AO5" s="3"/>
      <c r="AP5" s="3"/>
      <c r="AQ5" s="3"/>
    </row>
    <row r="6" spans="1:43" ht="15" x14ac:dyDescent="0.25">
      <c r="A6" s="1"/>
      <c r="B6" s="215"/>
      <c r="C6" s="3"/>
      <c r="D6" s="3"/>
      <c r="E6" s="3"/>
      <c r="F6" s="3"/>
      <c r="G6" s="3"/>
      <c r="H6" s="3"/>
      <c r="I6" s="3"/>
      <c r="J6" s="3"/>
      <c r="K6" s="3"/>
      <c r="L6" s="3"/>
      <c r="M6" s="3"/>
      <c r="N6" s="3"/>
      <c r="O6" s="3"/>
      <c r="P6" s="3"/>
      <c r="Q6" s="3"/>
      <c r="R6" s="3"/>
      <c r="S6" s="3"/>
      <c r="T6" s="3"/>
      <c r="U6" s="77"/>
      <c r="V6" s="77"/>
      <c r="W6" s="342"/>
      <c r="Y6" s="3"/>
      <c r="Z6" s="3"/>
      <c r="AA6" s="3"/>
      <c r="AB6" s="3"/>
      <c r="AC6" s="3"/>
      <c r="AD6" s="3"/>
      <c r="AE6" s="3"/>
      <c r="AF6" s="3"/>
      <c r="AG6" s="3"/>
      <c r="AH6" s="3"/>
      <c r="AI6" s="3"/>
      <c r="AJ6" s="3"/>
      <c r="AK6" s="3"/>
      <c r="AL6" s="3"/>
      <c r="AM6" s="3"/>
      <c r="AN6" s="3"/>
      <c r="AO6" s="3"/>
      <c r="AP6" s="3"/>
      <c r="AQ6" s="3"/>
    </row>
    <row r="7" spans="1:43" ht="15.6" x14ac:dyDescent="0.25">
      <c r="A7" s="1"/>
      <c r="B7" s="367"/>
      <c r="C7" s="191"/>
      <c r="D7" s="191"/>
      <c r="E7" s="191"/>
      <c r="F7" s="263"/>
      <c r="G7" s="263" t="s">
        <v>1013</v>
      </c>
      <c r="H7" s="2"/>
      <c r="I7" s="2"/>
      <c r="J7" s="2"/>
      <c r="K7" s="3"/>
      <c r="L7" s="2"/>
      <c r="M7" s="2"/>
      <c r="N7" s="2"/>
      <c r="O7" s="2"/>
      <c r="P7" s="3"/>
      <c r="Q7" s="3"/>
      <c r="R7" s="3"/>
      <c r="S7" s="3"/>
      <c r="T7" s="2"/>
      <c r="U7" s="77"/>
      <c r="V7" s="77"/>
      <c r="W7" s="342"/>
      <c r="Y7" s="3"/>
      <c r="Z7" s="3"/>
      <c r="AA7" s="3"/>
      <c r="AB7" s="3"/>
      <c r="AC7" s="3"/>
      <c r="AD7" s="3"/>
      <c r="AE7" s="3"/>
      <c r="AF7" s="3"/>
      <c r="AG7" s="3"/>
      <c r="AH7" s="3"/>
      <c r="AI7" s="3"/>
      <c r="AJ7" s="3"/>
      <c r="AK7" s="3"/>
      <c r="AL7" s="3"/>
      <c r="AM7" s="3"/>
      <c r="AN7" s="3"/>
      <c r="AO7" s="3"/>
      <c r="AP7" s="3"/>
      <c r="AQ7" s="3"/>
    </row>
    <row r="8" spans="1:43" x14ac:dyDescent="0.2">
      <c r="A8" s="1"/>
      <c r="B8" s="212"/>
      <c r="C8" s="191"/>
      <c r="D8" s="191"/>
      <c r="E8" s="191"/>
      <c r="F8" s="191"/>
      <c r="G8" s="191"/>
      <c r="H8" s="191"/>
      <c r="I8" s="191"/>
      <c r="J8" s="191"/>
      <c r="K8" s="191"/>
      <c r="L8" s="191"/>
      <c r="M8" s="191"/>
      <c r="N8" s="191"/>
      <c r="O8" s="191"/>
      <c r="P8" s="191"/>
      <c r="Q8" s="191"/>
      <c r="R8" s="191"/>
      <c r="S8" s="191"/>
      <c r="T8" s="191"/>
      <c r="U8" s="191"/>
      <c r="V8" s="77"/>
      <c r="W8" s="342"/>
      <c r="Y8" s="3"/>
      <c r="Z8" s="3"/>
      <c r="AA8" s="3"/>
      <c r="AB8" s="3"/>
      <c r="AC8" s="3"/>
      <c r="AD8" s="3"/>
      <c r="AE8" s="3"/>
      <c r="AF8" s="3"/>
      <c r="AG8" s="3"/>
      <c r="AH8" s="3"/>
      <c r="AI8" s="3"/>
      <c r="AJ8" s="3"/>
      <c r="AK8" s="3"/>
      <c r="AL8" s="3"/>
      <c r="AM8" s="3"/>
      <c r="AN8" s="3"/>
      <c r="AO8" s="3"/>
      <c r="AP8" s="3"/>
      <c r="AQ8" s="3"/>
    </row>
    <row r="9" spans="1:43" x14ac:dyDescent="0.2">
      <c r="A9" s="1"/>
      <c r="B9" s="212"/>
      <c r="C9" s="191"/>
      <c r="D9" s="191"/>
      <c r="E9" s="191"/>
      <c r="F9" s="191"/>
      <c r="G9" s="191" t="s">
        <v>1014</v>
      </c>
      <c r="H9" s="191"/>
      <c r="I9" s="191"/>
      <c r="J9" s="191"/>
      <c r="K9" s="191"/>
      <c r="L9" s="191"/>
      <c r="M9" s="191"/>
      <c r="N9" s="191"/>
      <c r="O9" s="191"/>
      <c r="P9" s="191"/>
      <c r="Q9" s="191"/>
      <c r="R9" s="191"/>
      <c r="S9" s="191"/>
      <c r="T9" s="191"/>
      <c r="U9" s="191"/>
      <c r="V9" s="77"/>
      <c r="W9" s="342"/>
      <c r="Y9" s="3"/>
      <c r="Z9" s="3"/>
      <c r="AA9" s="3"/>
      <c r="AB9" s="3"/>
      <c r="AC9" s="3"/>
      <c r="AD9" s="3"/>
      <c r="AE9" s="3"/>
      <c r="AF9" s="3"/>
      <c r="AG9" s="3"/>
      <c r="AH9" s="3"/>
      <c r="AI9" s="3"/>
      <c r="AJ9" s="3"/>
      <c r="AK9" s="3"/>
      <c r="AL9" s="3"/>
      <c r="AM9" s="3"/>
      <c r="AN9" s="3"/>
      <c r="AO9" s="3"/>
      <c r="AP9" s="3"/>
      <c r="AQ9" s="3"/>
    </row>
    <row r="10" spans="1:43" x14ac:dyDescent="0.2">
      <c r="A10" s="1"/>
      <c r="B10" s="212"/>
      <c r="C10" s="191"/>
      <c r="D10" s="191"/>
      <c r="E10" s="191"/>
      <c r="F10" s="191"/>
      <c r="G10" s="191" t="s">
        <v>1015</v>
      </c>
      <c r="H10" s="191"/>
      <c r="I10" s="191"/>
      <c r="J10" s="191"/>
      <c r="K10" s="191"/>
      <c r="L10" s="191"/>
      <c r="M10" s="191"/>
      <c r="N10" s="191"/>
      <c r="O10" s="191"/>
      <c r="P10" s="191"/>
      <c r="Q10" s="191"/>
      <c r="R10" s="191"/>
      <c r="S10" s="191"/>
      <c r="T10" s="191"/>
      <c r="U10" s="191"/>
      <c r="V10" s="343"/>
      <c r="W10" s="342"/>
      <c r="Y10" s="3"/>
      <c r="Z10" s="3"/>
      <c r="AA10" s="3"/>
      <c r="AB10" s="3"/>
      <c r="AC10" s="3"/>
      <c r="AD10" s="3"/>
      <c r="AE10" s="3"/>
      <c r="AF10" s="3"/>
      <c r="AG10" s="3"/>
      <c r="AH10" s="3"/>
      <c r="AI10" s="3"/>
      <c r="AJ10" s="3"/>
      <c r="AK10" s="3"/>
      <c r="AL10" s="3"/>
      <c r="AM10" s="3"/>
      <c r="AN10" s="3"/>
      <c r="AO10" s="3"/>
      <c r="AP10" s="3"/>
      <c r="AQ10" s="3"/>
    </row>
    <row r="11" spans="1:43" x14ac:dyDescent="0.2">
      <c r="A11" s="1"/>
      <c r="B11" s="212"/>
      <c r="C11" s="191"/>
      <c r="D11" s="191"/>
      <c r="E11" s="191"/>
      <c r="F11" s="191"/>
      <c r="G11" s="191" t="s">
        <v>1016</v>
      </c>
      <c r="H11" s="191"/>
      <c r="I11" s="191"/>
      <c r="J11" s="191"/>
      <c r="K11" s="191"/>
      <c r="L11" s="191"/>
      <c r="M11" s="191"/>
      <c r="N11" s="191"/>
      <c r="O11" s="191"/>
      <c r="P11" s="191"/>
      <c r="Q11" s="191"/>
      <c r="R11" s="191"/>
      <c r="S11" s="191"/>
      <c r="T11" s="191"/>
      <c r="U11" s="191"/>
      <c r="V11" s="343"/>
      <c r="W11" s="342"/>
      <c r="Y11" s="3"/>
      <c r="Z11" s="3"/>
      <c r="AA11" s="3"/>
      <c r="AB11" s="3"/>
      <c r="AC11" s="3"/>
      <c r="AD11" s="3"/>
      <c r="AE11" s="3"/>
      <c r="AF11" s="3"/>
      <c r="AG11" s="3"/>
      <c r="AH11" s="3"/>
      <c r="AI11" s="3"/>
      <c r="AJ11" s="3"/>
      <c r="AK11" s="3"/>
      <c r="AL11" s="3"/>
      <c r="AM11" s="3"/>
      <c r="AN11" s="3"/>
      <c r="AO11" s="3"/>
      <c r="AP11" s="3"/>
      <c r="AQ11" s="3"/>
    </row>
    <row r="12" spans="1:43" ht="12" x14ac:dyDescent="0.2">
      <c r="A12" s="1"/>
      <c r="B12" s="212"/>
      <c r="C12" s="191"/>
      <c r="D12" s="191"/>
      <c r="E12" s="191"/>
      <c r="F12" s="721"/>
      <c r="G12" s="721" t="str">
        <f>"Enter the two compusory ratios ("&amp;C33&amp;" and "&amp;C39&amp;")"</f>
        <v>Enter the two compusory ratios (Infrastructure Renewals Ratio and Infrastructure Backlog Ratio)</v>
      </c>
      <c r="H12" s="195"/>
      <c r="I12" s="195"/>
      <c r="J12" s="195"/>
      <c r="K12" s="191"/>
      <c r="L12" s="195"/>
      <c r="M12" s="195"/>
      <c r="N12" s="195"/>
      <c r="O12" s="195"/>
      <c r="P12" s="3"/>
      <c r="Q12" s="3"/>
      <c r="R12" s="3"/>
      <c r="S12" s="3"/>
      <c r="T12" s="195"/>
      <c r="U12" s="343"/>
      <c r="V12" s="343"/>
      <c r="W12" s="342"/>
      <c r="Y12" s="3"/>
      <c r="Z12" s="3"/>
      <c r="AA12" s="3"/>
      <c r="AB12" s="3"/>
      <c r="AC12" s="3"/>
      <c r="AD12" s="3"/>
      <c r="AE12" s="3"/>
      <c r="AF12" s="3"/>
      <c r="AG12" s="3"/>
      <c r="AH12" s="3"/>
      <c r="AI12" s="3"/>
      <c r="AJ12" s="3"/>
      <c r="AK12" s="3"/>
      <c r="AL12" s="3"/>
      <c r="AM12" s="3"/>
      <c r="AN12" s="3"/>
      <c r="AO12" s="3"/>
      <c r="AP12" s="3"/>
      <c r="AQ12" s="3"/>
    </row>
    <row r="13" spans="1:43" ht="12" x14ac:dyDescent="0.2">
      <c r="A13" s="1"/>
      <c r="B13" s="212"/>
      <c r="C13" s="1"/>
      <c r="D13" s="511"/>
      <c r="E13" s="3"/>
      <c r="F13" s="190"/>
      <c r="G13" s="190" t="s">
        <v>1017</v>
      </c>
      <c r="H13" s="195"/>
      <c r="I13" s="195"/>
      <c r="J13" s="195"/>
      <c r="K13" s="191"/>
      <c r="L13" s="195"/>
      <c r="M13" s="195"/>
      <c r="N13" s="195"/>
      <c r="O13" s="195"/>
      <c r="P13" s="3"/>
      <c r="Q13" s="3"/>
      <c r="R13" s="3"/>
      <c r="S13" s="3"/>
      <c r="T13" s="195"/>
      <c r="U13" s="343"/>
      <c r="V13" s="343"/>
      <c r="W13" s="342"/>
      <c r="Y13" s="3"/>
      <c r="Z13" s="3"/>
      <c r="AA13" s="3"/>
      <c r="AB13" s="3"/>
      <c r="AC13" s="3"/>
      <c r="AD13" s="3"/>
      <c r="AE13" s="3"/>
      <c r="AF13" s="3"/>
      <c r="AG13" s="3"/>
      <c r="AH13" s="3"/>
      <c r="AI13" s="3"/>
      <c r="AJ13" s="3"/>
      <c r="AK13" s="3"/>
      <c r="AL13" s="3"/>
      <c r="AM13" s="3"/>
      <c r="AN13" s="3"/>
      <c r="AO13" s="3"/>
      <c r="AP13" s="3"/>
      <c r="AQ13" s="3"/>
    </row>
    <row r="14" spans="1:43" ht="19.2" customHeight="1" x14ac:dyDescent="0.2">
      <c r="A14" s="3"/>
      <c r="B14" s="212"/>
      <c r="C14" s="3"/>
      <c r="D14" s="3"/>
      <c r="E14" s="3"/>
      <c r="F14" s="3"/>
      <c r="G14" s="3"/>
      <c r="H14" s="3"/>
      <c r="I14" s="3"/>
      <c r="J14" s="3"/>
      <c r="K14" s="3"/>
      <c r="L14" s="3"/>
      <c r="M14" s="3"/>
      <c r="N14" s="3"/>
      <c r="O14" s="3"/>
      <c r="P14" s="3"/>
      <c r="Q14" s="3"/>
      <c r="R14" s="3"/>
      <c r="S14" s="3"/>
      <c r="T14" s="3"/>
      <c r="U14" s="3"/>
      <c r="V14" s="3"/>
      <c r="W14" s="342"/>
      <c r="Y14" s="3"/>
      <c r="Z14" s="3"/>
      <c r="AA14" s="3"/>
      <c r="AB14" s="3"/>
      <c r="AC14" s="3"/>
      <c r="AD14" s="3"/>
      <c r="AE14" s="3"/>
      <c r="AF14" s="3"/>
      <c r="AG14" s="3"/>
      <c r="AH14" s="3"/>
      <c r="AI14" s="3"/>
      <c r="AJ14" s="3"/>
      <c r="AK14" s="3"/>
      <c r="AL14" s="3"/>
      <c r="AM14" s="3"/>
      <c r="AN14" s="3"/>
      <c r="AO14" s="3"/>
      <c r="AP14" s="3"/>
      <c r="AQ14" s="3"/>
    </row>
    <row r="15" spans="1:43" ht="12" x14ac:dyDescent="0.25">
      <c r="A15" s="3"/>
      <c r="B15" s="212"/>
      <c r="C15" s="1199"/>
      <c r="D15" s="815"/>
      <c r="E15" s="815"/>
      <c r="F15" s="815"/>
      <c r="G15" s="751"/>
      <c r="H15" s="521"/>
      <c r="I15" s="521" t="s">
        <v>1018</v>
      </c>
      <c r="J15" s="521"/>
      <c r="K15" s="198"/>
      <c r="L15" s="752"/>
      <c r="M15" s="173"/>
      <c r="N15" s="173"/>
      <c r="O15" s="173"/>
      <c r="P15" s="753" t="s">
        <v>1019</v>
      </c>
      <c r="Q15" s="754"/>
      <c r="R15" s="173"/>
      <c r="S15" s="173"/>
      <c r="T15" s="173"/>
      <c r="U15" s="173"/>
      <c r="V15" s="198"/>
      <c r="W15" s="342"/>
      <c r="X15" s="3"/>
      <c r="Y15" s="3"/>
      <c r="Z15" s="3"/>
      <c r="AA15" s="3"/>
      <c r="AB15" s="3"/>
      <c r="AC15" s="3"/>
      <c r="AD15" s="3"/>
      <c r="AE15" s="3"/>
      <c r="AF15" s="3"/>
      <c r="AG15" s="3"/>
      <c r="AH15" s="3"/>
      <c r="AI15" s="3"/>
      <c r="AJ15" s="3"/>
      <c r="AK15" s="3"/>
      <c r="AL15" s="3"/>
      <c r="AM15" s="3"/>
      <c r="AN15" s="3"/>
      <c r="AO15" s="3"/>
      <c r="AP15" s="3"/>
      <c r="AQ15" s="3"/>
    </row>
    <row r="16" spans="1:43" ht="12" x14ac:dyDescent="0.25">
      <c r="A16" s="3"/>
      <c r="B16" s="212"/>
      <c r="C16" s="135"/>
      <c r="D16" s="3"/>
      <c r="E16" s="3"/>
      <c r="F16" s="3"/>
      <c r="G16" s="519"/>
      <c r="I16" s="1090"/>
      <c r="K16" s="520"/>
      <c r="L16" s="722" t="str">
        <f>'WK0 - Input data'!H55</f>
        <v>Year 0</v>
      </c>
      <c r="M16" s="723" t="str">
        <f>'WK0 - Input data'!I55</f>
        <v>Year 1</v>
      </c>
      <c r="N16" s="723" t="str">
        <f>'WK0 - Input data'!J55</f>
        <v>Year 2</v>
      </c>
      <c r="O16" s="723" t="str">
        <f>'WK0 - Input data'!K55</f>
        <v>Year 3</v>
      </c>
      <c r="P16" s="723" t="str">
        <f>'WK0 - Input data'!L55</f>
        <v>Year 4</v>
      </c>
      <c r="Q16" s="723" t="str">
        <f>'WK0 - Input data'!M55</f>
        <v>Year 5</v>
      </c>
      <c r="R16" s="723" t="str">
        <f>'WK0 - Input data'!N55</f>
        <v>Year 6</v>
      </c>
      <c r="S16" s="723" t="str">
        <f>'WK0 - Input data'!O55</f>
        <v>Year 7</v>
      </c>
      <c r="T16" s="723" t="str">
        <f>'WK0 - Input data'!P55</f>
        <v>Year 8</v>
      </c>
      <c r="U16" s="723" t="str">
        <f>'WK0 - Input data'!Q55</f>
        <v>Year 9</v>
      </c>
      <c r="V16" s="724" t="str">
        <f>'WK0 - Input data'!R55</f>
        <v>Year 10</v>
      </c>
      <c r="W16" s="342"/>
      <c r="X16" s="3"/>
      <c r="Y16" s="3"/>
      <c r="Z16" s="3"/>
      <c r="AA16" s="3"/>
      <c r="AB16" s="3"/>
      <c r="AC16" s="3"/>
      <c r="AD16" s="3"/>
      <c r="AE16" s="3"/>
      <c r="AF16" s="3"/>
      <c r="AG16" s="3"/>
      <c r="AH16" s="3"/>
      <c r="AI16" s="3"/>
      <c r="AJ16" s="3"/>
      <c r="AK16" s="3"/>
      <c r="AL16" s="3"/>
      <c r="AM16" s="3"/>
      <c r="AN16" s="3"/>
      <c r="AO16" s="3"/>
      <c r="AP16" s="3"/>
      <c r="AQ16" s="3"/>
    </row>
    <row r="17" spans="1:43" ht="12" x14ac:dyDescent="0.2">
      <c r="A17" s="3"/>
      <c r="B17" s="212"/>
      <c r="C17" s="97"/>
      <c r="D17" s="93"/>
      <c r="E17" s="93"/>
      <c r="F17" s="93"/>
      <c r="G17" s="517" t="str">
        <f>'WK0 - Input data'!C58</f>
        <v>2017-18</v>
      </c>
      <c r="H17" s="510" t="str">
        <f>'WK0 - Input data'!D58</f>
        <v>2018-19</v>
      </c>
      <c r="I17" s="510" t="str">
        <f>'WK0 - Input data'!E58</f>
        <v>2019-20</v>
      </c>
      <c r="J17" s="510" t="str">
        <f>'WK0 - Input data'!F58</f>
        <v>2020-21</v>
      </c>
      <c r="K17" s="359" t="str">
        <f>'WK0 - Input data'!G58</f>
        <v>2021-22</v>
      </c>
      <c r="L17" s="517" t="str">
        <f>'WK0 - Input data'!H58</f>
        <v>2022-23</v>
      </c>
      <c r="M17" s="510" t="str">
        <f>'WK0 - Input data'!I58</f>
        <v>2023-24</v>
      </c>
      <c r="N17" s="510" t="str">
        <f>'WK0 - Input data'!J58</f>
        <v>2024-25</v>
      </c>
      <c r="O17" s="510" t="str">
        <f>'WK0 - Input data'!K58</f>
        <v>2025-26</v>
      </c>
      <c r="P17" s="510" t="str">
        <f>'WK0 - Input data'!L58</f>
        <v>2026-27</v>
      </c>
      <c r="Q17" s="510" t="str">
        <f>'WK0 - Input data'!M58</f>
        <v>2027-28</v>
      </c>
      <c r="R17" s="510" t="str">
        <f>'WK0 - Input data'!N58</f>
        <v>2028-29</v>
      </c>
      <c r="S17" s="510" t="str">
        <f>'WK0 - Input data'!O58</f>
        <v>2029-30</v>
      </c>
      <c r="T17" s="510" t="str">
        <f>'WK0 - Input data'!P58</f>
        <v>2030-31</v>
      </c>
      <c r="U17" s="510" t="str">
        <f>'WK0 - Input data'!Q58</f>
        <v>2031-32</v>
      </c>
      <c r="V17" s="359" t="str">
        <f>'WK0 - Input data'!R58</f>
        <v>2032-33</v>
      </c>
      <c r="W17" s="342"/>
      <c r="X17" s="3"/>
      <c r="Y17" s="3"/>
      <c r="Z17" s="3"/>
      <c r="AA17" s="3"/>
      <c r="AB17" s="3"/>
      <c r="AC17" s="3"/>
      <c r="AD17" s="3"/>
      <c r="AE17" s="3"/>
      <c r="AF17" s="3"/>
      <c r="AG17" s="3"/>
      <c r="AH17" s="3"/>
      <c r="AI17" s="3"/>
      <c r="AJ17" s="3"/>
      <c r="AK17" s="3"/>
      <c r="AL17" s="3"/>
      <c r="AM17" s="3"/>
      <c r="AN17" s="3"/>
      <c r="AO17" s="3"/>
      <c r="AP17" s="3"/>
      <c r="AQ17" s="3"/>
    </row>
    <row r="18" spans="1:43" ht="13.8" x14ac:dyDescent="0.25">
      <c r="A18" s="3"/>
      <c r="B18" s="212"/>
      <c r="C18" s="755" t="s">
        <v>1020</v>
      </c>
      <c r="D18" s="171" t="s">
        <v>1021</v>
      </c>
      <c r="E18" s="3"/>
      <c r="F18" s="171" t="s">
        <v>1022</v>
      </c>
      <c r="G18" s="135"/>
      <c r="H18" s="3"/>
      <c r="I18" s="3"/>
      <c r="J18" s="3"/>
      <c r="K18" s="96"/>
      <c r="L18" s="3"/>
      <c r="M18" s="3"/>
      <c r="N18" s="3"/>
      <c r="O18" s="3"/>
      <c r="P18" s="3"/>
      <c r="Q18" s="3"/>
      <c r="R18" s="3"/>
      <c r="S18" s="3"/>
      <c r="T18" s="3"/>
      <c r="U18" s="3"/>
      <c r="V18" s="96"/>
      <c r="W18" s="342"/>
      <c r="X18" s="3"/>
      <c r="Y18" s="3"/>
      <c r="Z18" s="3"/>
      <c r="AA18" s="3"/>
      <c r="AB18" s="3"/>
      <c r="AC18" s="3"/>
      <c r="AD18" s="3"/>
      <c r="AE18" s="3"/>
      <c r="AF18" s="3"/>
      <c r="AG18" s="3"/>
      <c r="AH18" s="3"/>
      <c r="AI18" s="3"/>
      <c r="AJ18" s="3"/>
      <c r="AK18" s="3"/>
      <c r="AL18" s="3"/>
      <c r="AM18" s="3"/>
      <c r="AN18" s="3"/>
      <c r="AO18" s="3"/>
      <c r="AP18" s="3"/>
      <c r="AQ18" s="3"/>
    </row>
    <row r="19" spans="1:43" ht="13.8" x14ac:dyDescent="0.25">
      <c r="A19" s="3"/>
      <c r="B19" s="212"/>
      <c r="C19" s="739" t="s">
        <v>1023</v>
      </c>
      <c r="D19" s="740"/>
      <c r="E19" s="740"/>
      <c r="F19" s="740"/>
      <c r="G19" s="756"/>
      <c r="H19" s="187"/>
      <c r="I19" s="740"/>
      <c r="J19" s="187"/>
      <c r="K19" s="261"/>
      <c r="L19" s="180"/>
      <c r="M19" s="180"/>
      <c r="N19" s="180"/>
      <c r="O19" s="180"/>
      <c r="P19" s="180"/>
      <c r="Q19" s="180"/>
      <c r="R19" s="180"/>
      <c r="S19" s="180"/>
      <c r="T19" s="180"/>
      <c r="U19" s="180"/>
      <c r="V19" s="261"/>
      <c r="W19" s="342"/>
      <c r="X19" s="3"/>
      <c r="Y19" s="3"/>
      <c r="Z19" s="3"/>
      <c r="AA19" s="3"/>
      <c r="AB19" s="3"/>
      <c r="AC19" s="3"/>
      <c r="AD19" s="3"/>
      <c r="AE19" s="3"/>
      <c r="AF19" s="3"/>
      <c r="AG19" s="3"/>
      <c r="AH19" s="3"/>
      <c r="AI19" s="3"/>
      <c r="AJ19" s="3"/>
      <c r="AK19" s="3"/>
      <c r="AL19" s="3"/>
      <c r="AM19" s="3"/>
      <c r="AN19" s="3"/>
      <c r="AO19" s="3"/>
      <c r="AP19" s="3"/>
      <c r="AQ19" s="3"/>
    </row>
    <row r="20" spans="1:43" x14ac:dyDescent="0.2">
      <c r="A20" s="3"/>
      <c r="B20" s="212"/>
      <c r="C20" s="135"/>
      <c r="D20" s="3"/>
      <c r="E20" s="3"/>
      <c r="F20" s="3"/>
      <c r="G20" s="135"/>
      <c r="H20" s="3"/>
      <c r="I20" s="3"/>
      <c r="J20" s="3"/>
      <c r="K20" s="96"/>
      <c r="L20" s="3"/>
      <c r="M20" s="3"/>
      <c r="N20" s="3"/>
      <c r="O20" s="3"/>
      <c r="P20" s="3"/>
      <c r="Q20" s="3"/>
      <c r="R20" s="3"/>
      <c r="S20" s="3"/>
      <c r="T20" s="3"/>
      <c r="U20" s="3"/>
      <c r="V20" s="96"/>
      <c r="W20" s="342"/>
      <c r="X20" s="3"/>
      <c r="Y20" s="967" t="s">
        <v>1024</v>
      </c>
      <c r="Z20" s="3"/>
      <c r="AA20" s="3"/>
      <c r="AB20" s="3"/>
      <c r="AC20" s="3"/>
      <c r="AD20" s="3"/>
      <c r="AE20" s="3"/>
      <c r="AF20" s="3"/>
      <c r="AG20" s="3"/>
      <c r="AH20" s="3"/>
      <c r="AI20" s="3"/>
      <c r="AJ20" s="3"/>
      <c r="AK20" s="3"/>
      <c r="AL20" s="3"/>
      <c r="AM20" s="3"/>
      <c r="AN20" s="3"/>
      <c r="AO20" s="3"/>
      <c r="AP20" s="3"/>
      <c r="AQ20" s="3"/>
    </row>
    <row r="21" spans="1:43" x14ac:dyDescent="0.2">
      <c r="A21" s="3"/>
      <c r="B21" s="212"/>
      <c r="C21" s="135" t="s">
        <v>1025</v>
      </c>
      <c r="D21" s="80" t="s">
        <v>1026</v>
      </c>
      <c r="E21" s="3"/>
      <c r="F21" s="3"/>
      <c r="G21" s="135"/>
      <c r="H21" s="3"/>
      <c r="I21" s="3"/>
      <c r="J21" s="3"/>
      <c r="K21" s="96"/>
      <c r="L21" s="3"/>
      <c r="M21" s="3"/>
      <c r="N21" s="3"/>
      <c r="O21" s="3"/>
      <c r="P21" s="3"/>
      <c r="Q21" s="3"/>
      <c r="R21" s="3"/>
      <c r="S21" s="3"/>
      <c r="T21" s="3"/>
      <c r="U21" s="3"/>
      <c r="V21" s="96"/>
      <c r="W21" s="342"/>
      <c r="X21" s="3"/>
      <c r="Y21" s="3" t="s">
        <v>1027</v>
      </c>
      <c r="Z21" s="3"/>
      <c r="AA21" s="3"/>
      <c r="AB21" s="3"/>
      <c r="AC21" s="3"/>
      <c r="AD21" s="3"/>
      <c r="AE21" s="3"/>
      <c r="AF21" s="3"/>
      <c r="AG21" s="3"/>
      <c r="AH21" s="3"/>
      <c r="AI21" s="3"/>
      <c r="AJ21" s="3"/>
      <c r="AK21" s="3"/>
      <c r="AL21" s="3"/>
      <c r="AM21" s="3"/>
      <c r="AN21" s="3"/>
      <c r="AO21" s="3"/>
      <c r="AP21" s="3"/>
      <c r="AQ21" s="3"/>
    </row>
    <row r="22" spans="1:43" x14ac:dyDescent="0.2">
      <c r="A22" s="3"/>
      <c r="B22" s="212"/>
      <c r="C22" s="135"/>
      <c r="D22" s="506" t="s">
        <v>1028</v>
      </c>
      <c r="E22" s="3"/>
      <c r="F22" s="3" t="s">
        <v>1005</v>
      </c>
      <c r="G22" s="757">
        <f>'WK7 - Financials'!G49</f>
        <v>5.2642829997466431E-2</v>
      </c>
      <c r="H22" s="758">
        <f>'WK7 - Financials'!H49</f>
        <v>4.3626096724247852E-2</v>
      </c>
      <c r="I22" s="758">
        <f>'WK7 - Financials'!I49</f>
        <v>5.3354654174455528E-2</v>
      </c>
      <c r="J22" s="758">
        <f>'WK7 - Financials'!J49</f>
        <v>3.8192623667191047E-2</v>
      </c>
      <c r="K22" s="759">
        <f>'WK7 - Financials'!K49</f>
        <v>-1.9020474222817409E-2</v>
      </c>
      <c r="L22" s="758">
        <f>IF('WK8 - LTFP'!F37=0,0,'WK8 - LTFP'!F60/'WK8 - LTFP'!F37)</f>
        <v>2.335627193571323E-2</v>
      </c>
      <c r="M22" s="758">
        <f>IF('WK8 - LTFP'!G37=0,0,'WK8 - LTFP'!G60/'WK8 - LTFP'!G37)</f>
        <v>3.1211700662934772E-2</v>
      </c>
      <c r="N22" s="758">
        <f>IF('WK8 - LTFP'!H37=0,0,'WK8 - LTFP'!H60/'WK8 - LTFP'!H37)</f>
        <v>4.0502171314126596E-2</v>
      </c>
      <c r="O22" s="758">
        <f>IF('WK8 - LTFP'!I37=0,0,'WK8 - LTFP'!I60/'WK8 - LTFP'!I37)</f>
        <v>4.1731747588218682E-2</v>
      </c>
      <c r="P22" s="758">
        <f>IF('WK8 - LTFP'!J37=0,0,'WK8 - LTFP'!J60/'WK8 - LTFP'!J37)</f>
        <v>4.9620725343535427E-2</v>
      </c>
      <c r="Q22" s="758">
        <f>IF('WK8 - LTFP'!K37=0,0,'WK8 - LTFP'!K60/'WK8 - LTFP'!K37)</f>
        <v>3.9900188101001877E-2</v>
      </c>
      <c r="R22" s="758">
        <f>IF('WK8 - LTFP'!L37=0,0,'WK8 - LTFP'!L60/'WK8 - LTFP'!L37)</f>
        <v>3.1343226476308932E-2</v>
      </c>
      <c r="S22" s="758">
        <f>IF('WK8 - LTFP'!M37=0,0,'WK8 - LTFP'!M60/'WK8 - LTFP'!M37)</f>
        <v>3.7718326008084058E-2</v>
      </c>
      <c r="T22" s="758">
        <f>IF('WK8 - LTFP'!N37=0,0,'WK8 - LTFP'!N60/'WK8 - LTFP'!N37)</f>
        <v>3.337171157015021E-2</v>
      </c>
      <c r="U22" s="758">
        <f>IF('WK8 - LTFP'!O37=0,0,'WK8 - LTFP'!O60/'WK8 - LTFP'!O37)</f>
        <v>2.8023394082932369E-2</v>
      </c>
      <c r="V22" s="759">
        <f>IF('WK8 - LTFP'!P37=0,0,'WK8 - LTFP'!P60/'WK8 - LTFP'!P37)</f>
        <v>2.2062524093234469E-2</v>
      </c>
      <c r="W22" s="342"/>
      <c r="X22" s="3"/>
      <c r="Y22" s="3" t="s">
        <v>1029</v>
      </c>
      <c r="Z22" s="3"/>
      <c r="AA22" s="3"/>
      <c r="AB22" s="3"/>
      <c r="AC22" s="3"/>
      <c r="AD22" s="3"/>
      <c r="AE22" s="3"/>
      <c r="AF22" s="3"/>
      <c r="AG22" s="3"/>
      <c r="AH22" s="3"/>
      <c r="AI22" s="3"/>
      <c r="AJ22" s="3"/>
      <c r="AK22" s="3"/>
      <c r="AL22" s="3"/>
      <c r="AM22" s="3"/>
      <c r="AN22" s="3"/>
      <c r="AO22" s="3"/>
      <c r="AP22" s="3"/>
      <c r="AQ22" s="3"/>
    </row>
    <row r="23" spans="1:43" x14ac:dyDescent="0.2">
      <c r="A23" s="3"/>
      <c r="B23" s="212"/>
      <c r="C23" s="135"/>
      <c r="D23" s="80" t="s">
        <v>1030</v>
      </c>
      <c r="E23" s="3"/>
      <c r="F23" s="3" t="s">
        <v>1007</v>
      </c>
      <c r="G23" s="760">
        <f>G22</f>
        <v>5.2642829997466431E-2</v>
      </c>
      <c r="H23" s="694">
        <f>H22</f>
        <v>4.3626096724247852E-2</v>
      </c>
      <c r="I23" s="694">
        <f>I22</f>
        <v>5.3354654174455528E-2</v>
      </c>
      <c r="J23" s="694">
        <f>J22</f>
        <v>3.8192623667191047E-2</v>
      </c>
      <c r="K23" s="761">
        <f>K22</f>
        <v>-1.9020474222817409E-2</v>
      </c>
      <c r="L23" s="758">
        <f>IF('WK8 - LTFP'!F90=0,0,'WK8 - LTFP'!F113/'WK8 - LTFP'!F90)</f>
        <v>2.335627193571323E-2</v>
      </c>
      <c r="M23" s="758">
        <f>IF('WK8 - LTFP'!G90=0,0,'WK8 - LTFP'!G113/'WK8 - LTFP'!G90)</f>
        <v>1.9936738663343979E-2</v>
      </c>
      <c r="N23" s="758">
        <f>IF('WK8 - LTFP'!H90=0,0,'WK8 - LTFP'!H113/'WK8 - LTFP'!H90)</f>
        <v>9.9793854071062622E-3</v>
      </c>
      <c r="O23" s="758">
        <f>IF('WK8 - LTFP'!I90=0,0,'WK8 - LTFP'!I113/'WK8 - LTFP'!I90)</f>
        <v>-6.7048666323545596E-3</v>
      </c>
      <c r="P23" s="758">
        <f>IF('WK8 - LTFP'!J90=0,0,'WK8 - LTFP'!J113/'WK8 - LTFP'!J90)</f>
        <v>-1.4094749954499336E-2</v>
      </c>
      <c r="Q23" s="758">
        <f>IF('WK8 - LTFP'!K90=0,0,'WK8 - LTFP'!K113/'WK8 - LTFP'!K90)</f>
        <v>-2.5930275850350803E-2</v>
      </c>
      <c r="R23" s="758">
        <f>IF('WK8 - LTFP'!L90=0,0,'WK8 - LTFP'!L113/'WK8 - LTFP'!L90)</f>
        <v>-3.5216908990263855E-2</v>
      </c>
      <c r="S23" s="758">
        <f>IF('WK8 - LTFP'!M90=0,0,'WK8 - LTFP'!M113/'WK8 - LTFP'!M90)</f>
        <v>-2.8360266042838062E-2</v>
      </c>
      <c r="T23" s="758">
        <f>IF('WK8 - LTFP'!N90=0,0,'WK8 - LTFP'!N113/'WK8 - LTFP'!N90)</f>
        <v>-3.4454209838557542E-2</v>
      </c>
      <c r="U23" s="758">
        <f>IF('WK8 - LTFP'!O90=0,0,'WK8 - LTFP'!O113/'WK8 - LTFP'!O90)</f>
        <v>-4.021135510273266E-2</v>
      </c>
      <c r="V23" s="759">
        <f>IF('WK8 - LTFP'!P90=0,0,'WK8 - LTFP'!P113/'WK8 - LTFP'!P90)</f>
        <v>-4.6883542842674063E-2</v>
      </c>
      <c r="W23" s="342"/>
      <c r="X23" s="3"/>
      <c r="Y23" s="3" t="s">
        <v>1031</v>
      </c>
      <c r="Z23" s="3"/>
      <c r="AA23" s="3"/>
      <c r="AB23" s="3"/>
      <c r="AC23" s="3"/>
      <c r="AD23" s="3"/>
      <c r="AE23" s="3"/>
      <c r="AF23" s="3"/>
      <c r="AG23" s="3"/>
      <c r="AH23" s="3"/>
      <c r="AI23" s="3"/>
      <c r="AJ23" s="3"/>
      <c r="AK23" s="3"/>
      <c r="AL23" s="3"/>
      <c r="AM23" s="3"/>
      <c r="AN23" s="3"/>
      <c r="AO23" s="3"/>
      <c r="AP23" s="3"/>
      <c r="AQ23" s="3"/>
    </row>
    <row r="24" spans="1:43" ht="13.2" x14ac:dyDescent="0.2">
      <c r="A24" s="3"/>
      <c r="B24" s="212"/>
      <c r="C24" s="135"/>
      <c r="D24" s="80" t="s">
        <v>1032</v>
      </c>
      <c r="E24" s="3"/>
      <c r="F24" s="3" t="s">
        <v>1033</v>
      </c>
      <c r="G24" s="760">
        <f>G22</f>
        <v>5.2642829997466431E-2</v>
      </c>
      <c r="H24" s="694">
        <f>H22</f>
        <v>4.3626096724247852E-2</v>
      </c>
      <c r="I24" s="694">
        <f>I22</f>
        <v>5.3354654174455528E-2</v>
      </c>
      <c r="J24" s="694">
        <f>J22</f>
        <v>3.8192623667191047E-2</v>
      </c>
      <c r="K24" s="761">
        <f>K22</f>
        <v>-1.9020474222817409E-2</v>
      </c>
      <c r="L24" s="758">
        <f>IF('WK8 - LTFP'!F143=0,0,'WK8 - LTFP'!F166/'WK8 - LTFP'!F143)</f>
        <v>2.335627193571323E-2</v>
      </c>
      <c r="M24" s="758">
        <f>IF('WK8 - LTFP'!G143=0,0,'WK8 - LTFP'!G166/'WK8 - LTFP'!G143)</f>
        <v>9.3915691780408136E-3</v>
      </c>
      <c r="N24" s="758">
        <f>IF('WK8 - LTFP'!H143=0,0,'WK8 - LTFP'!H166/'WK8 - LTFP'!H143)</f>
        <v>-1.1281360995163256E-3</v>
      </c>
      <c r="O24" s="758">
        <f>IF('WK8 - LTFP'!I143=0,0,'WK8 - LTFP'!I166/'WK8 - LTFP'!I143)</f>
        <v>-1.8505258002582754E-2</v>
      </c>
      <c r="P24" s="758">
        <f>IF('WK8 - LTFP'!J143=0,0,'WK8 - LTFP'!J166/'WK8 - LTFP'!J143)</f>
        <v>-2.6295783817551575E-2</v>
      </c>
      <c r="Q24" s="758">
        <f>IF('WK8 - LTFP'!K143=0,0,'WK8 - LTFP'!K166/'WK8 - LTFP'!K143)</f>
        <v>-3.6842282080978062E-2</v>
      </c>
      <c r="R24" s="758">
        <f>IF('WK8 - LTFP'!L143=0,0,'WK8 - LTFP'!L166/'WK8 - LTFP'!L143)</f>
        <v>-4.6158238677497979E-2</v>
      </c>
      <c r="S24" s="758">
        <f>IF('WK8 - LTFP'!M143=0,0,'WK8 - LTFP'!M166/'WK8 - LTFP'!M143)</f>
        <v>-3.9335774948920238E-2</v>
      </c>
      <c r="T24" s="758">
        <f>IF('WK8 - LTFP'!N143=0,0,'WK8 - LTFP'!N166/'WK8 - LTFP'!N143)</f>
        <v>-4.409420489790547E-2</v>
      </c>
      <c r="U24" s="758">
        <f>IF('WK8 - LTFP'!O143=0,0,'WK8 - LTFP'!O166/'WK8 - LTFP'!O143)</f>
        <v>-4.9930688053959497E-2</v>
      </c>
      <c r="V24" s="759">
        <f>IF('WK8 - LTFP'!P143=0,0,'WK8 - LTFP'!P166/'WK8 - LTFP'!P143)</f>
        <v>-5.6656951285468674E-2</v>
      </c>
      <c r="W24" s="342"/>
      <c r="X24" s="3"/>
      <c r="Y24" t="s">
        <v>1034</v>
      </c>
      <c r="Z24" s="3"/>
      <c r="AA24" s="3"/>
      <c r="AB24" s="3"/>
      <c r="AC24" s="3"/>
      <c r="AD24" s="3"/>
      <c r="AE24" s="3"/>
      <c r="AF24" s="3"/>
      <c r="AG24" s="3"/>
      <c r="AH24" s="3"/>
      <c r="AI24" s="3"/>
      <c r="AJ24" s="3"/>
      <c r="AK24" s="3"/>
      <c r="AL24" s="3"/>
      <c r="AM24" s="3"/>
      <c r="AN24" s="3"/>
      <c r="AO24" s="3"/>
      <c r="AP24" s="3"/>
      <c r="AQ24" s="3"/>
    </row>
    <row r="25" spans="1:43" x14ac:dyDescent="0.2">
      <c r="A25" s="3"/>
      <c r="B25" s="212"/>
      <c r="C25" s="135"/>
      <c r="D25" s="3"/>
      <c r="E25" s="3"/>
      <c r="F25" s="3"/>
      <c r="G25" s="135"/>
      <c r="H25" s="3"/>
      <c r="I25" s="3"/>
      <c r="J25" s="3"/>
      <c r="K25" s="96"/>
      <c r="L25" s="3"/>
      <c r="M25" s="3"/>
      <c r="N25" s="3"/>
      <c r="O25" s="3"/>
      <c r="P25" s="3"/>
      <c r="Q25" s="3"/>
      <c r="R25" s="3"/>
      <c r="S25" s="3"/>
      <c r="T25" s="3"/>
      <c r="U25" s="3"/>
      <c r="V25" s="96"/>
      <c r="W25" s="342"/>
      <c r="X25" s="3"/>
      <c r="Y25" s="3"/>
      <c r="Z25" s="3"/>
      <c r="AA25" s="3"/>
      <c r="AB25" s="3"/>
      <c r="AC25" s="3"/>
      <c r="AD25" s="3"/>
      <c r="AE25" s="3"/>
      <c r="AF25" s="3"/>
      <c r="AG25" s="3"/>
      <c r="AH25" s="3"/>
      <c r="AI25" s="3"/>
      <c r="AJ25" s="3"/>
      <c r="AK25" s="3"/>
      <c r="AL25" s="3"/>
      <c r="AM25" s="3"/>
      <c r="AN25" s="3"/>
      <c r="AO25" s="3"/>
      <c r="AP25" s="3"/>
      <c r="AQ25" s="3"/>
    </row>
    <row r="26" spans="1:43" x14ac:dyDescent="0.2">
      <c r="A26" s="3"/>
      <c r="B26" s="212"/>
      <c r="C26" s="135"/>
      <c r="D26" s="3"/>
      <c r="E26" s="3"/>
      <c r="F26" s="3"/>
      <c r="G26" s="135"/>
      <c r="H26" s="3"/>
      <c r="I26" s="3"/>
      <c r="J26" s="3"/>
      <c r="K26" s="96"/>
      <c r="L26" s="3"/>
      <c r="M26" s="3"/>
      <c r="N26" s="3"/>
      <c r="O26" s="3"/>
      <c r="P26" s="3"/>
      <c r="Q26" s="3"/>
      <c r="R26" s="3"/>
      <c r="S26" s="3"/>
      <c r="T26" s="3"/>
      <c r="U26" s="3"/>
      <c r="V26" s="96"/>
      <c r="W26" s="342"/>
      <c r="X26" s="3"/>
      <c r="Y26" s="967" t="s">
        <v>1024</v>
      </c>
      <c r="Z26" s="3"/>
      <c r="AA26" s="3"/>
      <c r="AB26" s="3"/>
      <c r="AC26" s="3"/>
      <c r="AD26" s="3"/>
      <c r="AE26" s="3"/>
      <c r="AF26" s="3"/>
      <c r="AG26" s="3"/>
      <c r="AH26" s="3"/>
      <c r="AI26" s="3"/>
      <c r="AJ26" s="3"/>
      <c r="AK26" s="3"/>
      <c r="AL26" s="3"/>
      <c r="AM26" s="3"/>
      <c r="AN26" s="3"/>
      <c r="AO26" s="3"/>
      <c r="AP26" s="3"/>
      <c r="AQ26" s="3"/>
    </row>
    <row r="27" spans="1:43" x14ac:dyDescent="0.2">
      <c r="A27" s="3"/>
      <c r="B27" s="212"/>
      <c r="C27" s="135" t="s">
        <v>1035</v>
      </c>
      <c r="D27" s="80" t="s">
        <v>1030</v>
      </c>
      <c r="E27" s="3"/>
      <c r="F27" s="3"/>
      <c r="G27" s="762"/>
      <c r="H27" s="763"/>
      <c r="I27" s="763"/>
      <c r="J27" s="763"/>
      <c r="K27" s="764"/>
      <c r="L27" s="765"/>
      <c r="M27" s="3"/>
      <c r="N27" s="3"/>
      <c r="O27" s="765"/>
      <c r="P27" s="765"/>
      <c r="Q27" s="765"/>
      <c r="R27" s="765"/>
      <c r="S27" s="765"/>
      <c r="T27" s="765"/>
      <c r="U27" s="765"/>
      <c r="V27" s="766"/>
      <c r="W27" s="342"/>
      <c r="X27" s="3"/>
      <c r="Y27" s="3" t="s">
        <v>1036</v>
      </c>
      <c r="Z27" s="3"/>
      <c r="AA27" s="3"/>
      <c r="AB27" s="3"/>
      <c r="AC27" s="3"/>
      <c r="AD27" s="3"/>
      <c r="AE27" s="3"/>
      <c r="AF27" s="3"/>
      <c r="AG27" s="3"/>
      <c r="AH27" s="3"/>
      <c r="AI27" s="3"/>
      <c r="AJ27" s="3"/>
      <c r="AK27" s="3"/>
      <c r="AL27" s="3"/>
      <c r="AM27" s="3"/>
      <c r="AN27" s="3"/>
      <c r="AO27" s="3"/>
      <c r="AP27" s="3"/>
      <c r="AQ27" s="3"/>
    </row>
    <row r="28" spans="1:43" x14ac:dyDescent="0.2">
      <c r="A28" s="3"/>
      <c r="B28" s="212"/>
      <c r="C28" s="135"/>
      <c r="D28" s="506" t="s">
        <v>1037</v>
      </c>
      <c r="E28" s="3"/>
      <c r="F28" s="619" t="str">
        <f>$F$22</f>
        <v>Scenario 1: Proposed (with SV)</v>
      </c>
      <c r="G28" s="760">
        <f>IF('WK7 - Financials'!G29+'WK7 - Financials'!G22=0,0,('WK7 - Financials'!G29-'WK7 - Financials'!G21)/('WK7 - Financials'!G29+'WK7 - Financials'!G22))</f>
        <v>0.49736989367655288</v>
      </c>
      <c r="H28" s="694">
        <f>IF('WK7 - Financials'!H29+'WK7 - Financials'!H22=0,0,('WK7 - Financials'!H29-'WK7 - Financials'!H21)/('WK7 - Financials'!H29+'WK7 - Financials'!H22))</f>
        <v>0.75997247677728086</v>
      </c>
      <c r="I28" s="694">
        <f>IF('WK7 - Financials'!I29+'WK7 - Financials'!I22=0,0,('WK7 - Financials'!I29-'WK7 - Financials'!I21)/('WK7 - Financials'!I29+'WK7 - Financials'!I22))</f>
        <v>0.86588579587024006</v>
      </c>
      <c r="J28" s="694">
        <f>IF('WK7 - Financials'!J29+'WK7 - Financials'!J22=0,0,('WK7 - Financials'!J29-'WK7 - Financials'!J21)/('WK7 - Financials'!J29+'WK7 - Financials'!J22))</f>
        <v>0.80893887630673167</v>
      </c>
      <c r="K28" s="761">
        <f>IF('WK7 - Financials'!K29+'WK7 - Financials'!K22=0,0,('WK7 - Financials'!K29-'WK7 - Financials'!K21)/('WK7 - Financials'!K29+'WK7 - Financials'!K22))</f>
        <v>0.73756204207043252</v>
      </c>
      <c r="L28" s="996">
        <f>IF('WK8 - LTFP'!F37+'WK8 - LTFP'!F26=0,0,('WK8 - LTFP'!F37-'WK8 - LTFP'!F25)/('WK8 - LTFP'!F37+'WK8 - LTFP'!F26))</f>
        <v>0.86480131657498671</v>
      </c>
      <c r="M28" s="996">
        <f>IF('WK8 - LTFP'!G37+'WK8 - LTFP'!G26=0,0,('WK8 - LTFP'!G37-'WK8 - LTFP'!G25)/('WK8 - LTFP'!G37+'WK8 - LTFP'!G26))</f>
        <v>0.86461213687492278</v>
      </c>
      <c r="N28" s="996">
        <f>IF('WK8 - LTFP'!H37+'WK8 - LTFP'!H26=0,0,('WK8 - LTFP'!H37-'WK8 - LTFP'!H25)/('WK8 - LTFP'!H37+'WK8 - LTFP'!H26))</f>
        <v>0.86766917558045331</v>
      </c>
      <c r="O28" s="996">
        <f>IF('WK8 - LTFP'!I37+'WK8 - LTFP'!I26=0,0,('WK8 - LTFP'!I37-'WK8 - LTFP'!I25)/('WK8 - LTFP'!I37+'WK8 - LTFP'!I26))</f>
        <v>0.86975031447258033</v>
      </c>
      <c r="P28" s="996">
        <f>IF('WK8 - LTFP'!J37+'WK8 - LTFP'!J26=0,0,('WK8 - LTFP'!J37-'WK8 - LTFP'!J25)/('WK8 - LTFP'!J37+'WK8 - LTFP'!J26))</f>
        <v>0.69308164084637847</v>
      </c>
      <c r="Q28" s="996">
        <f>IF('WK8 - LTFP'!K37+'WK8 - LTFP'!K26=0,0,('WK8 - LTFP'!K37-'WK8 - LTFP'!K25)/('WK8 - LTFP'!K37+'WK8 - LTFP'!K26))</f>
        <v>0.87292825129140916</v>
      </c>
      <c r="R28" s="996">
        <f>IF('WK8 - LTFP'!L37+'WK8 - LTFP'!L26=0,0,('WK8 - LTFP'!L37-'WK8 - LTFP'!L25)/('WK8 - LTFP'!L37+'WK8 - LTFP'!L26))</f>
        <v>0.87348039423091173</v>
      </c>
      <c r="S28" s="996">
        <f>IF('WK8 - LTFP'!M37+'WK8 - LTFP'!M26=0,0,('WK8 - LTFP'!M37-'WK8 - LTFP'!M25)/('WK8 - LTFP'!M37+'WK8 - LTFP'!M26))</f>
        <v>0.87403752331353635</v>
      </c>
      <c r="T28" s="996">
        <f>IF('WK8 - LTFP'!N37+'WK8 - LTFP'!N26=0,0,('WK8 - LTFP'!N37-'WK8 - LTFP'!N25)/('WK8 - LTFP'!N37+'WK8 - LTFP'!N26))</f>
        <v>0.87458161777568344</v>
      </c>
      <c r="U28" s="996">
        <f>IF('WK8 - LTFP'!O37+'WK8 - LTFP'!O26=0,0,('WK8 - LTFP'!O37-'WK8 - LTFP'!O25)/('WK8 - LTFP'!O37+'WK8 - LTFP'!O26))</f>
        <v>0.87502510001762657</v>
      </c>
      <c r="V28" s="997">
        <f>IF('WK8 - LTFP'!P37+'WK8 - LTFP'!P26=0,0,('WK8 - LTFP'!P37-'WK8 - LTFP'!P25)/('WK8 - LTFP'!P37+'WK8 - LTFP'!P26))</f>
        <v>0.87585869777189218</v>
      </c>
      <c r="W28" s="342"/>
      <c r="X28" s="3"/>
      <c r="Y28" s="3" t="s">
        <v>1038</v>
      </c>
      <c r="Z28" s="3"/>
      <c r="AA28" s="3"/>
      <c r="AB28" s="3"/>
      <c r="AC28" s="3"/>
      <c r="AD28" s="3"/>
      <c r="AE28" s="3"/>
      <c r="AF28" s="3"/>
      <c r="AG28" s="3"/>
      <c r="AH28" s="3"/>
      <c r="AI28" s="3"/>
      <c r="AJ28" s="3"/>
      <c r="AK28" s="3"/>
      <c r="AL28" s="3"/>
      <c r="AM28" s="3"/>
      <c r="AN28" s="3"/>
      <c r="AO28" s="3"/>
      <c r="AP28" s="3"/>
      <c r="AQ28" s="3"/>
    </row>
    <row r="29" spans="1:43" x14ac:dyDescent="0.2">
      <c r="A29" s="3"/>
      <c r="B29" s="212"/>
      <c r="C29" s="135"/>
      <c r="D29" s="80" t="s">
        <v>1030</v>
      </c>
      <c r="E29" s="3"/>
      <c r="F29" s="619" t="str">
        <f>$F$23</f>
        <v>Scenario 2 - Base case (no SV)</v>
      </c>
      <c r="G29" s="760">
        <f>G28</f>
        <v>0.49736989367655288</v>
      </c>
      <c r="H29" s="694">
        <f t="shared" ref="H29" si="0">H28</f>
        <v>0.75997247677728086</v>
      </c>
      <c r="I29" s="694">
        <f>I28</f>
        <v>0.86588579587024006</v>
      </c>
      <c r="J29" s="694">
        <f t="shared" ref="J29:K29" si="1">J28</f>
        <v>0.80893887630673167</v>
      </c>
      <c r="K29" s="761">
        <f t="shared" si="1"/>
        <v>0.73756204207043252</v>
      </c>
      <c r="L29" s="694">
        <f>IF('WK8 - LTFP'!F90+'WK8 - LTFP'!F79=0,0,('WK8 - LTFP'!F90-'WK8 - LTFP'!F78)/('WK8 - LTFP'!F90+'WK8 - LTFP'!F79))</f>
        <v>0.86480131657498671</v>
      </c>
      <c r="M29" s="694">
        <f>IF('WK8 - LTFP'!G90+'WK8 - LTFP'!G79=0,0,('WK8 - LTFP'!G90-'WK8 - LTFP'!G78)/('WK8 - LTFP'!G90+'WK8 - LTFP'!G79))</f>
        <v>0.86173721690995231</v>
      </c>
      <c r="N29" s="694">
        <f>IF('WK8 - LTFP'!H90+'WK8 - LTFP'!H79=0,0,('WK8 - LTFP'!H90-'WK8 - LTFP'!H78)/('WK8 - LTFP'!H90+'WK8 - LTFP'!H79))</f>
        <v>0.86225190128257911</v>
      </c>
      <c r="O29" s="694">
        <f>IF('WK8 - LTFP'!I90+'WK8 - LTFP'!I79=0,0,('WK8 - LTFP'!I90-'WK8 - LTFP'!I78)/('WK8 - LTFP'!I90+'WK8 - LTFP'!I79))</f>
        <v>0.86202189152545428</v>
      </c>
      <c r="P29" s="694">
        <f>IF('WK8 - LTFP'!J90+'WK8 - LTFP'!J79=0,0,('WK8 - LTFP'!J90-'WK8 - LTFP'!J78)/('WK8 - LTFP'!J90+'WK8 - LTFP'!J79))</f>
        <v>0.67496240947178243</v>
      </c>
      <c r="Q29" s="694">
        <f>IF('WK8 - LTFP'!K90+'WK8 - LTFP'!K79=0,0,('WK8 - LTFP'!K90-'WK8 - LTFP'!K78)/('WK8 - LTFP'!K90+'WK8 - LTFP'!K79))</f>
        <v>0.86332699399647961</v>
      </c>
      <c r="R29" s="694">
        <f>IF('WK8 - LTFP'!L90+'WK8 - LTFP'!L79=0,0,('WK8 - LTFP'!L90-'WK8 - LTFP'!L78)/('WK8 - LTFP'!L90+'WK8 - LTFP'!L79))</f>
        <v>0.86390519134318144</v>
      </c>
      <c r="S29" s="694">
        <f>IF('WK8 - LTFP'!M90+'WK8 - LTFP'!M79=0,0,('WK8 - LTFP'!M90-'WK8 - LTFP'!M78)/('WK8 - LTFP'!M90+'WK8 - LTFP'!M79))</f>
        <v>0.86449040486489803</v>
      </c>
      <c r="T29" s="694">
        <f>IF('WK8 - LTFP'!N90+'WK8 - LTFP'!N79=0,0,('WK8 - LTFP'!N90-'WK8 - LTFP'!N78)/('WK8 - LTFP'!N90+'WK8 - LTFP'!N79))</f>
        <v>0.86506175738962177</v>
      </c>
      <c r="U29" s="694">
        <f>IF('WK8 - LTFP'!O90+'WK8 - LTFP'!O79=0,0,('WK8 - LTFP'!O90-'WK8 - LTFP'!O78)/('WK8 - LTFP'!O90+'WK8 - LTFP'!O79))</f>
        <v>0.86552586755772376</v>
      </c>
      <c r="V29" s="761">
        <f>IF('WK8 - LTFP'!P90+'WK8 - LTFP'!P79=0,0,('WK8 - LTFP'!P90-'WK8 - LTFP'!P78)/('WK8 - LTFP'!P90+'WK8 - LTFP'!P79))</f>
        <v>0.86638107339069681</v>
      </c>
      <c r="W29" s="342"/>
      <c r="X29" s="3"/>
      <c r="Y29" s="3" t="s">
        <v>1039</v>
      </c>
      <c r="Z29" s="3"/>
      <c r="AA29" s="3"/>
      <c r="AB29" s="3"/>
      <c r="AC29" s="3"/>
      <c r="AD29" s="3"/>
      <c r="AE29" s="3"/>
      <c r="AF29" s="3"/>
      <c r="AG29" s="3"/>
      <c r="AH29" s="3"/>
      <c r="AI29" s="3"/>
      <c r="AJ29" s="3"/>
      <c r="AK29" s="3"/>
      <c r="AL29" s="3"/>
      <c r="AM29" s="3"/>
      <c r="AN29" s="3"/>
      <c r="AO29" s="3"/>
      <c r="AP29" s="3"/>
      <c r="AQ29" s="3"/>
    </row>
    <row r="30" spans="1:43" x14ac:dyDescent="0.2">
      <c r="A30" s="3"/>
      <c r="B30" s="212"/>
      <c r="C30" s="135"/>
      <c r="D30" s="80" t="s">
        <v>1040</v>
      </c>
      <c r="E30" s="3"/>
      <c r="F30" s="3"/>
      <c r="G30" s="135"/>
      <c r="H30" s="3"/>
      <c r="I30" s="3"/>
      <c r="J30" s="3"/>
      <c r="K30" s="96"/>
      <c r="L30" s="3"/>
      <c r="M30" s="3"/>
      <c r="N30" s="3"/>
      <c r="O30" s="3"/>
      <c r="P30" s="3"/>
      <c r="Q30" s="3"/>
      <c r="R30" s="3"/>
      <c r="S30" s="3"/>
      <c r="T30" s="3"/>
      <c r="U30" s="3"/>
      <c r="V30" s="96"/>
      <c r="W30" s="342"/>
      <c r="X30" s="3"/>
      <c r="Y30" t="s">
        <v>1041</v>
      </c>
      <c r="Z30" s="3"/>
      <c r="AA30" s="3"/>
      <c r="AB30" s="3"/>
      <c r="AC30" s="3"/>
      <c r="AD30" s="3"/>
      <c r="AE30" s="3"/>
      <c r="AF30" s="3"/>
      <c r="AG30" s="3"/>
      <c r="AH30" s="3"/>
      <c r="AI30" s="3"/>
      <c r="AJ30" s="3"/>
      <c r="AK30" s="3"/>
      <c r="AL30" s="3"/>
      <c r="AM30" s="3"/>
      <c r="AN30" s="3"/>
      <c r="AO30" s="3"/>
      <c r="AP30" s="3"/>
      <c r="AQ30" s="3"/>
    </row>
    <row r="31" spans="1:43" x14ac:dyDescent="0.2">
      <c r="A31" s="3"/>
      <c r="B31" s="212"/>
      <c r="C31" s="135"/>
      <c r="D31" s="3"/>
      <c r="E31" s="3"/>
      <c r="F31" s="3"/>
      <c r="G31" s="135"/>
      <c r="H31" s="3"/>
      <c r="I31" s="3"/>
      <c r="J31" s="3"/>
      <c r="K31" s="96"/>
      <c r="L31" s="3"/>
      <c r="M31" s="3"/>
      <c r="N31" s="3"/>
      <c r="O31" s="3"/>
      <c r="P31" s="3"/>
      <c r="Q31" s="3"/>
      <c r="R31" s="3"/>
      <c r="S31" s="3"/>
      <c r="T31" s="3"/>
      <c r="U31" s="3"/>
      <c r="V31" s="96"/>
      <c r="W31" s="342"/>
      <c r="X31" s="3"/>
      <c r="Y31" s="3"/>
      <c r="Z31" s="3"/>
      <c r="AA31" s="3"/>
      <c r="AB31" s="3"/>
      <c r="AD31" s="3"/>
      <c r="AE31" s="3"/>
      <c r="AF31" s="3"/>
      <c r="AG31" s="3"/>
      <c r="AH31" s="3"/>
      <c r="AI31" s="3"/>
      <c r="AJ31" s="3"/>
      <c r="AK31" s="3"/>
      <c r="AL31" s="3"/>
      <c r="AM31" s="3"/>
      <c r="AN31" s="3"/>
      <c r="AO31" s="3"/>
      <c r="AP31" s="3"/>
      <c r="AQ31" s="3"/>
    </row>
    <row r="32" spans="1:43" ht="12" x14ac:dyDescent="0.25">
      <c r="A32" s="3"/>
      <c r="B32" s="212"/>
      <c r="C32" s="135"/>
      <c r="D32" s="3"/>
      <c r="E32" s="3"/>
      <c r="F32" s="3"/>
      <c r="G32" s="135"/>
      <c r="H32" s="3"/>
      <c r="I32" s="3"/>
      <c r="J32" s="3"/>
      <c r="K32" s="96"/>
      <c r="L32" s="2" t="s">
        <v>1042</v>
      </c>
      <c r="M32" s="3"/>
      <c r="N32" s="3"/>
      <c r="O32" s="3"/>
      <c r="P32" s="3"/>
      <c r="Q32" s="3"/>
      <c r="R32" s="3"/>
      <c r="S32" s="3"/>
      <c r="T32" s="3"/>
      <c r="U32" s="3"/>
      <c r="V32" s="96"/>
      <c r="W32" s="342"/>
      <c r="X32" s="3"/>
      <c r="Y32" s="967" t="s">
        <v>1043</v>
      </c>
      <c r="Z32" s="3"/>
      <c r="AA32" s="3"/>
      <c r="AB32" s="3"/>
      <c r="AD32" s="3"/>
      <c r="AE32" s="3"/>
      <c r="AF32" s="3"/>
      <c r="AG32" s="3"/>
      <c r="AH32" s="3"/>
      <c r="AI32" s="3"/>
      <c r="AJ32" s="3"/>
      <c r="AK32" s="3"/>
      <c r="AL32" s="3"/>
      <c r="AM32" s="3"/>
      <c r="AN32" s="3"/>
      <c r="AO32" s="3"/>
      <c r="AP32" s="3"/>
      <c r="AQ32" s="3"/>
    </row>
    <row r="33" spans="1:43" x14ac:dyDescent="0.2">
      <c r="A33" s="3"/>
      <c r="B33" s="212"/>
      <c r="C33" s="135" t="s">
        <v>1044</v>
      </c>
      <c r="D33" s="506" t="s">
        <v>1045</v>
      </c>
      <c r="E33" s="3"/>
      <c r="F33" s="619" t="str">
        <f>$F$22</f>
        <v>Scenario 1: Proposed (with SV)</v>
      </c>
      <c r="G33" s="760">
        <f>'WK7 - Financials'!G68</f>
        <v>0.95320000000000005</v>
      </c>
      <c r="H33" s="694">
        <f>'WK7 - Financials'!H68</f>
        <v>0.9294</v>
      </c>
      <c r="I33" s="694">
        <f>'WK7 - Financials'!I68</f>
        <v>0.92300000000000004</v>
      </c>
      <c r="J33" s="694">
        <f>'WK7 - Financials'!J68</f>
        <v>0.89290000000000003</v>
      </c>
      <c r="K33" s="761">
        <f>'WK7 - Financials'!K68</f>
        <v>0.9123</v>
      </c>
      <c r="L33" s="158">
        <v>1.3186491521750445</v>
      </c>
      <c r="M33" s="158">
        <v>1.0124590001404961</v>
      </c>
      <c r="N33" s="158">
        <v>1.0261346251118706</v>
      </c>
      <c r="O33" s="158">
        <v>1.0398694943824653</v>
      </c>
      <c r="P33" s="158">
        <v>1.0373584426883935</v>
      </c>
      <c r="Q33" s="158">
        <v>1.0512665312579448</v>
      </c>
      <c r="R33" s="158">
        <v>1.0539013223163458</v>
      </c>
      <c r="S33" s="158">
        <v>1.0544574452168776</v>
      </c>
      <c r="T33" s="158">
        <v>1.0595214620579043</v>
      </c>
      <c r="U33" s="158">
        <v>1.0653715682294183</v>
      </c>
      <c r="V33" s="725">
        <v>1.0710941569622732</v>
      </c>
      <c r="W33" s="509"/>
      <c r="X33" s="3"/>
      <c r="Y33" s="3" t="s">
        <v>1046</v>
      </c>
      <c r="Z33" s="3"/>
      <c r="AA33" s="3"/>
      <c r="AB33" s="3"/>
      <c r="AD33" s="3"/>
      <c r="AE33" s="3"/>
      <c r="AF33" s="3"/>
      <c r="AG33" s="3"/>
      <c r="AH33" s="3"/>
      <c r="AI33" s="3"/>
      <c r="AJ33" s="3"/>
      <c r="AK33" s="3"/>
      <c r="AL33" s="3"/>
      <c r="AM33" s="3"/>
      <c r="AN33" s="3"/>
      <c r="AO33" s="3"/>
      <c r="AP33" s="3"/>
      <c r="AQ33" s="3"/>
    </row>
    <row r="34" spans="1:43" x14ac:dyDescent="0.2">
      <c r="A34" s="3"/>
      <c r="B34" s="212"/>
      <c r="C34" s="135"/>
      <c r="D34" s="80" t="s">
        <v>1047</v>
      </c>
      <c r="E34" s="3"/>
      <c r="F34" s="619" t="str">
        <f>$F$23</f>
        <v>Scenario 2 - Base case (no SV)</v>
      </c>
      <c r="G34" s="760">
        <f>G33</f>
        <v>0.95320000000000005</v>
      </c>
      <c r="H34" s="694">
        <f t="shared" ref="H34" si="2">H33</f>
        <v>0.9294</v>
      </c>
      <c r="I34" s="694">
        <f>I33</f>
        <v>0.92300000000000004</v>
      </c>
      <c r="J34" s="694">
        <f t="shared" ref="J34:L34" si="3">J33</f>
        <v>0.89290000000000003</v>
      </c>
      <c r="K34" s="761">
        <f t="shared" si="3"/>
        <v>0.9123</v>
      </c>
      <c r="L34" s="694">
        <f t="shared" si="3"/>
        <v>1.3186491521750445</v>
      </c>
      <c r="M34" s="158">
        <v>0.91966824955648041</v>
      </c>
      <c r="N34" s="158">
        <v>0.93489133321839002</v>
      </c>
      <c r="O34" s="158">
        <v>0.95015970452496623</v>
      </c>
      <c r="P34" s="158">
        <v>0.9491678772105181</v>
      </c>
      <c r="Q34" s="158">
        <v>0.96458068047770729</v>
      </c>
      <c r="R34" s="158">
        <v>0.96870543351678229</v>
      </c>
      <c r="S34" s="158">
        <v>0.97073651500717995</v>
      </c>
      <c r="T34" s="158">
        <v>0.97726031328585972</v>
      </c>
      <c r="U34" s="158">
        <v>0.98455475845772777</v>
      </c>
      <c r="V34" s="725">
        <v>0.99170613167339061</v>
      </c>
      <c r="W34" s="509"/>
      <c r="X34" s="3"/>
      <c r="Y34" s="3" t="s">
        <v>1048</v>
      </c>
      <c r="Z34" s="3"/>
      <c r="AA34" s="3"/>
      <c r="AB34" s="3"/>
      <c r="AD34" s="3"/>
      <c r="AE34" s="3"/>
      <c r="AF34" s="3"/>
      <c r="AG34" s="3"/>
      <c r="AH34" s="3"/>
      <c r="AI34" s="3"/>
      <c r="AJ34" s="3"/>
      <c r="AK34" s="3"/>
      <c r="AL34" s="3"/>
      <c r="AM34" s="3"/>
      <c r="AN34" s="3"/>
      <c r="AO34" s="3"/>
      <c r="AP34" s="3"/>
      <c r="AQ34" s="3"/>
    </row>
    <row r="35" spans="1:43" x14ac:dyDescent="0.2">
      <c r="A35" s="3"/>
      <c r="B35" s="212"/>
      <c r="C35" s="135"/>
      <c r="D35" s="80" t="s">
        <v>1049</v>
      </c>
      <c r="E35" s="3"/>
      <c r="F35" s="3"/>
      <c r="G35" s="135"/>
      <c r="H35" s="3"/>
      <c r="I35" s="3"/>
      <c r="J35" s="3"/>
      <c r="K35" s="96"/>
      <c r="L35" s="3"/>
      <c r="M35" s="3"/>
      <c r="N35" s="3"/>
      <c r="O35" s="3"/>
      <c r="P35" s="3"/>
      <c r="Q35" s="3"/>
      <c r="R35" s="3"/>
      <c r="S35" s="3"/>
      <c r="T35" s="3"/>
      <c r="U35" s="3"/>
      <c r="V35" s="96"/>
      <c r="W35" s="342"/>
      <c r="X35" s="3"/>
      <c r="Y35" s="3"/>
      <c r="Z35" s="3"/>
      <c r="AA35" s="3"/>
      <c r="AB35" s="3"/>
      <c r="AD35" s="3"/>
      <c r="AE35" s="3"/>
      <c r="AF35" s="3"/>
      <c r="AG35" s="3"/>
      <c r="AH35" s="3"/>
      <c r="AI35" s="3"/>
      <c r="AJ35" s="3"/>
      <c r="AK35" s="3"/>
      <c r="AL35" s="3"/>
      <c r="AM35" s="3"/>
      <c r="AN35" s="3"/>
      <c r="AO35" s="3"/>
      <c r="AP35" s="3"/>
      <c r="AQ35" s="3"/>
    </row>
    <row r="36" spans="1:43" x14ac:dyDescent="0.2">
      <c r="A36" s="3"/>
      <c r="B36" s="212"/>
      <c r="C36" s="135"/>
      <c r="D36" s="80"/>
      <c r="E36" s="3"/>
      <c r="F36" s="3"/>
      <c r="G36" s="135"/>
      <c r="H36" s="3"/>
      <c r="I36" s="3"/>
      <c r="J36" s="3"/>
      <c r="K36" s="96"/>
      <c r="L36" s="3"/>
      <c r="M36" s="3"/>
      <c r="N36" s="3"/>
      <c r="O36" s="3"/>
      <c r="P36" s="3"/>
      <c r="Q36" s="3"/>
      <c r="R36" s="3"/>
      <c r="S36" s="3"/>
      <c r="T36" s="3"/>
      <c r="U36" s="3"/>
      <c r="V36" s="96"/>
      <c r="W36" s="342"/>
      <c r="X36" s="3"/>
      <c r="Y36" s="3"/>
      <c r="Z36" s="3"/>
      <c r="AA36" s="3"/>
      <c r="AB36" s="3"/>
      <c r="AD36" s="3"/>
      <c r="AE36" s="3"/>
      <c r="AF36" s="3"/>
      <c r="AG36" s="3"/>
      <c r="AH36" s="3"/>
      <c r="AI36" s="3"/>
      <c r="AJ36" s="3"/>
      <c r="AK36" s="3"/>
      <c r="AL36" s="3"/>
      <c r="AM36" s="3"/>
      <c r="AN36" s="3"/>
      <c r="AO36" s="3"/>
      <c r="AP36" s="3"/>
      <c r="AQ36" s="3"/>
    </row>
    <row r="37" spans="1:43" ht="13.8" x14ac:dyDescent="0.25">
      <c r="A37" s="3"/>
      <c r="B37" s="212"/>
      <c r="C37" s="739" t="s">
        <v>1050</v>
      </c>
      <c r="D37" s="740"/>
      <c r="E37" s="740"/>
      <c r="F37" s="740"/>
      <c r="G37" s="756"/>
      <c r="H37" s="187"/>
      <c r="I37" s="740"/>
      <c r="J37" s="187"/>
      <c r="K37" s="261"/>
      <c r="L37" s="180"/>
      <c r="M37" s="180"/>
      <c r="N37" s="180"/>
      <c r="O37" s="180"/>
      <c r="P37" s="180"/>
      <c r="Q37" s="180"/>
      <c r="R37" s="180"/>
      <c r="S37" s="180"/>
      <c r="T37" s="180"/>
      <c r="U37" s="180"/>
      <c r="V37" s="261"/>
      <c r="W37" s="342"/>
      <c r="X37" s="3"/>
      <c r="Y37" s="3"/>
      <c r="Z37" s="3"/>
      <c r="AA37" s="3"/>
      <c r="AB37" s="3"/>
      <c r="AD37" s="3"/>
      <c r="AE37" s="3"/>
      <c r="AF37" s="3"/>
      <c r="AG37" s="3"/>
      <c r="AH37" s="3"/>
      <c r="AI37" s="3"/>
      <c r="AJ37" s="3"/>
      <c r="AK37" s="3"/>
      <c r="AL37" s="3"/>
      <c r="AM37" s="3"/>
      <c r="AN37" s="3"/>
      <c r="AO37" s="3"/>
      <c r="AP37" s="3"/>
      <c r="AQ37" s="3"/>
    </row>
    <row r="38" spans="1:43" x14ac:dyDescent="0.2">
      <c r="A38" s="3"/>
      <c r="B38" s="212"/>
      <c r="C38" s="135"/>
      <c r="D38" s="3"/>
      <c r="E38" s="3"/>
      <c r="F38" s="3"/>
      <c r="G38" s="135"/>
      <c r="H38" s="3"/>
      <c r="I38" s="3"/>
      <c r="J38" s="3"/>
      <c r="K38" s="96"/>
      <c r="L38" s="3"/>
      <c r="M38" s="3"/>
      <c r="N38" s="3"/>
      <c r="O38" s="3"/>
      <c r="P38" s="3"/>
      <c r="Q38" s="3"/>
      <c r="R38" s="3"/>
      <c r="S38" s="3"/>
      <c r="T38" s="3"/>
      <c r="U38" s="3"/>
      <c r="V38" s="96"/>
      <c r="W38" s="342"/>
      <c r="X38" s="3"/>
      <c r="Y38" s="3"/>
      <c r="Z38" s="3"/>
      <c r="AA38" s="3"/>
      <c r="AB38" s="3"/>
      <c r="AD38" s="3"/>
      <c r="AE38" s="3"/>
      <c r="AF38" s="3"/>
      <c r="AG38" s="3"/>
      <c r="AH38" s="3"/>
      <c r="AI38" s="3"/>
      <c r="AJ38" s="3"/>
      <c r="AK38" s="3"/>
      <c r="AL38" s="3"/>
      <c r="AM38" s="3"/>
      <c r="AN38" s="3"/>
      <c r="AO38" s="3"/>
      <c r="AP38" s="3"/>
      <c r="AQ38" s="3"/>
    </row>
    <row r="39" spans="1:43" ht="12" x14ac:dyDescent="0.25">
      <c r="A39" s="3"/>
      <c r="B39" s="212"/>
      <c r="C39" s="135" t="s">
        <v>1051</v>
      </c>
      <c r="D39" s="3"/>
      <c r="E39" s="3"/>
      <c r="F39" s="3"/>
      <c r="G39" s="135"/>
      <c r="H39" s="3"/>
      <c r="I39" s="3"/>
      <c r="J39" s="3"/>
      <c r="K39" s="96"/>
      <c r="L39" s="620" t="str">
        <f>L32</f>
        <v>Please enter forecast ratios</v>
      </c>
      <c r="M39" s="3"/>
      <c r="N39" s="3"/>
      <c r="O39" s="3"/>
      <c r="P39" s="3"/>
      <c r="Q39" s="3"/>
      <c r="R39" s="3"/>
      <c r="S39" s="3"/>
      <c r="T39" s="3"/>
      <c r="U39" s="3"/>
      <c r="V39" s="96"/>
      <c r="W39" s="342"/>
      <c r="X39" s="3"/>
      <c r="Y39" s="967" t="s">
        <v>1043</v>
      </c>
      <c r="Z39" s="3"/>
      <c r="AA39" s="3"/>
      <c r="AB39" s="3"/>
      <c r="AD39" s="3"/>
      <c r="AE39" s="3"/>
      <c r="AF39" s="3"/>
      <c r="AG39" s="3"/>
      <c r="AH39" s="3"/>
      <c r="AI39" s="3"/>
      <c r="AJ39" s="3"/>
      <c r="AK39" s="3"/>
      <c r="AL39" s="3"/>
      <c r="AM39" s="3"/>
      <c r="AN39" s="3"/>
      <c r="AO39" s="3"/>
      <c r="AP39" s="3"/>
      <c r="AQ39" s="3"/>
    </row>
    <row r="40" spans="1:43" x14ac:dyDescent="0.2">
      <c r="A40" s="3"/>
      <c r="B40" s="212"/>
      <c r="C40" s="135"/>
      <c r="D40" s="506" t="s">
        <v>1052</v>
      </c>
      <c r="E40" s="3"/>
      <c r="F40" s="619" t="str">
        <f>$F$22</f>
        <v>Scenario 1: Proposed (with SV)</v>
      </c>
      <c r="G40" s="760">
        <f>'WK7 - Financials'!G69</f>
        <v>9.1999999999999998E-3</v>
      </c>
      <c r="H40" s="694">
        <f>'WK7 - Financials'!H69</f>
        <v>9.7999999999999997E-3</v>
      </c>
      <c r="I40" s="694">
        <f>'WK7 - Financials'!I69</f>
        <v>1.1900000000000001E-2</v>
      </c>
      <c r="J40" s="694">
        <f>'WK7 - Financials'!J69</f>
        <v>1.3100000000000001E-2</v>
      </c>
      <c r="K40" s="761">
        <f>'WK7 - Financials'!K69</f>
        <v>1.47E-2</v>
      </c>
      <c r="L40" s="158">
        <v>7.0675636839779028E-3</v>
      </c>
      <c r="M40" s="158">
        <v>5.6690478683933832E-3</v>
      </c>
      <c r="N40" s="158">
        <v>5.3946588813334776E-3</v>
      </c>
      <c r="O40" s="158">
        <v>5.414642919499473E-3</v>
      </c>
      <c r="P40" s="158">
        <v>5.4343855190928199E-3</v>
      </c>
      <c r="Q40" s="158">
        <v>5.453869823642583E-3</v>
      </c>
      <c r="R40" s="158">
        <v>5.4730796589070084E-3</v>
      </c>
      <c r="S40" s="158">
        <v>5.4919947304058496E-3</v>
      </c>
      <c r="T40" s="158">
        <v>5.5106003643108333E-3</v>
      </c>
      <c r="U40" s="158">
        <v>5.5288728842839974E-3</v>
      </c>
      <c r="V40" s="725">
        <v>5.5467993165863811E-3</v>
      </c>
      <c r="W40" s="509"/>
      <c r="X40" s="3"/>
      <c r="Y40" s="3" t="s">
        <v>1053</v>
      </c>
      <c r="Z40" s="3"/>
      <c r="AA40" s="3"/>
      <c r="AB40" s="3"/>
      <c r="AD40" s="3"/>
      <c r="AE40" s="3"/>
      <c r="AF40" s="3"/>
      <c r="AG40" s="3"/>
      <c r="AH40" s="3"/>
      <c r="AI40" s="3"/>
      <c r="AJ40" s="3"/>
      <c r="AK40" s="3"/>
      <c r="AL40" s="3"/>
      <c r="AM40" s="3"/>
      <c r="AN40" s="3"/>
      <c r="AO40" s="3"/>
      <c r="AP40" s="3"/>
      <c r="AQ40" s="3"/>
    </row>
    <row r="41" spans="1:43" ht="13.2" x14ac:dyDescent="0.2">
      <c r="A41" s="3"/>
      <c r="B41" s="212"/>
      <c r="C41" s="135"/>
      <c r="D41" s="80" t="s">
        <v>1054</v>
      </c>
      <c r="E41" s="3"/>
      <c r="F41" s="619" t="str">
        <f>$F$23</f>
        <v>Scenario 2 - Base case (no SV)</v>
      </c>
      <c r="G41" s="760">
        <f t="shared" ref="G41:I41" si="4">G40</f>
        <v>9.1999999999999998E-3</v>
      </c>
      <c r="H41" s="694">
        <f t="shared" ref="H41:J41" si="5">H40</f>
        <v>9.7999999999999997E-3</v>
      </c>
      <c r="I41" s="694">
        <f t="shared" si="4"/>
        <v>1.1900000000000001E-2</v>
      </c>
      <c r="J41" s="694">
        <f t="shared" si="5"/>
        <v>1.3100000000000001E-2</v>
      </c>
      <c r="K41" s="761">
        <f t="shared" ref="K41:L41" si="6">K40</f>
        <v>1.47E-2</v>
      </c>
      <c r="L41" s="694">
        <f t="shared" si="6"/>
        <v>7.0675636839779028E-3</v>
      </c>
      <c r="M41" s="158">
        <v>7.3428251803688031E-3</v>
      </c>
      <c r="N41" s="158">
        <v>7.3277071140945699E-3</v>
      </c>
      <c r="O41" s="158">
        <v>7.3477043866368276E-3</v>
      </c>
      <c r="P41" s="158">
        <v>7.3458006841307186E-3</v>
      </c>
      <c r="Q41" s="158">
        <v>7.3721381269176919E-3</v>
      </c>
      <c r="R41" s="158">
        <v>7.39810456241103E-3</v>
      </c>
      <c r="S41" s="158">
        <v>7.423672558032321E-3</v>
      </c>
      <c r="T41" s="158">
        <v>7.44882227878506E-3</v>
      </c>
      <c r="U41" s="158">
        <v>7.4808200818009462E-3</v>
      </c>
      <c r="V41" s="725">
        <v>7.5050753717252122E-3</v>
      </c>
      <c r="W41" s="214"/>
      <c r="X41" s="3"/>
      <c r="Y41" s="3" t="s">
        <v>1055</v>
      </c>
      <c r="Z41" s="3"/>
      <c r="AA41" s="3"/>
      <c r="AB41" s="3"/>
      <c r="AD41" s="3"/>
      <c r="AE41" s="3"/>
      <c r="AF41" s="3"/>
      <c r="AG41" s="3"/>
      <c r="AH41" s="3"/>
      <c r="AI41" s="3"/>
      <c r="AJ41" s="3"/>
      <c r="AK41" s="3"/>
      <c r="AL41" s="3"/>
      <c r="AM41" s="3"/>
      <c r="AN41" s="3"/>
      <c r="AO41" s="3"/>
      <c r="AP41" s="3"/>
      <c r="AQ41" s="3"/>
    </row>
    <row r="42" spans="1:43" x14ac:dyDescent="0.2">
      <c r="A42" s="3"/>
      <c r="B42" s="212"/>
      <c r="C42" s="135"/>
      <c r="D42" s="80" t="s">
        <v>1056</v>
      </c>
      <c r="E42" s="3"/>
      <c r="F42" s="3"/>
      <c r="G42" s="767"/>
      <c r="H42" s="3"/>
      <c r="J42" s="3"/>
      <c r="K42" s="768"/>
      <c r="L42" s="3"/>
      <c r="M42" s="3"/>
      <c r="N42" s="3"/>
      <c r="O42" s="3"/>
      <c r="P42" s="3"/>
      <c r="Q42" s="3"/>
      <c r="R42" s="3"/>
      <c r="S42" s="3"/>
      <c r="T42" s="3"/>
      <c r="U42" s="3"/>
      <c r="V42" s="96"/>
      <c r="W42" s="214"/>
      <c r="X42" s="3"/>
      <c r="Y42" s="3" t="s">
        <v>1057</v>
      </c>
      <c r="Z42" s="3"/>
      <c r="AA42" s="3"/>
      <c r="AB42" s="3"/>
      <c r="AC42" s="3"/>
      <c r="AD42" s="3"/>
      <c r="AE42" s="3"/>
      <c r="AF42" s="3"/>
      <c r="AG42" s="3"/>
      <c r="AH42" s="3"/>
      <c r="AI42" s="3"/>
      <c r="AJ42" s="3"/>
      <c r="AK42" s="3"/>
      <c r="AL42" s="3"/>
      <c r="AM42" s="3"/>
      <c r="AN42" s="3"/>
      <c r="AO42" s="3"/>
      <c r="AP42" s="3"/>
      <c r="AQ42" s="3"/>
    </row>
    <row r="43" spans="1:43" x14ac:dyDescent="0.2">
      <c r="A43" s="3"/>
      <c r="B43" s="212"/>
      <c r="C43" s="135"/>
      <c r="D43" s="80"/>
      <c r="E43" s="3"/>
      <c r="F43" s="3"/>
      <c r="G43" s="762"/>
      <c r="H43" s="763"/>
      <c r="I43" s="763"/>
      <c r="J43" s="763"/>
      <c r="K43" s="764"/>
      <c r="L43" s="3"/>
      <c r="M43" s="3"/>
      <c r="N43" s="3"/>
      <c r="O43" s="3"/>
      <c r="P43" s="3"/>
      <c r="Q43" s="3"/>
      <c r="R43" s="3"/>
      <c r="S43" s="3"/>
      <c r="T43" s="3"/>
      <c r="U43" s="3"/>
      <c r="V43" s="96"/>
      <c r="W43" s="214"/>
      <c r="X43" s="3"/>
      <c r="Y43" s="3"/>
      <c r="Z43" s="3"/>
      <c r="AA43" s="3"/>
      <c r="AB43" s="3"/>
      <c r="AC43" s="3"/>
      <c r="AD43" s="3"/>
      <c r="AE43" s="3"/>
      <c r="AF43" s="3"/>
      <c r="AG43" s="3"/>
      <c r="AH43" s="3"/>
      <c r="AI43" s="3"/>
      <c r="AJ43" s="3"/>
      <c r="AK43" s="3"/>
      <c r="AL43" s="3"/>
      <c r="AM43" s="3"/>
      <c r="AN43" s="3"/>
      <c r="AO43" s="3"/>
      <c r="AP43" s="3"/>
      <c r="AQ43" s="3"/>
    </row>
    <row r="44" spans="1:43" x14ac:dyDescent="0.2">
      <c r="A44" s="3"/>
      <c r="B44" s="212"/>
      <c r="C44" s="135"/>
      <c r="D44" s="80"/>
      <c r="E44" s="3"/>
      <c r="F44" s="3"/>
      <c r="G44" s="135"/>
      <c r="H44" s="3"/>
      <c r="I44" s="3"/>
      <c r="J44" s="3"/>
      <c r="K44" s="96"/>
      <c r="L44" s="3"/>
      <c r="M44" s="3"/>
      <c r="N44" s="3"/>
      <c r="O44" s="3"/>
      <c r="P44" s="3"/>
      <c r="Q44" s="3"/>
      <c r="R44" s="3"/>
      <c r="S44" s="3"/>
      <c r="T44" s="3"/>
      <c r="U44" s="3"/>
      <c r="V44" s="96"/>
      <c r="W44" s="214"/>
      <c r="X44" s="3"/>
      <c r="Y44" s="3"/>
      <c r="Z44" s="3"/>
      <c r="AA44" s="3"/>
      <c r="AB44" s="3"/>
      <c r="AC44" s="3"/>
      <c r="AD44" s="3"/>
      <c r="AE44" s="3"/>
      <c r="AF44" s="3"/>
      <c r="AG44" s="3"/>
      <c r="AH44" s="3"/>
      <c r="AI44" s="3"/>
      <c r="AJ44" s="3"/>
      <c r="AK44" s="3"/>
      <c r="AL44" s="3"/>
      <c r="AM44" s="3"/>
      <c r="AN44" s="3"/>
      <c r="AO44" s="3"/>
      <c r="AP44" s="3"/>
      <c r="AQ44" s="3"/>
    </row>
    <row r="45" spans="1:43" x14ac:dyDescent="0.2">
      <c r="A45" s="3"/>
      <c r="B45" s="212"/>
      <c r="C45" s="135" t="s">
        <v>1058</v>
      </c>
      <c r="D45" s="80"/>
      <c r="E45" s="3"/>
      <c r="F45" s="3"/>
      <c r="G45" s="767"/>
      <c r="H45" s="3"/>
      <c r="J45" s="3"/>
      <c r="K45" s="768"/>
      <c r="L45" s="3" t="s">
        <v>1059</v>
      </c>
      <c r="M45" s="3"/>
      <c r="N45" s="3"/>
      <c r="O45" s="3"/>
      <c r="P45" s="3"/>
      <c r="Q45" s="3"/>
      <c r="R45" s="3"/>
      <c r="S45" s="3"/>
      <c r="T45" s="3"/>
      <c r="U45" s="3"/>
      <c r="V45" s="96"/>
      <c r="W45" s="214"/>
      <c r="X45" s="3"/>
      <c r="Y45" s="3"/>
      <c r="Z45" s="3"/>
      <c r="AA45" s="3"/>
      <c r="AB45" s="3"/>
      <c r="AC45" s="3"/>
      <c r="AD45" s="3"/>
      <c r="AE45" s="3"/>
      <c r="AF45" s="3"/>
      <c r="AG45" s="3"/>
      <c r="AH45" s="3"/>
      <c r="AI45" s="3"/>
      <c r="AJ45" s="3"/>
      <c r="AK45" s="3"/>
      <c r="AL45" s="3"/>
      <c r="AM45" s="3"/>
      <c r="AN45" s="3"/>
      <c r="AO45" s="3"/>
      <c r="AP45" s="3"/>
      <c r="AQ45" s="3"/>
    </row>
    <row r="46" spans="1:43" x14ac:dyDescent="0.2">
      <c r="A46" s="3"/>
      <c r="B46" s="212"/>
      <c r="C46" s="135"/>
      <c r="D46" s="506" t="s">
        <v>1060</v>
      </c>
      <c r="E46" s="3"/>
      <c r="F46" s="619" t="str">
        <f>$F$22</f>
        <v>Scenario 1: Proposed (with SV)</v>
      </c>
      <c r="G46" s="760">
        <f>'WK7 - Financials'!G70</f>
        <v>1.0046999999999999</v>
      </c>
      <c r="H46" s="694">
        <f>'WK7 - Financials'!H70</f>
        <v>1.0163</v>
      </c>
      <c r="I46" s="694">
        <f>'WK7 - Financials'!I70</f>
        <v>1.0509999999999999</v>
      </c>
      <c r="J46" s="694">
        <f>'WK7 - Financials'!J70</f>
        <v>0.99380000000000002</v>
      </c>
      <c r="K46" s="761">
        <f>'WK7 - Financials'!K70</f>
        <v>0.7984</v>
      </c>
      <c r="L46" s="158">
        <v>0.8574341051405272</v>
      </c>
      <c r="M46" s="158">
        <v>0.96766901890977419</v>
      </c>
      <c r="N46" s="158">
        <v>0.96565241626014042</v>
      </c>
      <c r="O46" s="158">
        <v>0.96918443293134937</v>
      </c>
      <c r="P46" s="158">
        <v>0.97083204550533542</v>
      </c>
      <c r="Q46" s="158">
        <v>0.97385402748916228</v>
      </c>
      <c r="R46" s="158">
        <v>0.97331528717821614</v>
      </c>
      <c r="S46" s="158">
        <v>0.96923302268725997</v>
      </c>
      <c r="T46" s="158">
        <v>0.96877337156057608</v>
      </c>
      <c r="U46" s="158">
        <v>0.96831593231109758</v>
      </c>
      <c r="V46" s="725">
        <v>0.96772875545047299</v>
      </c>
      <c r="W46" s="214"/>
      <c r="X46" s="3"/>
      <c r="Y46" s="3"/>
      <c r="Z46" s="3"/>
      <c r="AA46" s="3"/>
      <c r="AB46" s="3"/>
      <c r="AC46" s="3"/>
      <c r="AD46" s="3"/>
      <c r="AE46" s="3"/>
      <c r="AF46" s="3"/>
      <c r="AG46" s="3"/>
      <c r="AH46" s="3"/>
      <c r="AI46" s="3"/>
      <c r="AJ46" s="3"/>
      <c r="AK46" s="3"/>
      <c r="AL46" s="3"/>
      <c r="AM46" s="3"/>
      <c r="AN46" s="3"/>
      <c r="AO46" s="3"/>
      <c r="AP46" s="3"/>
      <c r="AQ46" s="3"/>
    </row>
    <row r="47" spans="1:43" x14ac:dyDescent="0.2">
      <c r="A47" s="3"/>
      <c r="B47" s="212"/>
      <c r="C47" s="135"/>
      <c r="D47" s="80" t="s">
        <v>1061</v>
      </c>
      <c r="E47" s="3"/>
      <c r="F47" s="619" t="str">
        <f>$F$23</f>
        <v>Scenario 2 - Base case (no SV)</v>
      </c>
      <c r="G47" s="760">
        <f t="shared" ref="G47:I47" si="7">G46</f>
        <v>1.0046999999999999</v>
      </c>
      <c r="H47" s="694">
        <f t="shared" ref="H47:J47" si="8">H46</f>
        <v>1.0163</v>
      </c>
      <c r="I47" s="694">
        <f t="shared" si="7"/>
        <v>1.0509999999999999</v>
      </c>
      <c r="J47" s="694">
        <f t="shared" si="8"/>
        <v>0.99380000000000002</v>
      </c>
      <c r="K47" s="761">
        <f t="shared" ref="K47:L47" si="9">K46</f>
        <v>0.7984</v>
      </c>
      <c r="L47" s="694">
        <f t="shared" si="9"/>
        <v>0.8574341051405272</v>
      </c>
      <c r="M47" s="158">
        <v>0.96766901890977419</v>
      </c>
      <c r="N47" s="158">
        <v>0.96565241626014042</v>
      </c>
      <c r="O47" s="158">
        <v>0.96918443293134937</v>
      </c>
      <c r="P47" s="158">
        <v>0.97083204550533542</v>
      </c>
      <c r="Q47" s="158">
        <v>0.97385402748916228</v>
      </c>
      <c r="R47" s="158">
        <v>0.97331528717821614</v>
      </c>
      <c r="S47" s="158">
        <v>0.96923302268725997</v>
      </c>
      <c r="T47" s="158">
        <v>0.96877337156057608</v>
      </c>
      <c r="U47" s="158">
        <v>0.96831593231109758</v>
      </c>
      <c r="V47" s="725">
        <v>0.96772875545047299</v>
      </c>
      <c r="W47" s="214"/>
      <c r="X47" s="3"/>
      <c r="Y47" s="3"/>
      <c r="Z47" s="3"/>
      <c r="AA47" s="3"/>
      <c r="AB47" s="3"/>
      <c r="AC47" s="3"/>
      <c r="AD47" s="3"/>
      <c r="AE47" s="3"/>
      <c r="AF47" s="3"/>
      <c r="AG47" s="3"/>
      <c r="AH47" s="3"/>
      <c r="AI47" s="3"/>
      <c r="AJ47" s="3"/>
      <c r="AK47" s="3"/>
      <c r="AL47" s="3"/>
      <c r="AM47" s="3"/>
      <c r="AN47" s="3"/>
      <c r="AO47" s="3"/>
      <c r="AP47" s="3"/>
      <c r="AQ47" s="3"/>
    </row>
    <row r="48" spans="1:43" x14ac:dyDescent="0.2">
      <c r="A48" s="3"/>
      <c r="B48" s="212"/>
      <c r="C48" s="135"/>
      <c r="D48" s="3"/>
      <c r="E48" s="3"/>
      <c r="F48" s="3"/>
      <c r="G48" s="767"/>
      <c r="H48" s="3"/>
      <c r="J48" s="3"/>
      <c r="K48" s="768"/>
      <c r="L48" s="3"/>
      <c r="M48" s="3"/>
      <c r="N48" s="3"/>
      <c r="O48" s="3"/>
      <c r="P48" s="3"/>
      <c r="Q48" s="3"/>
      <c r="R48" s="3"/>
      <c r="S48" s="3"/>
      <c r="T48" s="3"/>
      <c r="U48" s="3"/>
      <c r="V48" s="96"/>
      <c r="W48" s="214"/>
      <c r="X48" s="3"/>
      <c r="Y48" s="3"/>
      <c r="Z48" s="3"/>
      <c r="AA48" s="3"/>
      <c r="AB48" s="3"/>
      <c r="AC48" s="3"/>
      <c r="AD48" s="3"/>
      <c r="AE48" s="3"/>
      <c r="AF48" s="3"/>
      <c r="AG48" s="3"/>
      <c r="AH48" s="3"/>
      <c r="AI48" s="3"/>
      <c r="AJ48" s="3"/>
      <c r="AK48" s="3"/>
      <c r="AL48" s="3"/>
      <c r="AM48" s="3"/>
      <c r="AN48" s="3"/>
      <c r="AO48" s="3"/>
      <c r="AP48" s="3"/>
      <c r="AQ48" s="3"/>
    </row>
    <row r="49" spans="1:43" x14ac:dyDescent="0.2">
      <c r="A49" s="3"/>
      <c r="B49" s="212"/>
      <c r="C49" s="135"/>
      <c r="D49" s="3"/>
      <c r="E49" s="3"/>
      <c r="F49" s="3"/>
      <c r="G49" s="135"/>
      <c r="H49" s="3"/>
      <c r="I49" s="3"/>
      <c r="J49" s="3"/>
      <c r="K49" s="96"/>
      <c r="L49" s="3"/>
      <c r="M49" s="3"/>
      <c r="N49" s="3"/>
      <c r="O49" s="3"/>
      <c r="P49" s="3"/>
      <c r="Q49" s="3"/>
      <c r="R49" s="3"/>
      <c r="S49" s="3"/>
      <c r="T49" s="3"/>
      <c r="U49" s="3"/>
      <c r="V49" s="96"/>
      <c r="W49" s="214"/>
      <c r="X49" s="3"/>
      <c r="Y49" s="3"/>
      <c r="Z49" s="3"/>
      <c r="AA49" s="3"/>
      <c r="AB49" s="3"/>
      <c r="AC49" s="3"/>
      <c r="AD49" s="3"/>
      <c r="AE49" s="3"/>
      <c r="AF49" s="3"/>
      <c r="AG49" s="3"/>
      <c r="AH49" s="3"/>
      <c r="AI49" s="3"/>
      <c r="AJ49" s="3"/>
      <c r="AK49" s="3"/>
      <c r="AL49" s="3"/>
      <c r="AM49" s="3"/>
      <c r="AN49" s="3"/>
      <c r="AO49" s="3"/>
      <c r="AP49" s="3"/>
      <c r="AQ49" s="3"/>
    </row>
    <row r="50" spans="1:43" x14ac:dyDescent="0.2">
      <c r="A50" s="3"/>
      <c r="B50" s="212"/>
      <c r="C50" s="135" t="s">
        <v>1062</v>
      </c>
      <c r="D50" s="3"/>
      <c r="E50" s="3"/>
      <c r="F50" s="3"/>
      <c r="G50" s="135"/>
      <c r="H50" s="3"/>
      <c r="I50" s="3"/>
      <c r="J50" s="3"/>
      <c r="K50" s="96"/>
      <c r="L50" s="3"/>
      <c r="M50" s="3"/>
      <c r="N50" s="3"/>
      <c r="O50" s="3"/>
      <c r="P50" s="3"/>
      <c r="Q50" s="3"/>
      <c r="R50" s="3"/>
      <c r="S50" s="3"/>
      <c r="T50" s="3"/>
      <c r="U50" s="3"/>
      <c r="V50" s="96"/>
      <c r="W50" s="214"/>
      <c r="X50" s="3"/>
      <c r="Y50" s="3"/>
      <c r="Z50" s="3"/>
      <c r="AA50" s="3"/>
      <c r="AB50" s="3"/>
      <c r="AC50" s="3"/>
      <c r="AD50" s="3"/>
      <c r="AE50" s="3"/>
      <c r="AF50" s="3"/>
      <c r="AG50" s="3"/>
      <c r="AH50" s="3"/>
      <c r="AI50" s="3"/>
      <c r="AJ50" s="3"/>
      <c r="AK50" s="3"/>
      <c r="AL50" s="3"/>
      <c r="AM50" s="3"/>
      <c r="AN50" s="3"/>
      <c r="AO50" s="3"/>
      <c r="AP50" s="3"/>
      <c r="AQ50" s="3"/>
    </row>
    <row r="51" spans="1:43" x14ac:dyDescent="0.2">
      <c r="A51" s="3"/>
      <c r="B51" s="212"/>
      <c r="C51" s="135"/>
      <c r="D51" s="80" t="s">
        <v>1063</v>
      </c>
      <c r="E51" s="3"/>
      <c r="F51" s="3"/>
      <c r="G51" s="135"/>
      <c r="H51" s="3"/>
      <c r="I51" s="3"/>
      <c r="J51" s="3"/>
      <c r="K51" s="96"/>
      <c r="L51" s="3" t="s">
        <v>1059</v>
      </c>
      <c r="M51" s="3"/>
      <c r="N51" s="3"/>
      <c r="O51" s="3"/>
      <c r="P51" s="3"/>
      <c r="Q51" s="3"/>
      <c r="R51" s="3"/>
      <c r="S51" s="3"/>
      <c r="T51" s="3"/>
      <c r="U51" s="3"/>
      <c r="V51" s="96"/>
      <c r="W51" s="214"/>
      <c r="X51" s="3"/>
      <c r="Y51" s="3"/>
      <c r="Z51" s="3"/>
      <c r="AA51" s="3"/>
      <c r="AB51" s="3"/>
      <c r="AC51" s="3"/>
      <c r="AD51" s="3"/>
      <c r="AE51" s="3"/>
      <c r="AF51" s="3"/>
      <c r="AG51" s="3"/>
      <c r="AH51" s="3"/>
      <c r="AI51" s="3"/>
      <c r="AJ51" s="3"/>
      <c r="AK51" s="3"/>
      <c r="AL51" s="3"/>
      <c r="AM51" s="3"/>
      <c r="AN51" s="3"/>
      <c r="AO51" s="3"/>
      <c r="AP51" s="3"/>
      <c r="AQ51" s="3"/>
    </row>
    <row r="52" spans="1:43" x14ac:dyDescent="0.2">
      <c r="A52" s="3"/>
      <c r="B52" s="212"/>
      <c r="C52" s="135"/>
      <c r="D52" s="506" t="s">
        <v>1064</v>
      </c>
      <c r="E52" s="3"/>
      <c r="F52" s="619" t="str">
        <f>$F$22</f>
        <v>Scenario 1: Proposed (with SV)</v>
      </c>
      <c r="G52" s="760">
        <f>IF('WK7 - Financials'!G28=0,0,ABS('WK7 - Financials'!G58+'WK7 - Financials'!G59)/'WK7 - Financials'!G28)</f>
        <v>1.0229734216642687E-2</v>
      </c>
      <c r="H52" s="694">
        <f>IF('WK7 - Financials'!H28=0,0,ABS('WK7 - Financials'!H58+'WK7 - Financials'!H59)/'WK7 - Financials'!H28)</f>
        <v>7.4774510467679207E-3</v>
      </c>
      <c r="I52" s="694">
        <f>IF('WK7 - Financials'!I28=0,0,ABS('WK7 - Financials'!I58+'WK7 - Financials'!I59)/'WK7 - Financials'!I28)</f>
        <v>5.2233429394812677E-3</v>
      </c>
      <c r="J52" s="694">
        <f>IF('WK7 - Financials'!J28=0,0,ABS('WK7 - Financials'!J58+'WK7 - Financials'!J59)/'WK7 - Financials'!J28)</f>
        <v>3.1392776069653172E-3</v>
      </c>
      <c r="K52" s="761">
        <f>IF('WK7 - Financials'!K28=0,0,ABS('WK7 - Financials'!K58+'WK7 - Financials'!K59)/'WK7 - Financials'!K28)</f>
        <v>2.333890393591886E-3</v>
      </c>
      <c r="L52" s="158"/>
      <c r="M52" s="158"/>
      <c r="N52" s="158"/>
      <c r="O52" s="158"/>
      <c r="P52" s="158"/>
      <c r="Q52" s="158"/>
      <c r="R52" s="158"/>
      <c r="S52" s="158"/>
      <c r="T52" s="158"/>
      <c r="U52" s="158"/>
      <c r="V52" s="725"/>
      <c r="W52" s="214"/>
      <c r="X52" s="3"/>
      <c r="Y52" s="3"/>
      <c r="Z52" s="3"/>
      <c r="AA52" s="3"/>
      <c r="AB52" s="3"/>
      <c r="AC52" s="3"/>
      <c r="AD52" s="3"/>
      <c r="AE52" s="3"/>
      <c r="AF52" s="3"/>
      <c r="AG52" s="3"/>
      <c r="AH52" s="3"/>
      <c r="AI52" s="3"/>
      <c r="AJ52" s="3"/>
      <c r="AK52" s="3"/>
      <c r="AL52" s="3"/>
      <c r="AM52" s="3"/>
      <c r="AN52" s="3"/>
      <c r="AO52" s="3"/>
      <c r="AP52" s="3"/>
      <c r="AQ52" s="3"/>
    </row>
    <row r="53" spans="1:43" x14ac:dyDescent="0.2">
      <c r="A53" s="3"/>
      <c r="B53" s="212"/>
      <c r="C53" s="135"/>
      <c r="D53" s="80" t="s">
        <v>1030</v>
      </c>
      <c r="E53" s="3"/>
      <c r="F53" s="619" t="str">
        <f>$F$23</f>
        <v>Scenario 2 - Base case (no SV)</v>
      </c>
      <c r="G53" s="760">
        <f t="shared" ref="G53:I53" si="10">G52</f>
        <v>1.0229734216642687E-2</v>
      </c>
      <c r="H53" s="694">
        <f t="shared" ref="H53:J53" si="11">H52</f>
        <v>7.4774510467679207E-3</v>
      </c>
      <c r="I53" s="694">
        <f t="shared" si="10"/>
        <v>5.2233429394812677E-3</v>
      </c>
      <c r="J53" s="694">
        <f t="shared" si="11"/>
        <v>3.1392776069653172E-3</v>
      </c>
      <c r="K53" s="761">
        <f t="shared" ref="K53:L53" si="12">K52</f>
        <v>2.333890393591886E-3</v>
      </c>
      <c r="L53" s="694">
        <f t="shared" si="12"/>
        <v>0</v>
      </c>
      <c r="M53" s="158"/>
      <c r="N53" s="158"/>
      <c r="O53" s="158"/>
      <c r="P53" s="158"/>
      <c r="Q53" s="158"/>
      <c r="R53" s="158"/>
      <c r="S53" s="158"/>
      <c r="T53" s="158"/>
      <c r="U53" s="158"/>
      <c r="V53" s="725"/>
      <c r="W53" s="214"/>
      <c r="X53" s="3"/>
      <c r="Y53" s="3"/>
      <c r="Z53" s="3"/>
      <c r="AA53" s="3"/>
      <c r="AB53" s="3"/>
      <c r="AC53" s="3"/>
      <c r="AD53" s="3"/>
      <c r="AE53" s="3"/>
      <c r="AF53" s="3"/>
      <c r="AG53" s="3"/>
      <c r="AH53" s="3"/>
      <c r="AI53" s="3"/>
      <c r="AJ53" s="3"/>
      <c r="AK53" s="3"/>
      <c r="AL53" s="3"/>
      <c r="AM53" s="3"/>
      <c r="AN53" s="3"/>
      <c r="AO53" s="3"/>
      <c r="AP53" s="3"/>
      <c r="AQ53" s="3"/>
    </row>
    <row r="54" spans="1:43" x14ac:dyDescent="0.2">
      <c r="A54" s="3"/>
      <c r="B54" s="212"/>
      <c r="C54" s="135"/>
      <c r="D54" s="80" t="s">
        <v>1028</v>
      </c>
      <c r="E54" s="3"/>
      <c r="F54" s="3"/>
      <c r="G54" s="135"/>
      <c r="H54" s="3"/>
      <c r="I54" s="3"/>
      <c r="J54" s="3"/>
      <c r="K54" s="96"/>
      <c r="L54" s="3"/>
      <c r="M54" s="3"/>
      <c r="N54" s="3"/>
      <c r="O54" s="3"/>
      <c r="P54" s="3"/>
      <c r="Q54" s="3"/>
      <c r="R54" s="3"/>
      <c r="S54" s="3"/>
      <c r="T54" s="3"/>
      <c r="U54" s="3"/>
      <c r="V54" s="96"/>
      <c r="W54" s="214"/>
      <c r="X54" s="3"/>
      <c r="Y54" s="3"/>
      <c r="Z54" s="3"/>
      <c r="AA54" s="3"/>
      <c r="AB54" s="3"/>
      <c r="AC54" s="3"/>
      <c r="AD54" s="3"/>
      <c r="AE54" s="3"/>
      <c r="AF54" s="3"/>
      <c r="AG54" s="3"/>
      <c r="AH54" s="3"/>
      <c r="AI54" s="3"/>
      <c r="AJ54" s="3"/>
      <c r="AK54" s="3"/>
      <c r="AL54" s="3"/>
      <c r="AM54" s="3"/>
      <c r="AN54" s="3"/>
      <c r="AO54" s="3"/>
      <c r="AP54" s="3"/>
      <c r="AQ54" s="3"/>
    </row>
    <row r="55" spans="1:43" x14ac:dyDescent="0.2">
      <c r="A55" s="3"/>
      <c r="B55" s="212"/>
      <c r="C55" s="97"/>
      <c r="D55" s="506"/>
      <c r="E55" s="93"/>
      <c r="F55" s="93"/>
      <c r="G55" s="97"/>
      <c r="H55" s="93"/>
      <c r="I55" s="93"/>
      <c r="J55" s="93"/>
      <c r="K55" s="98"/>
      <c r="L55" s="93"/>
      <c r="M55" s="93"/>
      <c r="N55" s="93"/>
      <c r="O55" s="93"/>
      <c r="P55" s="93"/>
      <c r="Q55" s="93"/>
      <c r="R55" s="93"/>
      <c r="S55" s="93"/>
      <c r="T55" s="93"/>
      <c r="U55" s="93"/>
      <c r="V55" s="98"/>
      <c r="W55" s="214"/>
      <c r="X55" s="3"/>
      <c r="Y55" s="3"/>
      <c r="Z55" s="3"/>
      <c r="AA55" s="3"/>
      <c r="AB55" s="3"/>
      <c r="AC55" s="3"/>
      <c r="AD55" s="3"/>
      <c r="AE55" s="3"/>
      <c r="AF55" s="3"/>
      <c r="AG55" s="3"/>
      <c r="AH55" s="3"/>
      <c r="AI55" s="3"/>
      <c r="AJ55" s="3"/>
      <c r="AK55" s="3"/>
      <c r="AL55" s="3"/>
      <c r="AM55" s="3"/>
      <c r="AN55" s="3"/>
      <c r="AO55" s="3"/>
      <c r="AP55" s="3"/>
      <c r="AQ55" s="3"/>
    </row>
    <row r="56" spans="1:43" ht="13.8" x14ac:dyDescent="0.25">
      <c r="A56" s="3"/>
      <c r="B56" s="212"/>
      <c r="C56" s="739" t="s">
        <v>1065</v>
      </c>
      <c r="D56" s="740"/>
      <c r="E56" s="740"/>
      <c r="F56" s="740"/>
      <c r="G56" s="756" t="s">
        <v>927</v>
      </c>
      <c r="H56" s="187"/>
      <c r="I56" s="740"/>
      <c r="J56" s="187"/>
      <c r="K56" s="261"/>
      <c r="L56" s="740" t="s">
        <v>927</v>
      </c>
      <c r="M56" s="180"/>
      <c r="N56" s="180"/>
      <c r="O56" s="180"/>
      <c r="P56" s="180"/>
      <c r="Q56" s="180"/>
      <c r="R56" s="180"/>
      <c r="S56" s="180"/>
      <c r="T56" s="180"/>
      <c r="U56" s="180"/>
      <c r="V56" s="261"/>
      <c r="W56" s="214"/>
      <c r="X56" s="3"/>
      <c r="Y56" s="3"/>
      <c r="Z56" s="3"/>
      <c r="AA56" s="3"/>
      <c r="AB56" s="3"/>
      <c r="AC56" s="3"/>
      <c r="AD56" s="3"/>
      <c r="AE56" s="3"/>
      <c r="AF56" s="3"/>
      <c r="AG56" s="3"/>
      <c r="AH56" s="3"/>
      <c r="AI56" s="3"/>
      <c r="AJ56" s="3"/>
      <c r="AK56" s="3"/>
      <c r="AL56" s="3"/>
      <c r="AM56" s="3"/>
      <c r="AN56" s="3"/>
      <c r="AO56" s="3"/>
      <c r="AP56" s="3"/>
      <c r="AQ56" s="3"/>
    </row>
    <row r="57" spans="1:43" ht="12" x14ac:dyDescent="0.25">
      <c r="A57" s="3"/>
      <c r="B57" s="212"/>
      <c r="C57" s="1199"/>
      <c r="D57" s="1029"/>
      <c r="E57" s="815"/>
      <c r="F57" s="815"/>
      <c r="G57" s="1257"/>
      <c r="H57" s="1030"/>
      <c r="I57" s="1090"/>
      <c r="J57" s="1030"/>
      <c r="K57" s="1031"/>
      <c r="L57" s="1032" t="str">
        <f>L16</f>
        <v>Year 0</v>
      </c>
      <c r="M57" s="1032" t="str">
        <f t="shared" ref="M57:V57" si="13">M16</f>
        <v>Year 1</v>
      </c>
      <c r="N57" s="1032" t="str">
        <f t="shared" si="13"/>
        <v>Year 2</v>
      </c>
      <c r="O57" s="1032" t="str">
        <f t="shared" si="13"/>
        <v>Year 3</v>
      </c>
      <c r="P57" s="1032" t="str">
        <f t="shared" si="13"/>
        <v>Year 4</v>
      </c>
      <c r="Q57" s="1032" t="str">
        <f t="shared" si="13"/>
        <v>Year 5</v>
      </c>
      <c r="R57" s="1032" t="str">
        <f t="shared" si="13"/>
        <v>Year 6</v>
      </c>
      <c r="S57" s="1032" t="str">
        <f t="shared" si="13"/>
        <v>Year 7</v>
      </c>
      <c r="T57" s="1032" t="str">
        <f t="shared" si="13"/>
        <v>Year 8</v>
      </c>
      <c r="U57" s="1032" t="str">
        <f t="shared" si="13"/>
        <v>Year 9</v>
      </c>
      <c r="V57" s="1033" t="str">
        <f t="shared" si="13"/>
        <v>Year 10</v>
      </c>
      <c r="W57" s="214"/>
      <c r="X57" s="3"/>
      <c r="Y57" s="3"/>
      <c r="Z57" s="3"/>
      <c r="AA57" s="3"/>
      <c r="AB57" s="3"/>
      <c r="AC57" s="3"/>
      <c r="AD57" s="3"/>
      <c r="AE57" s="3"/>
      <c r="AF57" s="3"/>
      <c r="AG57" s="3"/>
      <c r="AH57" s="3"/>
      <c r="AI57" s="3"/>
      <c r="AJ57" s="3"/>
      <c r="AK57" s="3"/>
      <c r="AL57" s="3"/>
      <c r="AM57" s="3"/>
      <c r="AN57" s="3"/>
      <c r="AO57" s="3"/>
      <c r="AP57" s="3"/>
      <c r="AQ57" s="3"/>
    </row>
    <row r="58" spans="1:43" ht="12" x14ac:dyDescent="0.2">
      <c r="A58" s="3"/>
      <c r="B58" s="212"/>
      <c r="C58" s="135"/>
      <c r="D58" s="80"/>
      <c r="E58" s="3"/>
      <c r="F58" s="3"/>
      <c r="G58" s="517" t="str">
        <f>G17</f>
        <v>2017-18</v>
      </c>
      <c r="H58" s="510" t="str">
        <f t="shared" ref="H58" si="14">H17</f>
        <v>2018-19</v>
      </c>
      <c r="I58" s="510" t="str">
        <f>I17</f>
        <v>2019-20</v>
      </c>
      <c r="J58" s="510" t="str">
        <f t="shared" ref="J58:V58" si="15">J17</f>
        <v>2020-21</v>
      </c>
      <c r="K58" s="359" t="str">
        <f t="shared" si="15"/>
        <v>2021-22</v>
      </c>
      <c r="L58" s="510" t="str">
        <f t="shared" si="15"/>
        <v>2022-23</v>
      </c>
      <c r="M58" s="510" t="str">
        <f t="shared" si="15"/>
        <v>2023-24</v>
      </c>
      <c r="N58" s="510" t="str">
        <f t="shared" si="15"/>
        <v>2024-25</v>
      </c>
      <c r="O58" s="510" t="str">
        <f t="shared" si="15"/>
        <v>2025-26</v>
      </c>
      <c r="P58" s="510" t="str">
        <f t="shared" si="15"/>
        <v>2026-27</v>
      </c>
      <c r="Q58" s="510" t="str">
        <f t="shared" si="15"/>
        <v>2027-28</v>
      </c>
      <c r="R58" s="510" t="str">
        <f t="shared" si="15"/>
        <v>2028-29</v>
      </c>
      <c r="S58" s="510" t="str">
        <f t="shared" si="15"/>
        <v>2029-30</v>
      </c>
      <c r="T58" s="510" t="str">
        <f t="shared" si="15"/>
        <v>2030-31</v>
      </c>
      <c r="U58" s="510" t="str">
        <f t="shared" si="15"/>
        <v>2031-32</v>
      </c>
      <c r="V58" s="359" t="str">
        <f t="shared" si="15"/>
        <v>2032-33</v>
      </c>
      <c r="W58" s="214"/>
      <c r="X58" s="3"/>
      <c r="Y58" s="3"/>
      <c r="Z58" s="3"/>
      <c r="AA58" s="3"/>
      <c r="AB58" s="3"/>
      <c r="AC58" s="3"/>
      <c r="AD58" s="3"/>
      <c r="AE58" s="3"/>
      <c r="AF58" s="3"/>
      <c r="AG58" s="3"/>
      <c r="AH58" s="3"/>
      <c r="AI58" s="3"/>
      <c r="AJ58" s="3"/>
      <c r="AK58" s="3"/>
      <c r="AL58" s="3"/>
      <c r="AM58" s="3"/>
      <c r="AN58" s="3"/>
      <c r="AO58" s="3"/>
      <c r="AP58" s="3"/>
      <c r="AQ58" s="3"/>
    </row>
    <row r="59" spans="1:43" ht="12" x14ac:dyDescent="0.25">
      <c r="A59" s="3"/>
      <c r="B59" s="212"/>
      <c r="C59" s="1034" t="str">
        <f>C33</f>
        <v>Infrastructure Renewals Ratio</v>
      </c>
      <c r="G59" s="135"/>
      <c r="H59" s="3"/>
      <c r="I59" s="3"/>
      <c r="J59" s="3"/>
      <c r="K59" s="96"/>
      <c r="L59" s="3"/>
      <c r="M59" s="3"/>
      <c r="N59" s="3"/>
      <c r="O59" s="3"/>
      <c r="P59" s="3"/>
      <c r="Q59" s="3"/>
      <c r="R59" s="3"/>
      <c r="S59" s="3"/>
      <c r="T59" s="3"/>
      <c r="U59" s="3"/>
      <c r="V59" s="96"/>
      <c r="W59" s="214"/>
      <c r="X59" s="3"/>
      <c r="Y59" s="3"/>
      <c r="Z59" s="3"/>
      <c r="AA59" s="3"/>
      <c r="AB59" s="3"/>
      <c r="AC59" s="3"/>
      <c r="AD59" s="3"/>
      <c r="AE59" s="3"/>
      <c r="AF59" s="3"/>
      <c r="AG59" s="3"/>
      <c r="AH59" s="3"/>
      <c r="AI59" s="3"/>
      <c r="AJ59" s="3"/>
      <c r="AK59" s="3"/>
      <c r="AL59" s="3"/>
      <c r="AM59" s="3"/>
      <c r="AN59" s="3"/>
      <c r="AO59" s="3"/>
      <c r="AP59" s="3"/>
      <c r="AQ59" s="3"/>
    </row>
    <row r="60" spans="1:43" x14ac:dyDescent="0.2">
      <c r="A60" s="3"/>
      <c r="B60" s="212"/>
      <c r="C60" s="428" t="s">
        <v>1045</v>
      </c>
      <c r="E60" s="3"/>
      <c r="F60" s="619" t="str">
        <f>$F$22</f>
        <v>Scenario 1: Proposed (with SV)</v>
      </c>
      <c r="G60" s="1138">
        <v>13409</v>
      </c>
      <c r="H60" s="51">
        <v>13825</v>
      </c>
      <c r="I60" s="51">
        <v>15434</v>
      </c>
      <c r="J60" s="51">
        <v>13837</v>
      </c>
      <c r="K60" s="1035">
        <v>14171</v>
      </c>
      <c r="L60" s="51">
        <v>23058.666666666664</v>
      </c>
      <c r="M60" s="51">
        <v>18003.490000000002</v>
      </c>
      <c r="N60" s="51">
        <v>18556.127209999999</v>
      </c>
      <c r="O60" s="51">
        <v>19125.946771879997</v>
      </c>
      <c r="P60" s="51">
        <v>19408.441494405117</v>
      </c>
      <c r="Q60" s="51">
        <v>20010.068090270841</v>
      </c>
      <c r="R60" s="51">
        <v>20411.045724437343</v>
      </c>
      <c r="S60" s="51">
        <v>20781.598821823838</v>
      </c>
      <c r="T60" s="51">
        <v>21251.957193547609</v>
      </c>
      <c r="U60" s="51">
        <v>21751.206123386299</v>
      </c>
      <c r="V60" s="1035">
        <v>22261.611276470951</v>
      </c>
      <c r="W60" s="214"/>
      <c r="X60" s="3"/>
      <c r="Y60" s="3"/>
      <c r="Z60" s="3"/>
      <c r="AA60" s="3"/>
      <c r="AB60" s="3"/>
      <c r="AC60" s="3"/>
      <c r="AD60" s="3"/>
      <c r="AE60" s="3"/>
      <c r="AF60" s="3"/>
      <c r="AG60" s="3"/>
      <c r="AH60" s="3"/>
      <c r="AI60" s="3"/>
      <c r="AJ60" s="3"/>
      <c r="AK60" s="3"/>
      <c r="AL60" s="3"/>
      <c r="AM60" s="3"/>
      <c r="AN60" s="3"/>
      <c r="AO60" s="3"/>
      <c r="AP60" s="3"/>
      <c r="AQ60" s="3"/>
    </row>
    <row r="61" spans="1:43" x14ac:dyDescent="0.2">
      <c r="A61" s="3"/>
      <c r="B61" s="212"/>
      <c r="C61" s="428" t="s">
        <v>1066</v>
      </c>
      <c r="E61" s="3"/>
      <c r="F61" s="619" t="str">
        <f>$F$22</f>
        <v>Scenario 1: Proposed (with SV)</v>
      </c>
      <c r="G61" s="1138">
        <v>14067</v>
      </c>
      <c r="H61" s="51">
        <v>14875</v>
      </c>
      <c r="I61" s="51">
        <v>16721</v>
      </c>
      <c r="J61" s="51">
        <v>15497</v>
      </c>
      <c r="K61" s="1035">
        <v>15533</v>
      </c>
      <c r="L61" s="51">
        <v>17486.582104597397</v>
      </c>
      <c r="M61" s="51">
        <v>17781.94474788777</v>
      </c>
      <c r="N61" s="51">
        <v>18083.521163684523</v>
      </c>
      <c r="O61" s="51">
        <v>18392.641456645568</v>
      </c>
      <c r="P61" s="51">
        <v>18709.484297545849</v>
      </c>
      <c r="Q61" s="51">
        <v>19034.248209468638</v>
      </c>
      <c r="R61" s="51">
        <v>19367.131715497202</v>
      </c>
      <c r="S61" s="51">
        <v>19708.333338714816</v>
      </c>
      <c r="T61" s="51">
        <v>20058.071454513076</v>
      </c>
      <c r="U61" s="51">
        <v>20416.544585975254</v>
      </c>
      <c r="V61" s="1035">
        <v>20783.990960801279</v>
      </c>
      <c r="W61" s="214"/>
      <c r="X61" s="3"/>
      <c r="Y61" s="3"/>
      <c r="Z61" s="3"/>
      <c r="AA61" s="3"/>
      <c r="AB61" s="3"/>
      <c r="AC61" s="3"/>
      <c r="AD61" s="3"/>
      <c r="AE61" s="3"/>
      <c r="AF61" s="3"/>
      <c r="AG61" s="3"/>
      <c r="AH61" s="3"/>
      <c r="AI61" s="3"/>
      <c r="AJ61" s="3"/>
      <c r="AK61" s="3"/>
      <c r="AL61" s="3"/>
      <c r="AM61" s="3"/>
      <c r="AN61" s="3"/>
      <c r="AO61" s="3"/>
      <c r="AP61" s="3"/>
      <c r="AQ61" s="3"/>
    </row>
    <row r="62" spans="1:43" x14ac:dyDescent="0.2">
      <c r="A62" s="3"/>
      <c r="B62" s="212"/>
      <c r="C62" s="428" t="s">
        <v>1045</v>
      </c>
      <c r="E62" s="3"/>
      <c r="F62" s="619" t="str">
        <f>$F$23</f>
        <v>Scenario 2 - Base case (no SV)</v>
      </c>
      <c r="G62" s="1138">
        <v>13409</v>
      </c>
      <c r="H62" s="51">
        <v>13825</v>
      </c>
      <c r="I62" s="51">
        <v>15434</v>
      </c>
      <c r="J62" s="51">
        <v>13837</v>
      </c>
      <c r="K62" s="1035">
        <v>14171</v>
      </c>
      <c r="L62" s="51">
        <v>23058.666666666664</v>
      </c>
      <c r="M62" s="51">
        <v>14987.489999999998</v>
      </c>
      <c r="N62" s="51">
        <v>15422.127209999997</v>
      </c>
      <c r="O62" s="51">
        <v>15853.946771879997</v>
      </c>
      <c r="P62" s="51">
        <v>16234.441494405117</v>
      </c>
      <c r="Q62" s="51">
        <v>16624.068090270841</v>
      </c>
      <c r="R62" s="51">
        <v>17023.045724437343</v>
      </c>
      <c r="S62" s="51">
        <v>17431.598821823838</v>
      </c>
      <c r="T62" s="51">
        <v>17849.957193547609</v>
      </c>
      <c r="U62" s="51">
        <v>18296.206123386299</v>
      </c>
      <c r="V62" s="1035">
        <v>18753.611276470951</v>
      </c>
      <c r="W62" s="214"/>
      <c r="X62" s="3"/>
      <c r="Y62" s="3"/>
      <c r="Z62" s="3"/>
      <c r="AA62" s="3"/>
      <c r="AB62" s="3"/>
      <c r="AC62" s="3"/>
      <c r="AD62" s="3"/>
      <c r="AE62" s="3"/>
      <c r="AF62" s="3"/>
      <c r="AG62" s="3"/>
      <c r="AH62" s="3"/>
      <c r="AI62" s="3"/>
      <c r="AJ62" s="3"/>
      <c r="AK62" s="3"/>
      <c r="AL62" s="3"/>
      <c r="AM62" s="3"/>
      <c r="AN62" s="3"/>
      <c r="AO62" s="3"/>
      <c r="AP62" s="3"/>
      <c r="AQ62" s="3"/>
    </row>
    <row r="63" spans="1:43" x14ac:dyDescent="0.2">
      <c r="A63" s="3"/>
      <c r="B63" s="212"/>
      <c r="C63" s="428" t="s">
        <v>1066</v>
      </c>
      <c r="E63" s="3"/>
      <c r="F63" s="619" t="str">
        <f>$F$23</f>
        <v>Scenario 2 - Base case (no SV)</v>
      </c>
      <c r="G63" s="1138">
        <v>14067</v>
      </c>
      <c r="H63" s="51">
        <v>14875</v>
      </c>
      <c r="I63" s="51">
        <v>16721</v>
      </c>
      <c r="J63" s="51">
        <v>15497</v>
      </c>
      <c r="K63" s="1035">
        <v>15533</v>
      </c>
      <c r="L63" s="51">
        <v>17486.582104597397</v>
      </c>
      <c r="M63" s="51">
        <v>17781.94474788777</v>
      </c>
      <c r="N63" s="51">
        <v>18083.521163684523</v>
      </c>
      <c r="O63" s="51">
        <v>18392.641456645568</v>
      </c>
      <c r="P63" s="51">
        <v>18709.484297545849</v>
      </c>
      <c r="Q63" s="51">
        <v>19034.248209468638</v>
      </c>
      <c r="R63" s="51">
        <v>19367.131715497202</v>
      </c>
      <c r="S63" s="51">
        <v>19708.333338714816</v>
      </c>
      <c r="T63" s="51">
        <v>20058.071454513076</v>
      </c>
      <c r="U63" s="51">
        <v>20416.544585975254</v>
      </c>
      <c r="V63" s="1035">
        <v>20783.990960801279</v>
      </c>
      <c r="W63" s="214"/>
      <c r="X63" s="3"/>
      <c r="Y63" s="3"/>
      <c r="Z63" s="3"/>
      <c r="AA63" s="3"/>
      <c r="AB63" s="3"/>
      <c r="AC63" s="3"/>
      <c r="AD63" s="3"/>
      <c r="AE63" s="3"/>
      <c r="AF63" s="3"/>
      <c r="AG63" s="3"/>
      <c r="AH63" s="3"/>
      <c r="AI63" s="3"/>
      <c r="AJ63" s="3"/>
      <c r="AK63" s="3"/>
      <c r="AL63" s="3"/>
      <c r="AM63" s="3"/>
      <c r="AN63" s="3"/>
      <c r="AO63" s="3"/>
      <c r="AP63" s="3"/>
      <c r="AQ63" s="3"/>
    </row>
    <row r="64" spans="1:43" x14ac:dyDescent="0.2">
      <c r="A64" s="3"/>
      <c r="B64" s="212"/>
      <c r="C64" s="995"/>
      <c r="E64" s="3"/>
      <c r="F64" s="619"/>
      <c r="G64" s="135"/>
      <c r="H64" s="3"/>
      <c r="I64" s="3"/>
      <c r="J64" s="3"/>
      <c r="K64" s="96"/>
      <c r="L64" s="3"/>
      <c r="M64" s="3"/>
      <c r="N64" s="3"/>
      <c r="O64" s="3"/>
      <c r="P64" s="3"/>
      <c r="Q64" s="3"/>
      <c r="R64" s="3"/>
      <c r="S64" s="3"/>
      <c r="T64" s="3"/>
      <c r="U64" s="3"/>
      <c r="V64" s="96"/>
      <c r="W64" s="214"/>
      <c r="X64" s="3"/>
      <c r="Y64" s="3"/>
      <c r="Z64" s="3"/>
      <c r="AA64" s="3"/>
      <c r="AB64" s="3"/>
      <c r="AC64" s="3"/>
      <c r="AD64" s="3"/>
      <c r="AE64" s="3"/>
      <c r="AF64" s="3"/>
      <c r="AG64" s="3"/>
      <c r="AH64" s="3"/>
      <c r="AI64" s="3"/>
      <c r="AJ64" s="3"/>
      <c r="AK64" s="3"/>
      <c r="AL64" s="3"/>
      <c r="AM64" s="3"/>
      <c r="AN64" s="3"/>
      <c r="AO64" s="3"/>
      <c r="AP64" s="3"/>
      <c r="AQ64" s="3"/>
    </row>
    <row r="65" spans="1:43" ht="12" x14ac:dyDescent="0.25">
      <c r="A65" s="3"/>
      <c r="B65" s="212"/>
      <c r="C65" s="1036" t="str">
        <f>C39</f>
        <v>Infrastructure Backlog Ratio</v>
      </c>
      <c r="E65" s="3"/>
      <c r="F65" s="619"/>
      <c r="G65" s="135"/>
      <c r="H65" s="3"/>
      <c r="I65" s="3"/>
      <c r="J65" s="3"/>
      <c r="K65" s="96"/>
      <c r="L65" s="3"/>
      <c r="M65" s="3"/>
      <c r="N65" s="3"/>
      <c r="O65" s="3"/>
      <c r="P65" s="3"/>
      <c r="Q65" s="3"/>
      <c r="R65" s="3"/>
      <c r="S65" s="3"/>
      <c r="T65" s="3"/>
      <c r="U65" s="3"/>
      <c r="V65" s="96"/>
      <c r="W65" s="214"/>
      <c r="X65" s="3"/>
      <c r="Y65" s="3"/>
      <c r="Z65" s="3"/>
      <c r="AA65" s="3"/>
      <c r="AB65" s="3"/>
      <c r="AC65" s="3"/>
      <c r="AD65" s="3"/>
      <c r="AE65" s="3"/>
      <c r="AF65" s="3"/>
      <c r="AG65" s="3"/>
      <c r="AH65" s="3"/>
      <c r="AI65" s="3"/>
      <c r="AJ65" s="3"/>
      <c r="AK65" s="3"/>
      <c r="AL65" s="3"/>
      <c r="AM65" s="3"/>
      <c r="AN65" s="3"/>
      <c r="AO65" s="3"/>
      <c r="AP65" s="3"/>
      <c r="AQ65" s="3"/>
    </row>
    <row r="66" spans="1:43" x14ac:dyDescent="0.2">
      <c r="A66" s="3"/>
      <c r="B66" s="212"/>
      <c r="C66" s="428" t="s">
        <v>1052</v>
      </c>
      <c r="E66" s="3"/>
      <c r="F66" s="619" t="str">
        <f>$F$22</f>
        <v>Scenario 1: Proposed (with SV)</v>
      </c>
      <c r="G66" s="1138">
        <v>8529</v>
      </c>
      <c r="H66" s="51">
        <v>9174</v>
      </c>
      <c r="I66" s="51">
        <v>12176</v>
      </c>
      <c r="J66" s="51">
        <v>13496</v>
      </c>
      <c r="K66" s="1035">
        <v>16790</v>
      </c>
      <c r="L66" s="51">
        <v>8212</v>
      </c>
      <c r="M66" s="51">
        <v>6562</v>
      </c>
      <c r="N66" s="51">
        <v>6221</v>
      </c>
      <c r="O66" s="51">
        <v>6221</v>
      </c>
      <c r="P66" s="51">
        <v>6221</v>
      </c>
      <c r="Q66" s="51">
        <v>6221</v>
      </c>
      <c r="R66" s="51">
        <v>6221</v>
      </c>
      <c r="S66" s="51">
        <v>6221</v>
      </c>
      <c r="T66" s="51">
        <v>6221</v>
      </c>
      <c r="U66" s="51">
        <v>6221</v>
      </c>
      <c r="V66" s="1035">
        <v>6221</v>
      </c>
      <c r="W66" s="214"/>
      <c r="X66" s="3"/>
      <c r="Y66" s="3"/>
      <c r="Z66" s="3"/>
      <c r="AA66" s="3"/>
      <c r="AB66" s="3"/>
      <c r="AC66" s="3"/>
      <c r="AD66" s="3"/>
      <c r="AE66" s="3"/>
      <c r="AF66" s="3"/>
      <c r="AG66" s="3"/>
      <c r="AH66" s="3"/>
      <c r="AI66" s="3"/>
      <c r="AJ66" s="3"/>
      <c r="AK66" s="3"/>
      <c r="AL66" s="3"/>
      <c r="AM66" s="3"/>
      <c r="AN66" s="3"/>
      <c r="AO66" s="3"/>
      <c r="AP66" s="3"/>
      <c r="AQ66" s="3"/>
    </row>
    <row r="67" spans="1:43" ht="13.2" x14ac:dyDescent="0.2">
      <c r="A67" s="3"/>
      <c r="B67" s="212"/>
      <c r="C67" s="428" t="s">
        <v>1067</v>
      </c>
      <c r="E67" s="3"/>
      <c r="F67" s="619" t="str">
        <f>$F$22</f>
        <v>Scenario 1: Proposed (with SV)</v>
      </c>
      <c r="G67" s="1138">
        <v>929774</v>
      </c>
      <c r="H67" s="51">
        <v>931737</v>
      </c>
      <c r="I67" s="51">
        <v>1008005</v>
      </c>
      <c r="J67" s="51">
        <v>1027576</v>
      </c>
      <c r="K67" s="1035">
        <v>1141534</v>
      </c>
      <c r="L67" s="51">
        <v>1161927.9807292749</v>
      </c>
      <c r="M67" s="51">
        <v>1157513.5988152595</v>
      </c>
      <c r="N67" s="51">
        <v>1153177.6404854469</v>
      </c>
      <c r="O67" s="51">
        <v>1148921.5618626734</v>
      </c>
      <c r="P67" s="51">
        <v>1144747.6403989999</v>
      </c>
      <c r="Q67" s="51">
        <v>1140657.9550234037</v>
      </c>
      <c r="R67" s="51">
        <v>1136654.3861417784</v>
      </c>
      <c r="S67" s="51">
        <v>1132739.6156369359</v>
      </c>
      <c r="T67" s="51">
        <v>1128915.1070162952</v>
      </c>
      <c r="U67" s="51">
        <v>1125184.125264192</v>
      </c>
      <c r="V67" s="1035">
        <v>1121547.6971372631</v>
      </c>
      <c r="W67" s="214"/>
      <c r="X67" s="3"/>
      <c r="Y67" s="3"/>
      <c r="Z67" s="3"/>
      <c r="AA67" s="3"/>
      <c r="AB67" s="3"/>
      <c r="AC67" s="3"/>
      <c r="AD67" s="3"/>
      <c r="AE67" s="3"/>
      <c r="AF67" s="3"/>
      <c r="AG67" s="3"/>
      <c r="AH67" s="3"/>
      <c r="AI67" s="3"/>
      <c r="AJ67" s="3"/>
      <c r="AK67" s="3"/>
      <c r="AL67" s="3"/>
      <c r="AM67" s="3"/>
      <c r="AN67" s="3"/>
      <c r="AO67" s="3"/>
      <c r="AP67" s="3"/>
      <c r="AQ67" s="3"/>
    </row>
    <row r="68" spans="1:43" x14ac:dyDescent="0.2">
      <c r="A68" s="3"/>
      <c r="B68" s="212"/>
      <c r="C68" s="428" t="s">
        <v>1052</v>
      </c>
      <c r="E68" s="3"/>
      <c r="F68" s="619" t="str">
        <f>$F$23</f>
        <v>Scenario 2 - Base case (no SV)</v>
      </c>
      <c r="G68" s="1138">
        <v>8529</v>
      </c>
      <c r="H68" s="51">
        <v>9174</v>
      </c>
      <c r="I68" s="51">
        <v>12176</v>
      </c>
      <c r="J68" s="51">
        <v>13496</v>
      </c>
      <c r="K68" s="1035">
        <v>16790</v>
      </c>
      <c r="L68" s="51">
        <v>8212</v>
      </c>
      <c r="M68" s="51">
        <v>8499.42</v>
      </c>
      <c r="N68" s="51">
        <v>8450.1479999999992</v>
      </c>
      <c r="O68" s="51">
        <v>8441.9359999999997</v>
      </c>
      <c r="P68" s="51">
        <v>8409.0879999999997</v>
      </c>
      <c r="Q68" s="51">
        <v>8409.0879999999997</v>
      </c>
      <c r="R68" s="51">
        <v>8409.0879999999997</v>
      </c>
      <c r="S68" s="51">
        <v>8409.0879999999997</v>
      </c>
      <c r="T68" s="51">
        <v>8409.0879999999997</v>
      </c>
      <c r="U68" s="51">
        <v>8417.2999999999993</v>
      </c>
      <c r="V68" s="1035">
        <v>8417.2999999999993</v>
      </c>
      <c r="W68" s="214"/>
      <c r="X68" s="3"/>
      <c r="Y68" s="3"/>
      <c r="Z68" s="3"/>
      <c r="AA68" s="3"/>
      <c r="AB68" s="3"/>
      <c r="AC68" s="3"/>
      <c r="AD68" s="3"/>
      <c r="AE68" s="3"/>
      <c r="AF68" s="3"/>
      <c r="AG68" s="3"/>
      <c r="AH68" s="3"/>
      <c r="AI68" s="3"/>
      <c r="AJ68" s="3"/>
      <c r="AK68" s="3"/>
      <c r="AL68" s="3"/>
      <c r="AM68" s="3"/>
      <c r="AN68" s="3"/>
      <c r="AO68" s="3"/>
      <c r="AP68" s="3"/>
      <c r="AQ68" s="3"/>
    </row>
    <row r="69" spans="1:43" ht="13.2" x14ac:dyDescent="0.2">
      <c r="A69" s="3"/>
      <c r="B69" s="212"/>
      <c r="C69" s="428" t="s">
        <v>1067</v>
      </c>
      <c r="E69" s="3"/>
      <c r="F69" s="619" t="str">
        <f>$F$23</f>
        <v>Scenario 2 - Base case (no SV)</v>
      </c>
      <c r="G69" s="1138">
        <v>929774</v>
      </c>
      <c r="H69" s="51">
        <v>931737</v>
      </c>
      <c r="I69" s="51">
        <v>1008005</v>
      </c>
      <c r="J69" s="51">
        <v>1027576</v>
      </c>
      <c r="K69" s="1035">
        <v>1141534</v>
      </c>
      <c r="L69" s="51">
        <v>1161927.9807292749</v>
      </c>
      <c r="M69" s="51">
        <v>1157513.5988152595</v>
      </c>
      <c r="N69" s="51">
        <v>1153177.6404854469</v>
      </c>
      <c r="O69" s="51">
        <v>1148921.5618626734</v>
      </c>
      <c r="P69" s="51">
        <v>1144747.6403989999</v>
      </c>
      <c r="Q69" s="51">
        <v>1140657.9550234037</v>
      </c>
      <c r="R69" s="51">
        <v>1136654.3861417784</v>
      </c>
      <c r="S69" s="51">
        <v>1132739.6156369359</v>
      </c>
      <c r="T69" s="51">
        <v>1128915.1070162952</v>
      </c>
      <c r="U69" s="51">
        <v>1125184.125264192</v>
      </c>
      <c r="V69" s="1035">
        <v>1121547.6971372631</v>
      </c>
      <c r="W69" s="214"/>
      <c r="X69" s="3"/>
      <c r="Y69" s="3"/>
      <c r="Z69" s="3"/>
      <c r="AA69" s="3"/>
      <c r="AB69" s="3"/>
      <c r="AC69" s="3"/>
      <c r="AD69" s="3"/>
      <c r="AE69" s="3"/>
      <c r="AF69" s="3"/>
      <c r="AG69" s="3"/>
      <c r="AH69" s="3"/>
      <c r="AI69" s="3"/>
      <c r="AJ69" s="3"/>
      <c r="AK69" s="3"/>
      <c r="AL69" s="3"/>
      <c r="AM69" s="3"/>
      <c r="AN69" s="3"/>
      <c r="AO69" s="3"/>
      <c r="AP69" s="3"/>
      <c r="AQ69" s="3"/>
    </row>
    <row r="70" spans="1:43" x14ac:dyDescent="0.2">
      <c r="A70" s="3"/>
      <c r="B70" s="212"/>
      <c r="C70" s="428"/>
      <c r="E70" s="3"/>
      <c r="F70" s="619"/>
      <c r="G70" s="135"/>
      <c r="H70" s="3"/>
      <c r="I70" s="3"/>
      <c r="J70" s="3"/>
      <c r="K70" s="96"/>
      <c r="L70" s="3"/>
      <c r="M70" s="3"/>
      <c r="N70" s="3"/>
      <c r="O70" s="3"/>
      <c r="P70" s="3"/>
      <c r="Q70" s="3"/>
      <c r="R70" s="3"/>
      <c r="S70" s="3"/>
      <c r="T70" s="3"/>
      <c r="U70" s="3"/>
      <c r="V70" s="96"/>
      <c r="W70" s="214"/>
      <c r="X70" s="3"/>
      <c r="Y70" s="3"/>
      <c r="Z70" s="3"/>
      <c r="AA70" s="3"/>
      <c r="AB70" s="3"/>
      <c r="AC70" s="3"/>
      <c r="AD70" s="3"/>
      <c r="AE70" s="3"/>
      <c r="AF70" s="3"/>
      <c r="AG70" s="3"/>
      <c r="AH70" s="3"/>
      <c r="AI70" s="3"/>
      <c r="AJ70" s="3"/>
      <c r="AK70" s="3"/>
      <c r="AL70" s="3"/>
      <c r="AM70" s="3"/>
      <c r="AN70" s="3"/>
      <c r="AO70" s="3"/>
      <c r="AP70" s="3"/>
      <c r="AQ70" s="3"/>
    </row>
    <row r="71" spans="1:43" ht="12" x14ac:dyDescent="0.25">
      <c r="A71" s="3"/>
      <c r="B71" s="212"/>
      <c r="C71" s="405" t="str">
        <f>C45</f>
        <v>Asset Maintenance Ratio</v>
      </c>
      <c r="E71" s="3"/>
      <c r="F71" s="619"/>
      <c r="G71" s="135"/>
      <c r="H71" s="3"/>
      <c r="I71" s="3"/>
      <c r="J71" s="3"/>
      <c r="K71" s="96"/>
      <c r="L71" s="3"/>
      <c r="M71" s="3"/>
      <c r="N71" s="3"/>
      <c r="O71" s="3"/>
      <c r="P71" s="3"/>
      <c r="Q71" s="3"/>
      <c r="R71" s="3"/>
      <c r="S71" s="3"/>
      <c r="T71" s="3"/>
      <c r="U71" s="3"/>
      <c r="V71" s="96"/>
      <c r="W71" s="214"/>
      <c r="X71" s="3"/>
      <c r="Y71" s="3"/>
      <c r="Z71" s="3"/>
      <c r="AA71" s="3"/>
      <c r="AB71" s="3"/>
      <c r="AC71" s="3"/>
      <c r="AD71" s="3"/>
      <c r="AE71" s="3"/>
      <c r="AF71" s="3"/>
      <c r="AG71" s="3"/>
      <c r="AH71" s="3"/>
      <c r="AI71" s="3"/>
      <c r="AJ71" s="3"/>
      <c r="AK71" s="3"/>
      <c r="AL71" s="3"/>
      <c r="AM71" s="3"/>
      <c r="AN71" s="3"/>
      <c r="AO71" s="3"/>
      <c r="AP71" s="3"/>
      <c r="AQ71" s="3"/>
    </row>
    <row r="72" spans="1:43" x14ac:dyDescent="0.2">
      <c r="A72" s="3"/>
      <c r="B72" s="212"/>
      <c r="C72" s="428" t="s">
        <v>1060</v>
      </c>
      <c r="E72" s="3"/>
      <c r="F72" s="619" t="str">
        <f>$F$22</f>
        <v>Scenario 1: Proposed (with SV)</v>
      </c>
      <c r="G72" s="1138">
        <v>8356</v>
      </c>
      <c r="H72" s="51">
        <v>9056</v>
      </c>
      <c r="I72" s="51">
        <v>8738</v>
      </c>
      <c r="J72" s="51">
        <v>9129</v>
      </c>
      <c r="K72" s="1035">
        <v>5888</v>
      </c>
      <c r="L72" s="51">
        <v>5888</v>
      </c>
      <c r="M72" s="51">
        <v>6164.55</v>
      </c>
      <c r="N72" s="51">
        <v>5958.4519500000006</v>
      </c>
      <c r="O72" s="51">
        <v>7536</v>
      </c>
      <c r="P72" s="51">
        <v>8110</v>
      </c>
      <c r="Q72" s="51">
        <v>10041</v>
      </c>
      <c r="R72" s="51">
        <v>10064</v>
      </c>
      <c r="S72" s="51">
        <v>9078</v>
      </c>
      <c r="T72" s="51">
        <v>9142</v>
      </c>
      <c r="U72" s="51">
        <v>9216</v>
      </c>
      <c r="V72" s="1035">
        <v>9260</v>
      </c>
      <c r="W72" s="214"/>
      <c r="X72" s="3"/>
      <c r="Y72" s="3"/>
      <c r="Z72" s="3"/>
      <c r="AA72" s="3"/>
      <c r="AB72" s="3"/>
      <c r="AC72" s="3"/>
      <c r="AD72" s="3"/>
      <c r="AE72" s="3"/>
      <c r="AF72" s="3"/>
      <c r="AG72" s="3"/>
      <c r="AH72" s="3"/>
      <c r="AI72" s="3"/>
      <c r="AJ72" s="3"/>
      <c r="AK72" s="3"/>
      <c r="AL72" s="3"/>
      <c r="AM72" s="3"/>
      <c r="AN72" s="3"/>
      <c r="AO72" s="3"/>
      <c r="AP72" s="3"/>
      <c r="AQ72" s="3"/>
    </row>
    <row r="73" spans="1:43" x14ac:dyDescent="0.2">
      <c r="A73" s="3"/>
      <c r="B73" s="212"/>
      <c r="C73" s="428" t="s">
        <v>1061</v>
      </c>
      <c r="E73" s="3"/>
      <c r="F73" s="619" t="str">
        <f>$F$22</f>
        <v>Scenario 1: Proposed (with SV)</v>
      </c>
      <c r="G73" s="1138">
        <v>8317</v>
      </c>
      <c r="H73" s="51">
        <v>8911</v>
      </c>
      <c r="I73" s="51">
        <v>8314</v>
      </c>
      <c r="J73" s="51">
        <v>9186</v>
      </c>
      <c r="K73" s="1035">
        <v>7375</v>
      </c>
      <c r="L73" s="51">
        <v>6867</v>
      </c>
      <c r="M73" s="51">
        <v>6370.5150000000003</v>
      </c>
      <c r="N73" s="51">
        <v>6170.3899349999992</v>
      </c>
      <c r="O73" s="51">
        <v>7754</v>
      </c>
      <c r="P73" s="51">
        <v>8333</v>
      </c>
      <c r="Q73" s="51">
        <v>10269</v>
      </c>
      <c r="R73" s="51">
        <v>10298</v>
      </c>
      <c r="S73" s="51">
        <v>9318</v>
      </c>
      <c r="T73" s="51">
        <v>9387</v>
      </c>
      <c r="U73" s="51">
        <v>9467</v>
      </c>
      <c r="V73" s="1035">
        <v>9518</v>
      </c>
      <c r="W73" s="214"/>
      <c r="X73" s="3"/>
      <c r="Y73" s="3"/>
      <c r="Z73" s="3"/>
      <c r="AA73" s="3"/>
      <c r="AB73" s="3"/>
      <c r="AC73" s="3"/>
      <c r="AD73" s="3"/>
      <c r="AE73" s="3"/>
      <c r="AF73" s="3"/>
      <c r="AG73" s="3"/>
      <c r="AH73" s="3"/>
      <c r="AI73" s="3"/>
      <c r="AJ73" s="3"/>
      <c r="AK73" s="3"/>
      <c r="AL73" s="3"/>
      <c r="AM73" s="3"/>
      <c r="AN73" s="3"/>
      <c r="AO73" s="3"/>
      <c r="AP73" s="3"/>
      <c r="AQ73" s="3"/>
    </row>
    <row r="74" spans="1:43" x14ac:dyDescent="0.2">
      <c r="A74" s="3"/>
      <c r="B74" s="212"/>
      <c r="C74" s="428" t="s">
        <v>1060</v>
      </c>
      <c r="E74" s="3"/>
      <c r="F74" s="619" t="str">
        <f>$F$23</f>
        <v>Scenario 2 - Base case (no SV)</v>
      </c>
      <c r="G74" s="1138">
        <v>8356</v>
      </c>
      <c r="H74" s="51">
        <v>9056</v>
      </c>
      <c r="I74" s="51">
        <v>8738</v>
      </c>
      <c r="J74" s="51">
        <v>9129</v>
      </c>
      <c r="K74" s="1035">
        <v>5888</v>
      </c>
      <c r="L74" s="51">
        <v>5888</v>
      </c>
      <c r="M74" s="51">
        <v>6164.55</v>
      </c>
      <c r="N74" s="51">
        <v>5958.4519500000006</v>
      </c>
      <c r="O74" s="51">
        <v>7536</v>
      </c>
      <c r="P74" s="51">
        <v>8110</v>
      </c>
      <c r="Q74" s="51">
        <v>10041</v>
      </c>
      <c r="R74" s="51">
        <v>10064</v>
      </c>
      <c r="S74" s="51">
        <v>9078</v>
      </c>
      <c r="T74" s="51">
        <v>9142</v>
      </c>
      <c r="U74" s="51">
        <v>9216</v>
      </c>
      <c r="V74" s="1035">
        <v>9260</v>
      </c>
      <c r="W74" s="214"/>
      <c r="X74" s="3"/>
      <c r="Y74" s="3"/>
      <c r="Z74" s="3"/>
      <c r="AA74" s="3"/>
      <c r="AB74" s="3"/>
      <c r="AC74" s="3"/>
      <c r="AD74" s="3"/>
      <c r="AE74" s="3"/>
      <c r="AF74" s="3"/>
      <c r="AG74" s="3"/>
      <c r="AH74" s="3"/>
      <c r="AI74" s="3"/>
      <c r="AJ74" s="3"/>
      <c r="AK74" s="3"/>
      <c r="AL74" s="3"/>
      <c r="AM74" s="3"/>
      <c r="AN74" s="3"/>
      <c r="AO74" s="3"/>
      <c r="AP74" s="3"/>
      <c r="AQ74" s="3"/>
    </row>
    <row r="75" spans="1:43" x14ac:dyDescent="0.2">
      <c r="A75" s="3"/>
      <c r="B75" s="212"/>
      <c r="C75" s="428" t="s">
        <v>1061</v>
      </c>
      <c r="E75" s="3"/>
      <c r="F75" s="619" t="str">
        <f>$F$23</f>
        <v>Scenario 2 - Base case (no SV)</v>
      </c>
      <c r="G75" s="1138">
        <v>8317</v>
      </c>
      <c r="H75" s="51">
        <v>8911</v>
      </c>
      <c r="I75" s="51">
        <v>8314</v>
      </c>
      <c r="J75" s="51">
        <v>9186</v>
      </c>
      <c r="K75" s="1035">
        <v>7375</v>
      </c>
      <c r="L75" s="51">
        <v>6867</v>
      </c>
      <c r="M75" s="51">
        <v>6370.5150000000003</v>
      </c>
      <c r="N75" s="51">
        <v>6170.3899349999992</v>
      </c>
      <c r="O75" s="51">
        <v>7754</v>
      </c>
      <c r="P75" s="51">
        <v>8333</v>
      </c>
      <c r="Q75" s="51">
        <v>10269</v>
      </c>
      <c r="R75" s="51">
        <v>10298</v>
      </c>
      <c r="S75" s="51">
        <v>9318</v>
      </c>
      <c r="T75" s="51">
        <v>9387</v>
      </c>
      <c r="U75" s="51">
        <v>9467</v>
      </c>
      <c r="V75" s="1035">
        <v>9518</v>
      </c>
      <c r="W75" s="214"/>
      <c r="X75" s="3"/>
      <c r="Y75" s="3"/>
      <c r="Z75" s="3"/>
      <c r="AA75" s="3"/>
      <c r="AB75" s="3"/>
      <c r="AC75" s="3"/>
      <c r="AD75" s="3"/>
      <c r="AE75" s="3"/>
      <c r="AF75" s="3"/>
      <c r="AG75" s="3"/>
      <c r="AH75" s="3"/>
      <c r="AI75" s="3"/>
      <c r="AJ75" s="3"/>
      <c r="AK75" s="3"/>
      <c r="AL75" s="3"/>
      <c r="AM75" s="3"/>
      <c r="AN75" s="3"/>
      <c r="AO75" s="3"/>
      <c r="AP75" s="3"/>
      <c r="AQ75" s="3"/>
    </row>
    <row r="76" spans="1:43" x14ac:dyDescent="0.2">
      <c r="A76" s="3"/>
      <c r="B76" s="212"/>
      <c r="C76" s="458"/>
      <c r="D76" s="1037"/>
      <c r="E76" s="93"/>
      <c r="F76" s="881"/>
      <c r="G76" s="97"/>
      <c r="H76" s="93"/>
      <c r="I76" s="93"/>
      <c r="J76" s="93"/>
      <c r="K76" s="98"/>
      <c r="L76" s="93"/>
      <c r="M76" s="93"/>
      <c r="N76" s="93"/>
      <c r="O76" s="93"/>
      <c r="P76" s="93"/>
      <c r="Q76" s="93"/>
      <c r="R76" s="93"/>
      <c r="S76" s="93"/>
      <c r="T76" s="93"/>
      <c r="U76" s="93"/>
      <c r="V76" s="98"/>
      <c r="W76" s="214"/>
      <c r="X76" s="3"/>
      <c r="Y76" s="3"/>
      <c r="Z76" s="3"/>
      <c r="AA76" s="3"/>
      <c r="AB76" s="3"/>
      <c r="AC76" s="3"/>
      <c r="AD76" s="3"/>
      <c r="AE76" s="3"/>
      <c r="AF76" s="3"/>
      <c r="AG76" s="3"/>
      <c r="AH76" s="3"/>
      <c r="AI76" s="3"/>
      <c r="AJ76" s="3"/>
      <c r="AK76" s="3"/>
      <c r="AL76" s="3"/>
      <c r="AM76" s="3"/>
      <c r="AN76" s="3"/>
      <c r="AO76" s="3"/>
      <c r="AP76" s="3"/>
      <c r="AQ76" s="3"/>
    </row>
    <row r="77" spans="1:43" x14ac:dyDescent="0.2">
      <c r="A77" s="3"/>
      <c r="B77" s="212"/>
      <c r="C77" s="1"/>
      <c r="E77" s="3"/>
      <c r="F77" s="619"/>
      <c r="G77" s="3"/>
      <c r="H77" s="3"/>
      <c r="I77" s="3"/>
      <c r="J77" s="3"/>
      <c r="K77" s="3"/>
      <c r="L77" s="3"/>
      <c r="M77" s="3"/>
      <c r="N77" s="3"/>
      <c r="O77" s="3"/>
      <c r="P77" s="3"/>
      <c r="Q77" s="3"/>
      <c r="R77" s="3"/>
      <c r="S77" s="3"/>
      <c r="T77" s="3"/>
      <c r="U77" s="3"/>
      <c r="V77" s="3"/>
      <c r="W77" s="214"/>
      <c r="X77" s="3"/>
      <c r="Y77" s="3"/>
      <c r="Z77" s="3"/>
      <c r="AA77" s="3"/>
      <c r="AB77" s="3"/>
      <c r="AC77" s="3"/>
      <c r="AD77" s="3"/>
      <c r="AE77" s="3"/>
      <c r="AF77" s="3"/>
      <c r="AG77" s="3"/>
      <c r="AH77" s="3"/>
      <c r="AI77" s="3"/>
      <c r="AJ77" s="3"/>
      <c r="AK77" s="3"/>
      <c r="AL77" s="3"/>
      <c r="AM77" s="3"/>
      <c r="AN77" s="3"/>
      <c r="AO77" s="3"/>
      <c r="AP77" s="3"/>
      <c r="AQ77" s="3"/>
    </row>
    <row r="78" spans="1:43" ht="15.6" customHeight="1" thickBot="1" x14ac:dyDescent="0.25">
      <c r="A78" s="3"/>
      <c r="B78" s="222"/>
      <c r="C78" s="245"/>
      <c r="D78" s="245"/>
      <c r="E78" s="245"/>
      <c r="F78" s="245"/>
      <c r="G78" s="245"/>
      <c r="H78" s="245"/>
      <c r="I78" s="245"/>
      <c r="J78" s="245"/>
      <c r="K78" s="245"/>
      <c r="L78" s="245"/>
      <c r="M78" s="245"/>
      <c r="N78" s="245"/>
      <c r="O78" s="245"/>
      <c r="P78" s="245"/>
      <c r="Q78" s="245"/>
      <c r="R78" s="245"/>
      <c r="S78" s="245"/>
      <c r="T78" s="245"/>
      <c r="U78" s="245"/>
      <c r="V78" s="245"/>
      <c r="W78" s="230"/>
      <c r="X78" s="3"/>
      <c r="Y78" s="3"/>
      <c r="Z78" s="3"/>
      <c r="AA78" s="3"/>
      <c r="AB78" s="3"/>
      <c r="AC78" s="3"/>
      <c r="AD78" s="3"/>
      <c r="AE78" s="3"/>
      <c r="AF78" s="3"/>
      <c r="AG78" s="3"/>
      <c r="AH78" s="3"/>
      <c r="AI78" s="3"/>
      <c r="AJ78" s="3"/>
      <c r="AK78" s="3"/>
      <c r="AL78" s="3"/>
      <c r="AM78" s="3"/>
      <c r="AN78" s="3"/>
      <c r="AO78" s="3"/>
      <c r="AP78" s="3"/>
      <c r="AQ78" s="3"/>
    </row>
    <row r="79" spans="1:43" ht="15.6" customHeight="1" x14ac:dyDescent="0.2">
      <c r="A79" s="3"/>
      <c r="B79" s="769" t="s">
        <v>1068</v>
      </c>
      <c r="C79" s="770"/>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row>
    <row r="80" spans="1:43" x14ac:dyDescent="0.2">
      <c r="A80" s="3"/>
      <c r="B80" s="770" t="s">
        <v>1069</v>
      </c>
      <c r="C80" s="771" t="str">
        <f>'WK8 - LTFP'!C122</f>
        <v xml:space="preserve">SCENARIO 3: Hybrid case  - SV expenditure but no SV income </v>
      </c>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row>
    <row r="81" spans="1:43" x14ac:dyDescent="0.2">
      <c r="A81" s="3"/>
      <c r="B81" s="770" t="s">
        <v>1070</v>
      </c>
      <c r="C81" s="770" t="s">
        <v>1071</v>
      </c>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row>
    <row r="82" spans="1:43" x14ac:dyDescent="0.2">
      <c r="A82" s="3"/>
      <c r="B82" s="770"/>
      <c r="C82" s="770"/>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row>
    <row r="83" spans="1:43"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row>
    <row r="84" spans="1:43"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row>
    <row r="85" spans="1:43"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row>
    <row r="86" spans="1:43"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row>
    <row r="87" spans="1:43"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row>
    <row r="88" spans="1:43"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row>
    <row r="89" spans="1:43"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row>
    <row r="90" spans="1:43"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row>
    <row r="91" spans="1:43"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row>
    <row r="92" spans="1:43"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row>
    <row r="93" spans="1:43"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row>
    <row r="94" spans="1:43"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row>
    <row r="95" spans="1:43"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row>
    <row r="96" spans="1:43"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row>
    <row r="97" spans="1:43"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row>
    <row r="98" spans="1:43"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row>
    <row r="99" spans="1:43"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row>
    <row r="100" spans="1:43"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row>
    <row r="101" spans="1:43"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row>
    <row r="102" spans="1:43"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row>
    <row r="103" spans="1:43"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row>
    <row r="104" spans="1:43"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row>
    <row r="105" spans="1:43"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row>
    <row r="106" spans="1:43"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row>
    <row r="107" spans="1:43"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row>
    <row r="108" spans="1:43"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row>
    <row r="109" spans="1:43"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row>
    <row r="110" spans="1:43"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row>
    <row r="111" spans="1:43"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row>
    <row r="112" spans="1:43"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row>
    <row r="113" spans="1:43"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row>
    <row r="114" spans="1:43"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row>
    <row r="115" spans="1:43"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row>
    <row r="116" spans="1:43"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row>
    <row r="117" spans="1:43"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row>
    <row r="118" spans="1:43"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row>
    <row r="119" spans="1:43"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row>
    <row r="120" spans="1:43"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row>
    <row r="121" spans="1:43"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row>
    <row r="122" spans="1:43"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row>
    <row r="123" spans="1:43"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row>
    <row r="124" spans="1:43"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row>
    <row r="125" spans="1:43"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row>
    <row r="126" spans="1:43"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row>
    <row r="127" spans="1:43"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row>
    <row r="128" spans="1:43"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row>
    <row r="129" spans="1:43"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row>
    <row r="130" spans="1:43"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row>
    <row r="131" spans="1:43"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row>
    <row r="132" spans="1:43"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row>
    <row r="133" spans="1:43"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row>
    <row r="134" spans="1:43"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row>
    <row r="135" spans="1:43"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row>
    <row r="136" spans="1:43"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row>
    <row r="137" spans="1:43"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row>
    <row r="138" spans="1:43"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row>
    <row r="139" spans="1:43"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row>
    <row r="140" spans="1:43"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row>
    <row r="141" spans="1:43"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row>
    <row r="142" spans="1:43"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row>
    <row r="143" spans="1:43"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row>
    <row r="144" spans="1:43"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row>
    <row r="145" spans="1:43"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row>
    <row r="146" spans="1:43"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row>
    <row r="147" spans="1:43"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row>
    <row r="148" spans="1:43"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row>
    <row r="149" spans="1:43"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row>
    <row r="150" spans="1:43"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row>
    <row r="151" spans="1:43"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row>
    <row r="152" spans="1:43"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row>
    <row r="153" spans="1:43"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row>
    <row r="154" spans="1:43"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row>
    <row r="155" spans="1:43"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row>
    <row r="156" spans="1:43"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row>
    <row r="157" spans="1:43"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row>
    <row r="158" spans="1:43"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row>
    <row r="159" spans="1:43"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row>
    <row r="160" spans="1:43"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row>
    <row r="161" spans="1:43"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row>
    <row r="162" spans="1:43"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row>
    <row r="163" spans="1:43"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row>
    <row r="164" spans="1:43"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row>
    <row r="165" spans="1:43"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row>
    <row r="166" spans="1:43"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row>
    <row r="167" spans="1:43"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row>
    <row r="168" spans="1:43"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row>
    <row r="169" spans="1:43"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row>
    <row r="170" spans="1:43"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row>
    <row r="171" spans="1:43"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row>
    <row r="172" spans="1:43"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row>
    <row r="173" spans="1:43"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row>
    <row r="174" spans="1:43"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row>
    <row r="175" spans="1:43"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row>
    <row r="176" spans="1:43"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row>
    <row r="177" spans="1:43"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row>
    <row r="178" spans="1:43"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row>
    <row r="179" spans="1:43"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row>
    <row r="180" spans="1:43"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row>
    <row r="181" spans="1:43"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row>
    <row r="182" spans="1:43"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row>
    <row r="183" spans="1:43"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row>
    <row r="184" spans="1:43"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row>
    <row r="185" spans="1:43"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row>
    <row r="186" spans="1:43"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row>
    <row r="187" spans="1:43"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row>
    <row r="188" spans="1:43"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row>
    <row r="189" spans="1:43"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row>
    <row r="190" spans="1:43"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row>
    <row r="191" spans="1:43"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row>
    <row r="192" spans="1:43"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row>
    <row r="193" spans="1:43"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row>
    <row r="194" spans="1:43"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row>
    <row r="195" spans="1:43"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row>
    <row r="196" spans="1:43"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row>
    <row r="197" spans="1:43"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row>
    <row r="198" spans="1:43"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row>
    <row r="199" spans="1:43"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row>
    <row r="200" spans="1:43"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row>
    <row r="201" spans="1:43"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row>
    <row r="202" spans="1:43"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row>
    <row r="203" spans="1:43"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row>
    <row r="204" spans="1:43"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row>
    <row r="205" spans="1:43"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row>
    <row r="206" spans="1:43"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row>
    <row r="207" spans="1:43"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row>
    <row r="208" spans="1:43"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row>
    <row r="209" spans="1:43"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row>
    <row r="210" spans="1:43"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row>
    <row r="211" spans="1:43"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row>
    <row r="212" spans="1:43"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row>
    <row r="213" spans="1:43"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row>
    <row r="214" spans="1:43"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row>
    <row r="215" spans="1:43"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row>
    <row r="216" spans="1:43"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row>
    <row r="217" spans="1:43"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row>
    <row r="218" spans="1:43"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row>
    <row r="219" spans="1:43"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row>
    <row r="220" spans="1:43"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row>
    <row r="221" spans="1:43"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row>
    <row r="222" spans="1:43"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row>
    <row r="223" spans="1:43"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row>
    <row r="224" spans="1:43"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row>
    <row r="225" spans="1:43"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row>
    <row r="226" spans="1:43"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row>
    <row r="227" spans="1:43"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row>
    <row r="228" spans="1:43"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row>
    <row r="229" spans="1:43"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row>
    <row r="230" spans="1:43"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row>
    <row r="231" spans="1:43"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row>
    <row r="232" spans="1:43"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row>
    <row r="233" spans="1:43"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row>
    <row r="234" spans="1:43"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row>
    <row r="235" spans="1:43"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row>
    <row r="236" spans="1:43"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row>
    <row r="237" spans="1:43"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row>
    <row r="238" spans="1:43"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row>
    <row r="239" spans="1:43"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row>
    <row r="240" spans="1:43"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row>
    <row r="241" spans="1:43"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row>
    <row r="242" spans="1:43"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row>
    <row r="243" spans="1:43"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row>
    <row r="244" spans="1:43"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row>
    <row r="245" spans="1:43"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row>
    <row r="246" spans="1:43"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row>
    <row r="247" spans="1:43"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row>
    <row r="248" spans="1:43"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row>
    <row r="249" spans="1:43"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row>
    <row r="250" spans="1:43"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row>
    <row r="251" spans="1:43"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row>
    <row r="252" spans="1:43"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row>
    <row r="253" spans="1:43"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row>
    <row r="254" spans="1:43"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row>
    <row r="255" spans="1:43"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row>
    <row r="256" spans="1:43"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row>
    <row r="257" spans="1:43"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row>
    <row r="258" spans="1:43"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row>
    <row r="259" spans="1:43"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row>
    <row r="260" spans="1:43"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row>
    <row r="261" spans="1:43"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row>
    <row r="262" spans="1:43"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row>
    <row r="263" spans="1:43"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row>
    <row r="264" spans="1:43"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row>
    <row r="265" spans="1:43"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row>
    <row r="266" spans="1:43"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row>
    <row r="267" spans="1:43"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row>
    <row r="268" spans="1:43"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row>
    <row r="269" spans="1:43"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row>
    <row r="270" spans="1:43"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row>
    <row r="271" spans="1:43"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row>
    <row r="272" spans="1:43"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row>
    <row r="273" spans="1:43"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row>
    <row r="274" spans="1:43"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row>
    <row r="275" spans="1:43"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row>
    <row r="276" spans="1:43"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row>
    <row r="277" spans="1:43"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row>
    <row r="278" spans="1:43"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row>
    <row r="279" spans="1:43"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row>
    <row r="280" spans="1:43"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row>
    <row r="281" spans="1:43"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row>
    <row r="282" spans="1:43"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row>
    <row r="283" spans="1:43"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row>
    <row r="284" spans="1:43"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row>
    <row r="285" spans="1:43"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row>
    <row r="286" spans="1:43"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row>
    <row r="287" spans="1:43"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row>
    <row r="288" spans="1:43"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row>
    <row r="289" spans="1:43"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row>
    <row r="290" spans="1:43"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row>
    <row r="291" spans="1:43"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row>
    <row r="292" spans="1:43"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row>
    <row r="293" spans="1:43"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row>
    <row r="294" spans="1:43"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row>
    <row r="295" spans="1:43"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row>
    <row r="296" spans="1:43"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row>
    <row r="297" spans="1:43"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row>
    <row r="298" spans="1:43"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row>
    <row r="299" spans="1:43"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row>
    <row r="300" spans="1:43"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row>
    <row r="301" spans="1:43"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row>
    <row r="302" spans="1:43"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row>
    <row r="303" spans="1:43"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row>
    <row r="304" spans="1:43"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row>
    <row r="305" spans="1:43"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row>
    <row r="306" spans="1:43"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row>
    <row r="307" spans="1:43"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row>
    <row r="308" spans="1:43"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row>
    <row r="309" spans="1:43"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row>
    <row r="310" spans="1:43"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row>
    <row r="311" spans="1:43"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row>
    <row r="312" spans="1:43"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row>
    <row r="313" spans="1:43"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row>
    <row r="314" spans="1:43"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row>
    <row r="315" spans="1:43"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row>
    <row r="316" spans="1:43"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row>
    <row r="317" spans="1:43"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row>
    <row r="318" spans="1:43"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row>
    <row r="319" spans="1:43"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row>
    <row r="320" spans="1:43"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row>
    <row r="321" spans="1:43"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row>
    <row r="322" spans="1:43"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row>
    <row r="323" spans="1:43"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row>
    <row r="324" spans="1:43"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row>
    <row r="325" spans="1:43"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row>
    <row r="326" spans="1:43"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row>
    <row r="327" spans="1:43"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row>
    <row r="328" spans="1:43"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row>
    <row r="329" spans="1:43"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row>
    <row r="330" spans="1:43"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row>
    <row r="331" spans="1:43"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row>
    <row r="332" spans="1:43"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row>
    <row r="333" spans="1:43"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row>
    <row r="334" spans="1:43"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row>
  </sheetData>
  <sheetProtection algorithmName="SHA-512" hashValue="YNsz7XvIY+eBX/PyFXCSOgOKcflNZd74LRpdFMKgdfVXyGcsDxuQddT2LcO8kUDz6MOwkFOVAbQO9Mrvq5bMIw==" saltValue="3DFi4d3brpsuufPYECViDw==" spinCount="100000" sheet="1" formatColumns="0" formatRows="0"/>
  <conditionalFormatting sqref="C3">
    <cfRule type="cellIs" dxfId="0" priority="1" operator="equal">
      <formula>0</formula>
    </cfRule>
  </conditionalFormatting>
  <hyperlinks>
    <hyperlink ref="Y20" r:id="rId1" xr:uid="{00000000-0004-0000-0D00-000000000000}"/>
    <hyperlink ref="Y26" r:id="rId2" xr:uid="{00000000-0004-0000-0D00-000001000000}"/>
  </hyperlinks>
  <pageMargins left="0.7" right="0.7" top="0.75" bottom="0.75" header="0.3" footer="0.3"/>
  <pageSetup paperSize="9" scale="58" orientation="landscap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07FB7-B4EA-41CE-81BC-1096E5545BFB}">
  <sheetPr codeName="Sheet9">
    <pageSetUpPr fitToPage="1"/>
  </sheetPr>
  <dimension ref="A1:AB149"/>
  <sheetViews>
    <sheetView showGridLines="0" zoomScale="115" zoomScaleNormal="115" workbookViewId="0"/>
  </sheetViews>
  <sheetFormatPr defaultColWidth="8.875" defaultRowHeight="11.4" x14ac:dyDescent="0.2"/>
  <cols>
    <col min="1" max="1" width="4.75" customWidth="1"/>
    <col min="2" max="2" width="3.375" customWidth="1"/>
    <col min="3" max="3" width="6.125" customWidth="1"/>
    <col min="4" max="4" width="26.25" customWidth="1"/>
    <col min="5" max="5" width="29.625" customWidth="1"/>
    <col min="6" max="6" width="45.125" customWidth="1"/>
    <col min="7" max="7" width="24.125" customWidth="1"/>
    <col min="8" max="8" width="14.125" customWidth="1"/>
    <col min="9" max="9" width="17" customWidth="1"/>
    <col min="10" max="10" width="27" customWidth="1"/>
    <col min="13" max="13" width="17.125" customWidth="1"/>
    <col min="21" max="26" width="10.875" customWidth="1"/>
  </cols>
  <sheetData>
    <row r="1" spans="1:28" x14ac:dyDescent="0.2">
      <c r="A1" s="3"/>
      <c r="B1" s="3"/>
      <c r="C1" s="3"/>
      <c r="D1" s="3"/>
      <c r="E1" s="3"/>
      <c r="F1" s="3"/>
      <c r="G1" s="3"/>
      <c r="H1" s="3"/>
      <c r="I1" s="3"/>
      <c r="J1" s="3"/>
      <c r="K1" s="3"/>
      <c r="L1" s="3"/>
      <c r="M1" s="3"/>
      <c r="N1" s="3"/>
      <c r="O1" s="3"/>
      <c r="P1" s="3"/>
      <c r="Q1" s="3"/>
      <c r="R1" s="3"/>
      <c r="S1" s="3"/>
      <c r="T1" s="3"/>
      <c r="U1" s="3"/>
      <c r="V1" s="3"/>
      <c r="W1" s="3"/>
      <c r="X1" s="3"/>
      <c r="Y1" s="3"/>
      <c r="Z1" s="3"/>
    </row>
    <row r="2" spans="1:28" ht="15.6" x14ac:dyDescent="0.3">
      <c r="A2" s="3"/>
      <c r="B2" s="4" t="s">
        <v>49</v>
      </c>
      <c r="C2" s="3"/>
      <c r="D2" s="3"/>
      <c r="E2" s="1124" t="s">
        <v>50</v>
      </c>
      <c r="F2" s="1124"/>
      <c r="G2" s="1124"/>
      <c r="H2" s="3"/>
      <c r="I2" s="3"/>
      <c r="J2" s="3"/>
      <c r="K2" s="3"/>
      <c r="L2" s="3"/>
      <c r="M2" s="3"/>
      <c r="N2" s="3"/>
      <c r="O2" s="3"/>
      <c r="P2" s="3"/>
      <c r="Q2" s="3"/>
      <c r="R2" s="3"/>
      <c r="S2" s="3"/>
      <c r="T2" s="3"/>
      <c r="U2" s="3"/>
      <c r="V2" s="3"/>
      <c r="W2" s="3"/>
      <c r="X2" s="3"/>
      <c r="Y2" s="3"/>
      <c r="Z2" s="3"/>
    </row>
    <row r="3" spans="1:28" ht="20.25" customHeight="1" x14ac:dyDescent="0.3">
      <c r="A3" s="3"/>
      <c r="B3" s="4" t="s">
        <v>51</v>
      </c>
      <c r="C3" s="3"/>
      <c r="D3" s="3"/>
      <c r="E3" s="1124" t="s">
        <v>52</v>
      </c>
      <c r="F3" s="1124"/>
      <c r="G3" s="1130"/>
      <c r="H3" s="3"/>
      <c r="I3" s="3"/>
      <c r="J3" s="3"/>
      <c r="K3" s="3"/>
      <c r="L3" s="3"/>
      <c r="M3" s="3"/>
      <c r="N3" s="3"/>
      <c r="O3" s="3"/>
      <c r="P3" s="3"/>
      <c r="Q3" s="3"/>
      <c r="R3" s="3"/>
      <c r="S3" s="3"/>
      <c r="T3" s="3"/>
      <c r="U3" s="3"/>
      <c r="V3" s="3"/>
      <c r="W3" s="3"/>
      <c r="X3" s="3"/>
      <c r="Y3" s="3"/>
      <c r="Z3" s="3"/>
    </row>
    <row r="4" spans="1:28" ht="18.75" customHeight="1" x14ac:dyDescent="0.3">
      <c r="A4" s="3"/>
      <c r="B4" s="4" t="s">
        <v>53</v>
      </c>
      <c r="C4" s="3"/>
      <c r="D4" s="3"/>
      <c r="E4" s="1124"/>
      <c r="F4" s="1124"/>
      <c r="G4" s="1130"/>
      <c r="H4" s="3"/>
      <c r="I4" s="3"/>
      <c r="J4" s="3"/>
      <c r="K4" s="3"/>
      <c r="L4" s="3"/>
      <c r="M4" s="3"/>
      <c r="N4" s="3"/>
      <c r="O4" s="3"/>
      <c r="P4" s="3"/>
      <c r="Q4" s="3"/>
      <c r="R4" s="3"/>
      <c r="S4" s="3"/>
      <c r="T4" s="3"/>
      <c r="U4" s="3"/>
      <c r="V4" s="3"/>
      <c r="W4" s="3"/>
      <c r="X4" s="3"/>
      <c r="Y4" s="3"/>
      <c r="Z4" s="3"/>
    </row>
    <row r="5" spans="1:28" ht="15.6" x14ac:dyDescent="0.3">
      <c r="A5" s="3"/>
      <c r="B5" s="4"/>
      <c r="C5" s="3"/>
      <c r="D5" s="3"/>
      <c r="E5" s="1124"/>
      <c r="F5" s="1124"/>
      <c r="G5" s="1130"/>
      <c r="H5" s="1131"/>
      <c r="I5" s="1131"/>
      <c r="J5" s="3"/>
      <c r="K5" s="3"/>
      <c r="L5" s="3"/>
      <c r="M5" s="3"/>
      <c r="N5" s="3"/>
      <c r="O5" s="3"/>
      <c r="P5" s="3"/>
      <c r="Q5" s="3"/>
      <c r="R5" s="3"/>
      <c r="S5" s="3"/>
      <c r="T5" s="3"/>
      <c r="U5" s="3"/>
      <c r="V5" s="3"/>
      <c r="W5" s="3"/>
      <c r="X5" s="3"/>
      <c r="Y5" s="3"/>
      <c r="Z5" s="3"/>
    </row>
    <row r="6" spans="1:28" ht="18" customHeight="1" x14ac:dyDescent="0.3">
      <c r="A6" s="3"/>
      <c r="B6" s="4"/>
      <c r="C6" s="3"/>
      <c r="D6" s="3"/>
      <c r="E6" s="1124"/>
      <c r="F6" s="1124"/>
      <c r="G6" s="1130"/>
      <c r="H6" s="1131"/>
      <c r="I6" s="1131"/>
      <c r="J6" s="3"/>
      <c r="K6" s="3"/>
      <c r="L6" s="3"/>
      <c r="M6" s="3"/>
      <c r="N6" s="3"/>
      <c r="O6" s="3"/>
      <c r="P6" s="3"/>
      <c r="Q6" s="3"/>
      <c r="R6" s="3"/>
      <c r="S6" s="3"/>
      <c r="T6" s="3"/>
      <c r="U6" s="3"/>
      <c r="V6" s="3"/>
      <c r="W6" s="3"/>
      <c r="X6" s="3"/>
      <c r="Y6" s="3"/>
      <c r="Z6" s="3"/>
    </row>
    <row r="7" spans="1:28" ht="15.6" x14ac:dyDescent="0.3">
      <c r="A7" s="3"/>
      <c r="B7" s="4"/>
      <c r="C7" s="3"/>
      <c r="D7" s="3"/>
      <c r="E7" s="3"/>
      <c r="F7" s="3"/>
      <c r="G7" s="3"/>
      <c r="H7" s="1131"/>
      <c r="I7" s="1131"/>
      <c r="J7" s="3"/>
      <c r="K7" s="3"/>
      <c r="L7" s="3"/>
      <c r="M7" s="3"/>
      <c r="N7" s="3"/>
      <c r="O7" s="3"/>
      <c r="P7" s="3"/>
      <c r="Q7" s="3"/>
      <c r="R7" s="3"/>
      <c r="S7" s="3"/>
      <c r="T7" s="3"/>
      <c r="U7" s="3"/>
      <c r="V7" s="3"/>
      <c r="W7" s="3"/>
      <c r="X7" s="3"/>
      <c r="Y7" s="3"/>
      <c r="Z7" s="3"/>
    </row>
    <row r="8" spans="1:28" ht="15.6" x14ac:dyDescent="0.3">
      <c r="A8" s="3"/>
      <c r="B8" s="4" t="s">
        <v>54</v>
      </c>
      <c r="C8" s="3"/>
      <c r="D8" s="3"/>
      <c r="E8" s="1124" t="s">
        <v>55</v>
      </c>
      <c r="F8" s="1124"/>
      <c r="G8" s="1124"/>
      <c r="H8" s="3"/>
      <c r="I8" s="1131"/>
      <c r="J8" s="3"/>
      <c r="K8" s="3"/>
      <c r="L8" s="3"/>
      <c r="M8" s="3"/>
      <c r="N8" s="3"/>
      <c r="O8" s="3"/>
      <c r="P8" s="3"/>
      <c r="Q8" s="3"/>
      <c r="R8" s="3"/>
      <c r="S8" s="3"/>
      <c r="T8" s="3"/>
      <c r="U8" s="3"/>
      <c r="V8" s="3"/>
      <c r="W8" s="3"/>
      <c r="X8" s="3"/>
      <c r="Y8" s="3"/>
      <c r="Z8" s="3"/>
    </row>
    <row r="9" spans="1:28" ht="31.5" customHeight="1" x14ac:dyDescent="0.3">
      <c r="A9" s="3"/>
      <c r="B9" s="4" t="s">
        <v>56</v>
      </c>
      <c r="C9" s="3"/>
      <c r="D9" s="3"/>
      <c r="E9" s="1129" t="s">
        <v>57</v>
      </c>
      <c r="F9" s="1130"/>
      <c r="G9" s="1130"/>
      <c r="H9" s="3"/>
      <c r="I9" s="3"/>
      <c r="J9" s="1116"/>
      <c r="K9" s="1116"/>
      <c r="L9" s="1116"/>
      <c r="M9" s="1116"/>
      <c r="N9" s="1116"/>
      <c r="O9" s="1116"/>
      <c r="P9" s="1116"/>
      <c r="Q9" s="1116"/>
      <c r="R9" s="1116"/>
      <c r="S9" s="1116"/>
      <c r="T9" s="1116"/>
      <c r="U9" s="1116"/>
      <c r="V9" s="1116"/>
      <c r="W9" s="1116"/>
      <c r="X9" s="1116"/>
      <c r="Y9" s="1116"/>
      <c r="Z9" s="1116"/>
      <c r="AA9" s="1115"/>
      <c r="AB9" s="1115"/>
    </row>
    <row r="10" spans="1:28" ht="27" customHeight="1" x14ac:dyDescent="0.3">
      <c r="A10" s="3"/>
      <c r="B10" s="4" t="s">
        <v>58</v>
      </c>
      <c r="C10" s="3"/>
      <c r="D10" s="3"/>
      <c r="E10" s="1129" t="s">
        <v>59</v>
      </c>
      <c r="F10" s="3"/>
      <c r="G10" s="3"/>
      <c r="H10" s="1116"/>
      <c r="I10" s="1116"/>
      <c r="J10" s="1116"/>
      <c r="K10" s="1116"/>
      <c r="L10" s="1116"/>
      <c r="M10" s="1116"/>
      <c r="N10" s="1116"/>
      <c r="O10" s="1116"/>
      <c r="P10" s="1116"/>
      <c r="Q10" s="1116"/>
      <c r="R10" s="1116"/>
      <c r="S10" s="1116"/>
      <c r="T10" s="1116"/>
      <c r="U10" s="1116"/>
      <c r="V10" s="1116"/>
      <c r="W10" s="1116"/>
      <c r="X10" s="1116"/>
      <c r="Y10" s="1116"/>
      <c r="Z10" s="1116"/>
      <c r="AA10" s="1115"/>
      <c r="AB10" s="1115"/>
    </row>
    <row r="11" spans="1:28" ht="27" customHeight="1" x14ac:dyDescent="0.25">
      <c r="A11" s="3"/>
      <c r="B11" s="1128" t="s">
        <v>60</v>
      </c>
      <c r="C11" s="3"/>
      <c r="D11" s="3"/>
      <c r="E11" s="1127"/>
      <c r="F11" s="3"/>
      <c r="G11" s="3"/>
      <c r="H11" s="1116"/>
      <c r="I11" s="1116"/>
      <c r="J11" s="1116"/>
      <c r="K11" s="1116"/>
      <c r="L11" s="1116"/>
      <c r="M11" s="1116"/>
      <c r="N11" s="1116"/>
      <c r="O11" s="1116"/>
      <c r="P11" s="1116"/>
      <c r="Q11" s="1116"/>
      <c r="R11" s="1116"/>
      <c r="S11" s="1116"/>
      <c r="T11" s="1116"/>
      <c r="U11" s="1116"/>
      <c r="V11" s="1116"/>
      <c r="W11" s="1116"/>
      <c r="X11" s="1116"/>
      <c r="Y11" s="1116"/>
      <c r="Z11" s="1116"/>
      <c r="AA11" s="1115"/>
      <c r="AB11" s="1115"/>
    </row>
    <row r="12" spans="1:28" ht="18" customHeight="1" x14ac:dyDescent="0.25">
      <c r="A12" s="3"/>
      <c r="B12" s="2"/>
      <c r="C12" s="3"/>
      <c r="D12" s="3"/>
      <c r="E12" s="3"/>
      <c r="F12" s="3"/>
      <c r="G12" s="3"/>
      <c r="H12" s="1116"/>
      <c r="I12" s="1116"/>
      <c r="J12" s="1116"/>
      <c r="K12" s="1116"/>
      <c r="L12" s="1116"/>
      <c r="M12" s="1116"/>
      <c r="N12" s="1116"/>
      <c r="O12" s="1116"/>
      <c r="P12" s="1116"/>
      <c r="Q12" s="1116"/>
      <c r="R12" s="1116"/>
      <c r="S12" s="1116"/>
      <c r="T12" s="1116"/>
      <c r="U12" s="1116"/>
      <c r="V12" s="1116"/>
      <c r="W12" s="1116"/>
      <c r="X12" s="1116"/>
      <c r="Y12" s="1116"/>
      <c r="Z12" s="1116"/>
      <c r="AA12" s="1115"/>
      <c r="AB12" s="1115"/>
    </row>
    <row r="13" spans="1:28" ht="15.6" x14ac:dyDescent="0.3">
      <c r="A13" s="3"/>
      <c r="B13" s="1114" t="s">
        <v>61</v>
      </c>
      <c r="C13" s="79"/>
      <c r="D13" s="79"/>
      <c r="E13" s="79"/>
      <c r="F13" s="79"/>
      <c r="G13" s="79"/>
      <c r="H13" s="1116"/>
      <c r="I13" s="1116"/>
      <c r="J13" s="1116"/>
      <c r="K13" s="1116"/>
      <c r="L13" s="1116"/>
      <c r="M13" s="1116"/>
      <c r="N13" s="1116"/>
      <c r="O13" s="1116"/>
      <c r="P13" s="1116"/>
      <c r="Q13" s="1116"/>
      <c r="R13" s="1116"/>
      <c r="S13" s="1116"/>
      <c r="T13" s="1116"/>
      <c r="U13" s="1116"/>
      <c r="V13" s="1116"/>
      <c r="W13" s="1116"/>
      <c r="X13" s="1116"/>
      <c r="Y13" s="1116"/>
      <c r="Z13" s="1116"/>
      <c r="AA13" s="1115"/>
      <c r="AB13" s="1115"/>
    </row>
    <row r="14" spans="1:28" s="1125" customFormat="1" ht="12" thickBot="1" x14ac:dyDescent="0.25">
      <c r="A14" s="1126"/>
      <c r="B14" s="1123" t="s">
        <v>62</v>
      </c>
      <c r="C14" s="3"/>
      <c r="D14" s="3"/>
      <c r="E14" s="3"/>
      <c r="F14" s="3"/>
      <c r="G14" s="3"/>
      <c r="H14" s="1116"/>
      <c r="I14" s="1116"/>
      <c r="J14" s="1116"/>
      <c r="K14" s="1116"/>
      <c r="L14" s="1126"/>
      <c r="M14" s="1116"/>
      <c r="N14" s="1116"/>
      <c r="O14" s="1116"/>
      <c r="P14" s="1116"/>
      <c r="Q14" s="1116"/>
      <c r="R14" s="1126"/>
      <c r="S14" s="1126"/>
      <c r="T14" s="1126"/>
      <c r="U14" s="1126"/>
      <c r="V14" s="1126"/>
      <c r="W14" s="1126"/>
      <c r="X14" s="1126"/>
      <c r="Y14" s="1126"/>
      <c r="Z14" s="1126"/>
    </row>
    <row r="15" spans="1:28" x14ac:dyDescent="0.2">
      <c r="A15" s="3"/>
      <c r="B15" s="1120" t="s">
        <v>63</v>
      </c>
      <c r="C15" s="1119"/>
      <c r="D15" s="1119"/>
      <c r="E15" s="1119"/>
      <c r="F15" s="1119"/>
      <c r="G15" s="1119"/>
      <c r="H15" s="1116"/>
      <c r="I15" s="1116"/>
      <c r="J15" s="1116"/>
      <c r="K15" s="1116"/>
      <c r="L15" s="1116"/>
      <c r="M15" s="1116"/>
      <c r="N15" s="1116"/>
      <c r="O15" s="1116"/>
      <c r="P15" s="1116"/>
      <c r="Q15" s="1116"/>
      <c r="R15" s="1116"/>
      <c r="S15" s="1116"/>
      <c r="T15" s="1116"/>
      <c r="U15" s="1116"/>
      <c r="V15" s="1116"/>
      <c r="W15" s="1116"/>
      <c r="X15" s="1116"/>
      <c r="Y15" s="1116"/>
      <c r="Z15" s="1116"/>
      <c r="AA15" s="1115"/>
      <c r="AB15" s="1115"/>
    </row>
    <row r="16" spans="1:28" x14ac:dyDescent="0.2">
      <c r="A16" s="3"/>
      <c r="B16" s="1133" t="s">
        <v>64</v>
      </c>
      <c r="C16" s="1"/>
      <c r="D16" s="1"/>
      <c r="E16" s="1"/>
      <c r="F16" s="1"/>
      <c r="G16" s="1"/>
      <c r="H16" s="1116"/>
      <c r="I16" s="1116"/>
      <c r="J16" s="1116"/>
      <c r="K16" s="1116"/>
      <c r="L16" s="1116"/>
      <c r="M16" s="1116"/>
      <c r="N16" s="1116"/>
      <c r="O16" s="1116"/>
      <c r="P16" s="1116"/>
      <c r="Q16" s="1116"/>
      <c r="R16" s="1116"/>
      <c r="S16" s="1116"/>
      <c r="T16" s="1116"/>
      <c r="U16" s="1116"/>
      <c r="V16" s="1116"/>
      <c r="W16" s="1116"/>
      <c r="X16" s="1116"/>
      <c r="Y16" s="1116"/>
      <c r="Z16" s="1116"/>
      <c r="AA16" s="1115"/>
      <c r="AB16" s="1115"/>
    </row>
    <row r="17" spans="1:28" x14ac:dyDescent="0.2">
      <c r="A17" s="3"/>
      <c r="B17" s="1133" t="s">
        <v>65</v>
      </c>
      <c r="C17" s="1"/>
      <c r="D17" s="1"/>
      <c r="E17" s="1"/>
      <c r="F17" s="1"/>
      <c r="G17" s="1"/>
      <c r="H17" s="1116"/>
      <c r="I17" s="1116"/>
      <c r="J17" s="1116"/>
      <c r="K17" s="1116"/>
      <c r="L17" s="1116"/>
      <c r="M17" s="1116"/>
      <c r="N17" s="1116"/>
      <c r="O17" s="1116"/>
      <c r="P17" s="1116"/>
      <c r="Q17" s="1116"/>
      <c r="R17" s="1116"/>
      <c r="S17" s="1116"/>
      <c r="T17" s="1116"/>
      <c r="U17" s="1116"/>
      <c r="V17" s="1116"/>
      <c r="W17" s="1116"/>
      <c r="X17" s="1116"/>
      <c r="Y17" s="1116"/>
      <c r="Z17" s="1116"/>
      <c r="AA17" s="1115"/>
      <c r="AB17" s="1115"/>
    </row>
    <row r="18" spans="1:28" ht="12" thickBot="1" x14ac:dyDescent="0.25">
      <c r="A18" s="3"/>
      <c r="B18" s="1118" t="s">
        <v>66</v>
      </c>
      <c r="C18" s="1118"/>
      <c r="D18" s="1118"/>
      <c r="E18" s="1118"/>
      <c r="F18" s="1118"/>
      <c r="G18" s="1118"/>
      <c r="H18" s="1116"/>
      <c r="I18" s="1116"/>
      <c r="J18" s="1116"/>
      <c r="K18" s="1116"/>
      <c r="L18" s="1116"/>
      <c r="M18" s="1116"/>
      <c r="N18" s="1116"/>
      <c r="O18" s="1116"/>
      <c r="P18" s="1116"/>
      <c r="Q18" s="1116"/>
      <c r="R18" s="1116"/>
      <c r="S18" s="1116"/>
      <c r="T18" s="1116"/>
      <c r="U18" s="1116"/>
      <c r="V18" s="1116"/>
      <c r="W18" s="1116"/>
      <c r="X18" s="1116"/>
      <c r="Y18" s="1116"/>
      <c r="Z18" s="1116"/>
      <c r="AA18" s="1115"/>
      <c r="AB18" s="1115"/>
    </row>
    <row r="19" spans="1:28" x14ac:dyDescent="0.2">
      <c r="A19" s="3"/>
      <c r="B19" s="3"/>
      <c r="C19" s="3"/>
      <c r="D19" s="3"/>
      <c r="E19" s="3"/>
      <c r="F19" s="3"/>
      <c r="G19" s="3"/>
      <c r="H19" s="1116"/>
      <c r="I19" s="1116"/>
      <c r="J19" s="1116"/>
      <c r="K19" s="1116"/>
      <c r="L19" s="1116"/>
      <c r="M19" s="1116"/>
      <c r="N19" s="1116"/>
      <c r="O19" s="1116"/>
      <c r="P19" s="1116"/>
      <c r="Q19" s="1116"/>
      <c r="R19" s="1116"/>
      <c r="S19" s="1116"/>
      <c r="T19" s="1116"/>
      <c r="U19" s="1116"/>
      <c r="V19" s="1116"/>
      <c r="W19" s="1116"/>
      <c r="X19" s="1116"/>
      <c r="Y19" s="1116"/>
      <c r="Z19" s="1116"/>
      <c r="AA19" s="1115"/>
      <c r="AB19" s="1115"/>
    </row>
    <row r="20" spans="1:28" x14ac:dyDescent="0.2">
      <c r="A20" s="3"/>
      <c r="B20" s="3"/>
      <c r="C20" s="3"/>
      <c r="D20" s="3"/>
      <c r="E20" s="3"/>
      <c r="F20" s="3"/>
      <c r="G20" s="3"/>
      <c r="H20" s="1116"/>
      <c r="I20" s="1116"/>
      <c r="J20" s="1116"/>
      <c r="K20" s="1116"/>
      <c r="L20" s="1116"/>
      <c r="M20" s="1116"/>
      <c r="N20" s="1116"/>
      <c r="O20" s="1116"/>
      <c r="P20" s="1116"/>
      <c r="Q20" s="1116"/>
      <c r="R20" s="1116"/>
      <c r="S20" s="1116"/>
      <c r="T20" s="1116"/>
      <c r="U20" s="1116"/>
      <c r="V20" s="1116"/>
      <c r="W20" s="1116"/>
      <c r="X20" s="1116"/>
      <c r="Y20" s="1116"/>
      <c r="Z20" s="1116"/>
      <c r="AA20" s="1115"/>
      <c r="AB20" s="1115"/>
    </row>
    <row r="21" spans="1:28" ht="15.6" x14ac:dyDescent="0.3">
      <c r="A21" s="3"/>
      <c r="B21" s="1114" t="s">
        <v>67</v>
      </c>
      <c r="C21" s="79"/>
      <c r="D21" s="79"/>
      <c r="E21" s="79"/>
      <c r="F21" s="79"/>
      <c r="G21" s="79"/>
      <c r="H21" s="1116"/>
      <c r="I21" s="1116"/>
      <c r="J21" s="1116"/>
      <c r="K21" s="1116"/>
      <c r="L21" s="1116"/>
      <c r="M21" s="1116"/>
      <c r="N21" s="1116"/>
      <c r="O21" s="1116"/>
      <c r="P21" s="1116"/>
      <c r="Q21" s="1116"/>
      <c r="R21" s="1116"/>
      <c r="S21" s="1116"/>
      <c r="T21" s="1116"/>
      <c r="U21" s="1116"/>
      <c r="V21" s="1116"/>
      <c r="W21" s="1116"/>
      <c r="X21" s="1116"/>
      <c r="Y21" s="1116"/>
      <c r="Z21" s="1116"/>
      <c r="AA21" s="1115"/>
      <c r="AB21" s="1115"/>
    </row>
    <row r="22" spans="1:28" x14ac:dyDescent="0.2">
      <c r="A22" s="3"/>
      <c r="B22" s="1123" t="s">
        <v>68</v>
      </c>
      <c r="C22" s="3"/>
      <c r="D22" s="3"/>
      <c r="E22" s="3"/>
      <c r="F22" s="3"/>
      <c r="G22" s="3"/>
      <c r="H22" s="1116"/>
      <c r="I22" s="1116"/>
      <c r="J22" s="1116"/>
      <c r="K22" s="1116"/>
      <c r="L22" s="1116"/>
      <c r="M22" s="1116"/>
      <c r="N22" s="1116"/>
      <c r="O22" s="1116"/>
      <c r="P22" s="1116"/>
      <c r="Q22" s="1116"/>
      <c r="R22" s="1116"/>
      <c r="S22" s="1116"/>
      <c r="T22" s="1116"/>
      <c r="U22" s="1116"/>
      <c r="V22" s="1116"/>
      <c r="W22" s="1116"/>
      <c r="X22" s="1116"/>
      <c r="Y22" s="1116"/>
      <c r="Z22" s="1116"/>
      <c r="AA22" s="1115"/>
      <c r="AB22" s="1115"/>
    </row>
    <row r="23" spans="1:28" x14ac:dyDescent="0.2">
      <c r="A23" s="3"/>
      <c r="B23" s="3"/>
      <c r="C23" s="3"/>
      <c r="D23" s="3"/>
      <c r="E23" s="3"/>
      <c r="F23" s="3"/>
      <c r="G23" s="3"/>
      <c r="H23" s="1116"/>
      <c r="I23" s="1116"/>
      <c r="J23" s="1116"/>
      <c r="K23" s="1116"/>
      <c r="L23" s="1116"/>
      <c r="M23" s="1116"/>
      <c r="N23" s="1116"/>
      <c r="O23" s="1116"/>
      <c r="P23" s="1116"/>
      <c r="Q23" s="1116"/>
      <c r="R23" s="1116"/>
      <c r="S23" s="1116"/>
      <c r="T23" s="1116"/>
      <c r="U23" s="1116"/>
      <c r="V23" s="1116"/>
      <c r="W23" s="1116"/>
      <c r="X23" s="1116"/>
      <c r="Y23" s="1116"/>
      <c r="Z23" s="1116"/>
      <c r="AA23" s="1115"/>
      <c r="AB23" s="1115"/>
    </row>
    <row r="24" spans="1:28" ht="12" x14ac:dyDescent="0.25">
      <c r="A24" s="3"/>
      <c r="B24" s="2" t="s">
        <v>69</v>
      </c>
      <c r="C24" s="3"/>
      <c r="D24" s="3"/>
      <c r="F24" s="112"/>
      <c r="G24" s="3"/>
      <c r="H24" s="1116"/>
      <c r="I24" s="1116"/>
      <c r="J24" s="1116"/>
      <c r="K24" s="1116"/>
      <c r="L24" s="1116"/>
      <c r="M24" s="1116"/>
      <c r="N24" s="1116"/>
      <c r="O24" s="1116"/>
      <c r="P24" s="1116"/>
      <c r="Q24" s="1116"/>
      <c r="R24" s="1116"/>
      <c r="S24" s="1116"/>
      <c r="T24" s="1116"/>
      <c r="U24" s="1116"/>
      <c r="V24" s="1116"/>
      <c r="W24" s="1116"/>
      <c r="X24" s="1116"/>
      <c r="Y24" s="1116"/>
      <c r="Z24" s="1116"/>
      <c r="AA24" s="1115"/>
      <c r="AB24" s="1115"/>
    </row>
    <row r="25" spans="1:28" x14ac:dyDescent="0.2">
      <c r="A25" s="3"/>
      <c r="B25" s="3"/>
      <c r="C25" s="3"/>
      <c r="D25" s="3"/>
      <c r="E25" s="3"/>
      <c r="F25" s="3"/>
      <c r="G25" s="3"/>
      <c r="H25" s="1116"/>
      <c r="I25" s="1116"/>
      <c r="J25" s="1116"/>
      <c r="K25" s="1116"/>
      <c r="L25" s="1116"/>
      <c r="M25" s="1116"/>
      <c r="N25" s="1116"/>
      <c r="O25" s="1116"/>
      <c r="P25" s="1116"/>
      <c r="Q25" s="1116"/>
      <c r="R25" s="1116"/>
      <c r="S25" s="1116"/>
      <c r="T25" s="1116"/>
      <c r="U25" s="1116"/>
      <c r="V25" s="1116"/>
      <c r="W25" s="1116"/>
      <c r="X25" s="1116"/>
      <c r="Y25" s="1116"/>
      <c r="Z25" s="1116"/>
      <c r="AA25" s="1115"/>
      <c r="AB25" s="1115"/>
    </row>
    <row r="26" spans="1:28" ht="10.5" customHeight="1" x14ac:dyDescent="0.2">
      <c r="A26" s="3"/>
      <c r="B26" s="3"/>
      <c r="C26" s="3"/>
      <c r="D26" s="3"/>
      <c r="E26" s="3"/>
      <c r="F26" s="3"/>
      <c r="G26" s="3"/>
      <c r="H26" s="1116"/>
      <c r="I26" s="1116"/>
      <c r="J26" s="1116"/>
      <c r="K26" s="1116"/>
      <c r="L26" s="1116"/>
      <c r="M26" s="1116"/>
      <c r="N26" s="1116"/>
      <c r="O26" s="1116"/>
      <c r="P26" s="1116"/>
      <c r="Q26" s="1116"/>
      <c r="R26" s="1116"/>
      <c r="S26" s="1116"/>
      <c r="T26" s="1116"/>
      <c r="U26" s="1116"/>
      <c r="V26" s="1116"/>
      <c r="W26" s="1116"/>
      <c r="X26" s="1116"/>
      <c r="Y26" s="1116"/>
      <c r="Z26" s="1116"/>
      <c r="AA26" s="1115"/>
      <c r="AB26" s="1115"/>
    </row>
    <row r="27" spans="1:28" x14ac:dyDescent="0.2">
      <c r="A27" s="3"/>
      <c r="B27" s="3"/>
      <c r="C27" s="3"/>
      <c r="D27" s="3"/>
      <c r="E27" s="3"/>
      <c r="F27" s="3"/>
      <c r="G27" s="3"/>
      <c r="H27" s="1116"/>
      <c r="I27" s="1116"/>
      <c r="J27" s="1116"/>
      <c r="K27" s="1116"/>
      <c r="L27" s="1116"/>
      <c r="M27" s="1116"/>
      <c r="N27" s="1116"/>
      <c r="O27" s="1116"/>
      <c r="P27" s="1116"/>
      <c r="Q27" s="1116"/>
      <c r="R27" s="1116"/>
      <c r="S27" s="1116"/>
      <c r="T27" s="1116"/>
      <c r="U27" s="1116"/>
      <c r="V27" s="1116"/>
      <c r="W27" s="1116"/>
      <c r="X27" s="1116"/>
      <c r="Y27" s="1116"/>
      <c r="Z27" s="1116"/>
      <c r="AA27" s="1115"/>
      <c r="AB27" s="1115"/>
    </row>
    <row r="28" spans="1:28" x14ac:dyDescent="0.2">
      <c r="A28" s="3"/>
      <c r="B28" s="3"/>
      <c r="C28" s="3"/>
      <c r="D28" s="3"/>
      <c r="E28" s="3"/>
      <c r="F28" s="3"/>
      <c r="G28" s="3"/>
      <c r="H28" s="1116"/>
      <c r="I28" s="1116"/>
      <c r="J28" s="1116"/>
      <c r="K28" s="1116"/>
      <c r="L28" s="1116"/>
      <c r="M28" s="1116"/>
      <c r="N28" s="1116"/>
      <c r="O28" s="1116"/>
      <c r="P28" s="1116"/>
      <c r="Q28" s="1116"/>
      <c r="R28" s="1116"/>
      <c r="S28" s="1116"/>
      <c r="T28" s="1116"/>
      <c r="U28" s="1116"/>
      <c r="V28" s="1116"/>
      <c r="W28" s="1116"/>
      <c r="X28" s="1116"/>
      <c r="Y28" s="1116"/>
      <c r="Z28" s="1116"/>
      <c r="AA28" s="1115"/>
      <c r="AB28" s="1115"/>
    </row>
    <row r="29" spans="1:28" x14ac:dyDescent="0.2">
      <c r="A29" s="3"/>
      <c r="B29" s="3"/>
      <c r="C29" s="3"/>
      <c r="D29" s="3"/>
      <c r="E29" s="3"/>
      <c r="F29" s="3"/>
      <c r="G29" s="3"/>
      <c r="H29" s="1116"/>
      <c r="I29" s="1116"/>
      <c r="J29" s="1116"/>
      <c r="K29" s="1116"/>
      <c r="L29" s="1116"/>
      <c r="M29" s="1116"/>
      <c r="N29" s="1116"/>
      <c r="O29" s="1116"/>
      <c r="P29" s="1116"/>
      <c r="Q29" s="1116"/>
      <c r="R29" s="1116"/>
      <c r="S29" s="1116"/>
      <c r="T29" s="1116"/>
      <c r="U29" s="1116"/>
      <c r="V29" s="1116"/>
      <c r="W29" s="1116"/>
      <c r="X29" s="1116"/>
      <c r="Y29" s="1116"/>
      <c r="Z29" s="1116"/>
      <c r="AA29" s="1115"/>
      <c r="AB29" s="1115"/>
    </row>
    <row r="30" spans="1:28" x14ac:dyDescent="0.2">
      <c r="A30" s="3"/>
      <c r="B30" s="3"/>
      <c r="C30" s="3"/>
      <c r="D30" s="3"/>
      <c r="E30" s="3"/>
      <c r="F30" s="3"/>
      <c r="G30" s="3"/>
      <c r="H30" s="1116"/>
      <c r="I30" s="1116"/>
      <c r="J30" s="1116"/>
      <c r="K30" s="1116"/>
      <c r="L30" s="1116"/>
      <c r="M30" s="1116"/>
      <c r="N30" s="1116"/>
      <c r="O30" s="1116"/>
      <c r="P30" s="1116"/>
      <c r="Q30" s="1116"/>
      <c r="R30" s="1116"/>
      <c r="S30" s="1116"/>
      <c r="T30" s="1116"/>
      <c r="U30" s="1116"/>
      <c r="V30" s="1116"/>
      <c r="W30" s="1116"/>
      <c r="X30" s="1116"/>
      <c r="Y30" s="1116"/>
      <c r="Z30" s="1116"/>
      <c r="AA30" s="1115"/>
      <c r="AB30" s="1115"/>
    </row>
    <row r="31" spans="1:28" x14ac:dyDescent="0.2">
      <c r="A31" s="3"/>
      <c r="B31" s="3"/>
      <c r="C31" s="3"/>
      <c r="D31" s="3"/>
      <c r="E31" s="3"/>
      <c r="F31" s="3"/>
      <c r="G31" s="3"/>
      <c r="H31" s="1116"/>
      <c r="I31" s="1116"/>
      <c r="J31" s="1116"/>
      <c r="K31" s="1116"/>
      <c r="L31" s="1116"/>
      <c r="M31" s="1116"/>
      <c r="N31" s="1116"/>
      <c r="O31" s="1116"/>
      <c r="P31" s="1116"/>
      <c r="Q31" s="1116"/>
      <c r="R31" s="1116"/>
      <c r="S31" s="1116"/>
      <c r="T31" s="1116"/>
      <c r="U31" s="1116"/>
      <c r="V31" s="1116"/>
      <c r="W31" s="1116"/>
      <c r="X31" s="1116"/>
      <c r="Y31" s="1116"/>
      <c r="Z31" s="1116"/>
      <c r="AA31" s="1115"/>
      <c r="AB31" s="1115"/>
    </row>
    <row r="32" spans="1:28" x14ac:dyDescent="0.2">
      <c r="A32" s="3"/>
      <c r="B32" s="3"/>
      <c r="C32" s="3"/>
      <c r="D32" s="3"/>
      <c r="E32" s="3"/>
      <c r="F32" s="3"/>
      <c r="G32" s="3"/>
      <c r="H32" s="1116"/>
      <c r="I32" s="1116"/>
      <c r="J32" s="1116"/>
      <c r="K32" s="1116"/>
      <c r="L32" s="1116"/>
      <c r="M32" s="1116"/>
      <c r="N32" s="1116"/>
      <c r="O32" s="1116"/>
      <c r="P32" s="1116"/>
      <c r="Q32" s="1116"/>
      <c r="R32" s="1116"/>
      <c r="S32" s="1116"/>
      <c r="T32" s="1116"/>
      <c r="U32" s="1116"/>
      <c r="V32" s="1116"/>
      <c r="W32" s="1116"/>
      <c r="X32" s="1116"/>
      <c r="Y32" s="1116"/>
      <c r="Z32" s="1116"/>
      <c r="AA32" s="1115"/>
      <c r="AB32" s="1115"/>
    </row>
    <row r="33" spans="1:28" x14ac:dyDescent="0.2">
      <c r="A33" s="3"/>
      <c r="B33" s="3"/>
      <c r="C33" s="3"/>
      <c r="D33" s="3"/>
      <c r="E33" s="1124"/>
      <c r="F33" s="1124"/>
      <c r="G33" s="1124"/>
      <c r="H33" s="1116"/>
      <c r="I33" s="1116"/>
      <c r="J33" s="1116"/>
      <c r="K33" s="1116"/>
      <c r="L33" s="1116"/>
      <c r="M33" s="1116"/>
      <c r="N33" s="1116"/>
      <c r="O33" s="1116"/>
      <c r="P33" s="1116"/>
      <c r="Q33" s="1116"/>
      <c r="R33" s="1116"/>
      <c r="S33" s="1116"/>
      <c r="T33" s="1116"/>
      <c r="U33" s="1116"/>
      <c r="V33" s="1116"/>
      <c r="W33" s="1116"/>
      <c r="X33" s="1116"/>
      <c r="Y33" s="1116"/>
      <c r="Z33" s="1116"/>
      <c r="AA33" s="1115"/>
      <c r="AB33" s="1115"/>
    </row>
    <row r="34" spans="1:28" x14ac:dyDescent="0.2">
      <c r="A34" s="3"/>
      <c r="B34" s="3"/>
      <c r="C34" s="3"/>
      <c r="D34" s="3"/>
      <c r="E34" s="3"/>
      <c r="F34" s="3"/>
      <c r="G34" s="3"/>
      <c r="H34" s="1116"/>
      <c r="I34" s="1116"/>
      <c r="J34" s="1116"/>
      <c r="K34" s="1116"/>
      <c r="L34" s="1116"/>
      <c r="M34" s="1116"/>
      <c r="N34" s="1116"/>
      <c r="O34" s="1116"/>
      <c r="P34" s="1116"/>
      <c r="Q34" s="1116"/>
      <c r="R34" s="1116"/>
      <c r="S34" s="1116"/>
      <c r="T34" s="1116"/>
      <c r="U34" s="1116"/>
      <c r="V34" s="1116"/>
      <c r="W34" s="1116"/>
      <c r="X34" s="1116"/>
      <c r="Y34" s="1116"/>
      <c r="Z34" s="1116"/>
      <c r="AA34" s="1115"/>
      <c r="AB34" s="1115"/>
    </row>
    <row r="35" spans="1:28" x14ac:dyDescent="0.2">
      <c r="A35" s="3"/>
      <c r="B35" s="3"/>
      <c r="C35" s="3"/>
      <c r="D35" s="3"/>
      <c r="E35" s="3"/>
      <c r="F35" s="3"/>
      <c r="G35" s="3"/>
      <c r="H35" s="1116"/>
      <c r="I35" s="1116"/>
      <c r="J35" s="1116"/>
      <c r="K35" s="1116"/>
      <c r="L35" s="1116"/>
      <c r="M35" s="1116"/>
      <c r="N35" s="1116"/>
      <c r="O35" s="1116"/>
      <c r="P35" s="1116"/>
      <c r="Q35" s="1116"/>
      <c r="R35" s="1116"/>
      <c r="S35" s="1116"/>
      <c r="T35" s="1116"/>
      <c r="U35" s="1116"/>
      <c r="V35" s="1116"/>
      <c r="W35" s="1116"/>
      <c r="X35" s="1116"/>
      <c r="Y35" s="1116"/>
      <c r="Z35" s="1116"/>
      <c r="AA35" s="1115"/>
      <c r="AB35" s="1115"/>
    </row>
    <row r="36" spans="1:28" ht="12" x14ac:dyDescent="0.25">
      <c r="A36" s="3"/>
      <c r="B36" s="2" t="s">
        <v>70</v>
      </c>
      <c r="C36" s="3"/>
      <c r="D36" s="3"/>
      <c r="E36" s="3"/>
      <c r="F36" s="3"/>
      <c r="G36" s="3"/>
      <c r="H36" s="1116"/>
      <c r="I36" s="1116"/>
      <c r="J36" s="1116"/>
      <c r="K36" s="1116"/>
      <c r="L36" s="1116"/>
      <c r="M36" s="1116"/>
      <c r="N36" s="1116"/>
      <c r="O36" s="1116"/>
      <c r="P36" s="1116"/>
      <c r="Q36" s="1116"/>
      <c r="R36" s="1116"/>
      <c r="S36" s="1116"/>
      <c r="T36" s="1116"/>
      <c r="U36" s="1116"/>
      <c r="V36" s="1116"/>
      <c r="W36" s="1116"/>
      <c r="X36" s="1116"/>
      <c r="Y36" s="1116"/>
      <c r="Z36" s="1116"/>
      <c r="AA36" s="1115"/>
      <c r="AB36" s="1115"/>
    </row>
    <row r="37" spans="1:28" ht="5.25" customHeight="1" x14ac:dyDescent="0.25">
      <c r="A37" s="3"/>
      <c r="B37" s="2"/>
      <c r="C37" s="3"/>
      <c r="D37" s="3"/>
      <c r="E37" s="3"/>
      <c r="F37" s="3"/>
      <c r="G37" s="3"/>
      <c r="H37" s="1116"/>
      <c r="I37" s="1116"/>
      <c r="J37" s="1116"/>
      <c r="K37" s="1116"/>
      <c r="L37" s="1116"/>
      <c r="M37" s="1116"/>
      <c r="N37" s="1116"/>
      <c r="O37" s="1116"/>
      <c r="P37" s="1116"/>
      <c r="Q37" s="1116"/>
      <c r="R37" s="1116"/>
      <c r="S37" s="1116"/>
      <c r="T37" s="1116"/>
      <c r="U37" s="1116"/>
      <c r="V37" s="1116"/>
      <c r="W37" s="1116"/>
      <c r="X37" s="1116"/>
      <c r="Y37" s="1116"/>
      <c r="Z37" s="1116"/>
      <c r="AA37" s="1115"/>
      <c r="AB37" s="1115"/>
    </row>
    <row r="38" spans="1:28" ht="12" x14ac:dyDescent="0.25">
      <c r="A38" s="3"/>
      <c r="B38" s="2"/>
      <c r="C38" s="2" t="s">
        <v>71</v>
      </c>
      <c r="D38" s="2"/>
      <c r="F38" s="111" t="s">
        <v>72</v>
      </c>
      <c r="G38" s="3"/>
      <c r="H38" s="1116"/>
      <c r="I38" s="1116"/>
      <c r="J38" s="1116"/>
      <c r="K38" s="1116"/>
      <c r="L38" s="1116"/>
      <c r="M38" s="1116"/>
      <c r="N38" s="1116"/>
      <c r="O38" s="1116"/>
      <c r="P38" s="1116"/>
      <c r="Q38" s="1116"/>
      <c r="R38" s="1116"/>
      <c r="S38" s="1116"/>
      <c r="T38" s="1116"/>
      <c r="U38" s="1116"/>
      <c r="V38" s="1116"/>
      <c r="W38" s="1116"/>
      <c r="X38" s="1116"/>
      <c r="Y38" s="1116"/>
      <c r="Z38" s="1116"/>
      <c r="AA38" s="1115"/>
      <c r="AB38" s="1115"/>
    </row>
    <row r="39" spans="1:28" x14ac:dyDescent="0.2">
      <c r="A39" s="3"/>
      <c r="B39" s="3"/>
      <c r="C39" s="3"/>
      <c r="D39" s="3"/>
      <c r="E39" s="3"/>
      <c r="F39" s="3"/>
      <c r="G39" s="3"/>
      <c r="H39" s="1116"/>
      <c r="I39" s="1116"/>
      <c r="J39" s="1116"/>
      <c r="K39" s="1116"/>
      <c r="L39" s="1116"/>
      <c r="M39" s="1116"/>
      <c r="N39" s="1116"/>
      <c r="O39" s="1116"/>
      <c r="P39" s="1116"/>
      <c r="Q39" s="1116"/>
      <c r="R39" s="1116"/>
      <c r="S39" s="1116"/>
      <c r="T39" s="1116"/>
      <c r="U39" s="1116"/>
      <c r="V39" s="1116"/>
      <c r="W39" s="1116"/>
      <c r="X39" s="1116"/>
      <c r="Y39" s="1116"/>
      <c r="Z39" s="1116"/>
      <c r="AA39" s="1115"/>
      <c r="AB39" s="1115"/>
    </row>
    <row r="40" spans="1:28" x14ac:dyDescent="0.2">
      <c r="A40" s="3"/>
      <c r="B40" s="3"/>
      <c r="C40" s="3"/>
      <c r="D40" s="3"/>
      <c r="F40" s="3"/>
      <c r="G40" s="3"/>
      <c r="H40" s="1116"/>
      <c r="I40" s="1116"/>
      <c r="J40" s="1116"/>
      <c r="K40" s="1116"/>
      <c r="L40" s="1116"/>
      <c r="M40" s="1116"/>
      <c r="N40" s="1116"/>
      <c r="O40" s="1116"/>
      <c r="P40" s="1116"/>
      <c r="Q40" s="1116"/>
      <c r="R40" s="1116"/>
      <c r="S40" s="1116"/>
      <c r="T40" s="1116"/>
      <c r="U40" s="1116"/>
      <c r="V40" s="1116"/>
      <c r="W40" s="1116"/>
      <c r="X40" s="1116"/>
      <c r="Y40" s="1116"/>
      <c r="Z40" s="1116"/>
      <c r="AA40" s="1115"/>
      <c r="AB40" s="1115"/>
    </row>
    <row r="41" spans="1:28" x14ac:dyDescent="0.2">
      <c r="A41" s="3"/>
      <c r="B41" s="3"/>
      <c r="C41" s="3"/>
      <c r="D41" s="3"/>
      <c r="F41" s="3"/>
      <c r="G41" s="3"/>
      <c r="H41" s="1116"/>
      <c r="I41" s="1116"/>
      <c r="J41" s="1116"/>
      <c r="K41" s="1116"/>
      <c r="L41" s="1116"/>
      <c r="M41" s="1116"/>
      <c r="N41" s="1116"/>
      <c r="O41" s="1116"/>
      <c r="P41" s="1116"/>
      <c r="Q41" s="1116"/>
      <c r="R41" s="1116"/>
      <c r="S41" s="1116"/>
      <c r="T41" s="1116"/>
      <c r="U41" s="1116"/>
      <c r="V41" s="1116"/>
      <c r="W41" s="1116"/>
      <c r="X41" s="1116"/>
      <c r="Y41" s="1116"/>
      <c r="Z41" s="1116"/>
      <c r="AA41" s="1115"/>
      <c r="AB41" s="1115"/>
    </row>
    <row r="42" spans="1:28" x14ac:dyDescent="0.2">
      <c r="A42" s="3"/>
      <c r="B42" s="3"/>
      <c r="C42" s="3"/>
      <c r="D42" s="3"/>
      <c r="F42" s="3"/>
      <c r="G42" s="3"/>
      <c r="H42" s="1116"/>
      <c r="I42" s="1116"/>
      <c r="J42" s="1116"/>
      <c r="K42" s="1116"/>
      <c r="L42" s="1116"/>
      <c r="M42" s="1116"/>
      <c r="N42" s="1116"/>
      <c r="O42" s="1116"/>
      <c r="P42" s="1116"/>
      <c r="Q42" s="1116"/>
      <c r="R42" s="1116"/>
      <c r="S42" s="1116"/>
      <c r="T42" s="1116"/>
      <c r="U42" s="1116"/>
      <c r="V42" s="1116"/>
      <c r="W42" s="1116"/>
      <c r="X42" s="1116"/>
      <c r="Y42" s="1116"/>
      <c r="Z42" s="1116"/>
      <c r="AA42" s="1115"/>
      <c r="AB42" s="1115"/>
    </row>
    <row r="43" spans="1:28" x14ac:dyDescent="0.2">
      <c r="A43" s="3"/>
      <c r="B43" s="3"/>
      <c r="C43" s="3"/>
      <c r="D43" s="3"/>
      <c r="F43" s="3"/>
      <c r="G43" s="3"/>
      <c r="H43" s="1116"/>
      <c r="I43" s="1116"/>
      <c r="J43" s="1116"/>
      <c r="K43" s="1116"/>
      <c r="L43" s="1116"/>
      <c r="M43" s="1116"/>
      <c r="N43" s="1116"/>
      <c r="O43" s="1116"/>
      <c r="P43" s="1116"/>
      <c r="Q43" s="1116"/>
      <c r="R43" s="1116"/>
      <c r="S43" s="1116"/>
      <c r="T43" s="1116"/>
      <c r="U43" s="1116"/>
      <c r="V43" s="1116"/>
      <c r="W43" s="1116"/>
      <c r="X43" s="1116"/>
      <c r="Y43" s="1116"/>
      <c r="Z43" s="1116"/>
      <c r="AA43" s="1115"/>
      <c r="AB43" s="1115"/>
    </row>
    <row r="44" spans="1:28" x14ac:dyDescent="0.2">
      <c r="A44" s="3"/>
      <c r="B44" s="3"/>
      <c r="C44" s="3"/>
      <c r="D44" s="3"/>
      <c r="F44" s="3"/>
      <c r="G44" s="3"/>
      <c r="H44" s="1116"/>
      <c r="I44" s="1116"/>
      <c r="J44" s="1116"/>
      <c r="K44" s="1116"/>
      <c r="L44" s="1116"/>
      <c r="M44" s="1116"/>
      <c r="N44" s="1116"/>
      <c r="O44" s="1116"/>
      <c r="P44" s="1116"/>
      <c r="Q44" s="1116"/>
      <c r="R44" s="1116"/>
      <c r="S44" s="1116"/>
      <c r="T44" s="1116"/>
      <c r="U44" s="1116"/>
      <c r="V44" s="1116"/>
      <c r="W44" s="1116"/>
      <c r="X44" s="1116"/>
      <c r="Y44" s="1116"/>
      <c r="Z44" s="1116"/>
      <c r="AA44" s="1115"/>
      <c r="AB44" s="1115"/>
    </row>
    <row r="45" spans="1:28" x14ac:dyDescent="0.2">
      <c r="A45" s="3"/>
      <c r="B45" s="3"/>
      <c r="C45" s="3"/>
      <c r="D45" s="3"/>
      <c r="F45" s="3"/>
      <c r="G45" s="3"/>
      <c r="H45" s="1116"/>
      <c r="I45" s="1116"/>
      <c r="J45" s="1116"/>
      <c r="K45" s="1116"/>
      <c r="L45" s="1116"/>
      <c r="M45" s="1116"/>
      <c r="N45" s="1116"/>
      <c r="O45" s="1116"/>
      <c r="P45" s="1116"/>
      <c r="Q45" s="1116"/>
      <c r="R45" s="1116"/>
      <c r="S45" s="1116"/>
      <c r="T45" s="1116"/>
      <c r="U45" s="1116"/>
      <c r="V45" s="1116"/>
      <c r="W45" s="1116"/>
      <c r="X45" s="1116"/>
      <c r="Y45" s="1116"/>
      <c r="Z45" s="1116"/>
      <c r="AA45" s="1115"/>
      <c r="AB45" s="1115"/>
    </row>
    <row r="46" spans="1:28" x14ac:dyDescent="0.2">
      <c r="A46" s="3"/>
      <c r="B46" s="3"/>
      <c r="C46" s="3"/>
      <c r="D46" s="3"/>
      <c r="E46" s="3"/>
      <c r="F46" s="3"/>
      <c r="G46" s="3"/>
      <c r="H46" s="1116"/>
      <c r="I46" s="1116"/>
      <c r="J46" s="1116"/>
      <c r="K46" s="1116"/>
      <c r="L46" s="1116"/>
      <c r="M46" s="1116"/>
      <c r="N46" s="1116"/>
      <c r="O46" s="1116"/>
      <c r="P46" s="1116"/>
      <c r="Q46" s="1116"/>
      <c r="R46" s="1116"/>
      <c r="S46" s="1116"/>
      <c r="T46" s="1116"/>
      <c r="U46" s="1116"/>
      <c r="V46" s="1116"/>
      <c r="W46" s="1116"/>
      <c r="X46" s="1116"/>
      <c r="Y46" s="1116"/>
      <c r="Z46" s="1116"/>
      <c r="AA46" s="1115"/>
      <c r="AB46" s="1115"/>
    </row>
    <row r="47" spans="1:28" x14ac:dyDescent="0.2">
      <c r="A47" s="3"/>
      <c r="B47" s="3"/>
      <c r="C47" s="3"/>
      <c r="D47" s="3"/>
      <c r="E47" s="3"/>
      <c r="F47" s="3"/>
      <c r="G47" s="3"/>
      <c r="H47" s="1116"/>
      <c r="I47" s="1116"/>
      <c r="J47" s="1116"/>
      <c r="K47" s="1116"/>
      <c r="L47" s="1116"/>
      <c r="M47" s="1116"/>
      <c r="N47" s="1116"/>
      <c r="O47" s="1116"/>
      <c r="P47" s="1116"/>
      <c r="Q47" s="1116"/>
      <c r="R47" s="1116"/>
      <c r="S47" s="1116"/>
      <c r="T47" s="1116"/>
      <c r="U47" s="1116"/>
      <c r="V47" s="1116"/>
      <c r="W47" s="1116"/>
      <c r="X47" s="1116"/>
      <c r="Y47" s="1116"/>
      <c r="Z47" s="1116"/>
      <c r="AA47" s="1115"/>
      <c r="AB47" s="1115"/>
    </row>
    <row r="48" spans="1:28" x14ac:dyDescent="0.2">
      <c r="A48" s="3"/>
      <c r="B48" s="3"/>
      <c r="C48" s="3"/>
      <c r="D48" s="3"/>
      <c r="E48" s="3"/>
      <c r="F48" s="3"/>
      <c r="G48" s="3"/>
      <c r="H48" s="1116"/>
      <c r="I48" s="1116"/>
      <c r="J48" s="1116"/>
      <c r="K48" s="1116"/>
      <c r="L48" s="1116"/>
      <c r="M48" s="1116"/>
      <c r="N48" s="1116"/>
      <c r="O48" s="1116"/>
      <c r="P48" s="1116"/>
      <c r="Q48" s="1116"/>
      <c r="R48" s="1116"/>
      <c r="S48" s="1116"/>
      <c r="T48" s="1116"/>
      <c r="U48" s="1116"/>
      <c r="V48" s="1116"/>
      <c r="W48" s="1116"/>
      <c r="X48" s="1116"/>
      <c r="Y48" s="1116"/>
      <c r="Z48" s="1116"/>
      <c r="AA48" s="1115"/>
      <c r="AB48" s="1115"/>
    </row>
    <row r="49" spans="1:28" x14ac:dyDescent="0.2">
      <c r="A49" s="3"/>
      <c r="B49" s="3"/>
      <c r="C49" s="3"/>
      <c r="D49" s="3"/>
      <c r="E49" s="3"/>
      <c r="F49" s="3"/>
      <c r="G49" s="3"/>
      <c r="H49" s="1116"/>
      <c r="I49" s="1116"/>
      <c r="J49" s="1116"/>
      <c r="K49" s="1116"/>
      <c r="L49" s="1116"/>
      <c r="M49" s="1116"/>
      <c r="N49" s="1116"/>
      <c r="O49" s="1116"/>
      <c r="P49" s="1116"/>
      <c r="Q49" s="1116"/>
      <c r="R49" s="1116"/>
      <c r="S49" s="1116"/>
      <c r="T49" s="1116"/>
      <c r="U49" s="1116"/>
      <c r="V49" s="1116"/>
      <c r="W49" s="1116"/>
      <c r="X49" s="1116"/>
      <c r="Y49" s="1116"/>
      <c r="Z49" s="1116"/>
      <c r="AA49" s="1115"/>
      <c r="AB49" s="1115"/>
    </row>
    <row r="50" spans="1:28" x14ac:dyDescent="0.2">
      <c r="A50" s="3"/>
      <c r="B50" s="3"/>
      <c r="C50" s="3"/>
      <c r="D50" s="3"/>
      <c r="E50" s="3"/>
      <c r="F50" s="3"/>
      <c r="G50" s="3"/>
      <c r="H50" s="1116"/>
      <c r="I50" s="1116"/>
      <c r="J50" s="1116"/>
      <c r="K50" s="1116"/>
      <c r="L50" s="1116"/>
      <c r="M50" s="1116"/>
      <c r="N50" s="1116"/>
      <c r="O50" s="1116"/>
      <c r="P50" s="1116"/>
      <c r="Q50" s="1116"/>
      <c r="R50" s="1116"/>
      <c r="S50" s="1116"/>
      <c r="T50" s="1116"/>
      <c r="U50" s="1116"/>
      <c r="V50" s="1116"/>
      <c r="W50" s="1116"/>
      <c r="X50" s="1116"/>
      <c r="Y50" s="1116"/>
      <c r="Z50" s="1116"/>
      <c r="AA50" s="1115"/>
      <c r="AB50" s="1115"/>
    </row>
    <row r="51" spans="1:28" x14ac:dyDescent="0.2">
      <c r="A51" s="3"/>
      <c r="B51" s="3"/>
      <c r="C51" s="3"/>
      <c r="D51" s="3"/>
      <c r="E51" s="3"/>
      <c r="F51" s="3"/>
      <c r="G51" s="3"/>
      <c r="H51" s="1116"/>
      <c r="I51" s="1116"/>
      <c r="J51" s="1116"/>
      <c r="K51" s="1116"/>
      <c r="L51" s="1116"/>
      <c r="M51" s="1116"/>
      <c r="N51" s="1116"/>
      <c r="O51" s="1116"/>
      <c r="P51" s="1116"/>
      <c r="Q51" s="1116"/>
      <c r="R51" s="1116"/>
      <c r="S51" s="1116"/>
      <c r="T51" s="1116"/>
      <c r="U51" s="1116"/>
      <c r="V51" s="1116"/>
      <c r="W51" s="1116"/>
      <c r="X51" s="1116"/>
      <c r="Y51" s="1116"/>
      <c r="Z51" s="1116"/>
      <c r="AA51" s="1115"/>
      <c r="AB51" s="1115"/>
    </row>
    <row r="52" spans="1:28" x14ac:dyDescent="0.2">
      <c r="A52" s="3"/>
      <c r="B52" s="3" t="s">
        <v>73</v>
      </c>
      <c r="C52" s="3"/>
      <c r="D52" s="3"/>
      <c r="E52" s="3"/>
      <c r="F52" s="3"/>
      <c r="G52" s="3"/>
      <c r="H52" s="1116"/>
      <c r="I52" s="1116"/>
      <c r="J52" s="1116"/>
      <c r="K52" s="1116"/>
      <c r="L52" s="1116"/>
      <c r="M52" s="1116"/>
      <c r="N52" s="1116"/>
      <c r="O52" s="1116"/>
      <c r="P52" s="1116"/>
      <c r="Q52" s="1116"/>
      <c r="R52" s="1116"/>
      <c r="S52" s="1116"/>
      <c r="T52" s="1116"/>
      <c r="U52" s="1116"/>
      <c r="V52" s="1116"/>
      <c r="W52" s="1116"/>
      <c r="X52" s="1116"/>
      <c r="Y52" s="1116"/>
      <c r="Z52" s="1116"/>
      <c r="AA52" s="1115"/>
      <c r="AB52" s="1115"/>
    </row>
    <row r="53" spans="1:28" x14ac:dyDescent="0.2">
      <c r="A53" s="3"/>
      <c r="B53" s="3"/>
      <c r="C53" s="3"/>
      <c r="D53" s="3"/>
      <c r="E53" s="3"/>
      <c r="F53" s="3"/>
      <c r="G53" s="3"/>
      <c r="H53" s="1116"/>
      <c r="I53" s="1116"/>
      <c r="J53" s="1116"/>
      <c r="K53" s="1116"/>
      <c r="L53" s="1116"/>
      <c r="M53" s="1116"/>
      <c r="N53" s="1116"/>
      <c r="O53" s="1116"/>
      <c r="P53" s="1116"/>
      <c r="Q53" s="1116"/>
      <c r="R53" s="1116"/>
      <c r="S53" s="1116"/>
      <c r="T53" s="1116"/>
      <c r="U53" s="1116"/>
      <c r="V53" s="1116"/>
      <c r="W53" s="1116"/>
      <c r="X53" s="1116"/>
      <c r="Y53" s="1116"/>
      <c r="Z53" s="1116"/>
      <c r="AA53" s="1115"/>
      <c r="AB53" s="1115"/>
    </row>
    <row r="54" spans="1:28" x14ac:dyDescent="0.2">
      <c r="A54" s="3"/>
      <c r="B54" s="3"/>
      <c r="C54" s="3"/>
      <c r="D54" s="3"/>
      <c r="E54" s="3"/>
      <c r="F54" s="3"/>
      <c r="G54" s="3"/>
      <c r="H54" s="1116"/>
      <c r="I54" s="1116"/>
      <c r="J54" s="1116"/>
      <c r="K54" s="1116"/>
      <c r="L54" s="1116"/>
      <c r="M54" s="1116"/>
      <c r="N54" s="1116"/>
      <c r="O54" s="1116"/>
      <c r="P54" s="1116"/>
      <c r="Q54" s="1116"/>
      <c r="R54" s="1116"/>
      <c r="S54" s="1116"/>
      <c r="T54" s="1116"/>
      <c r="U54" s="1116"/>
      <c r="V54" s="1116"/>
      <c r="W54" s="1116"/>
      <c r="X54" s="1116"/>
      <c r="Y54" s="1116"/>
      <c r="Z54" s="1116"/>
      <c r="AA54" s="1115"/>
      <c r="AB54" s="1115"/>
    </row>
    <row r="55" spans="1:28" ht="12" x14ac:dyDescent="0.25">
      <c r="A55" s="3"/>
      <c r="B55" s="2" t="s">
        <v>74</v>
      </c>
      <c r="C55" s="3"/>
      <c r="D55" s="3"/>
      <c r="E55" s="3"/>
      <c r="F55" s="3"/>
      <c r="G55" s="3"/>
      <c r="H55" s="1116"/>
      <c r="I55" s="1116"/>
      <c r="J55" s="1116"/>
      <c r="K55" s="1116"/>
      <c r="L55" s="1116"/>
      <c r="M55" s="1116"/>
      <c r="N55" s="1116"/>
      <c r="O55" s="1116"/>
      <c r="P55" s="1116"/>
      <c r="Q55" s="1116"/>
      <c r="R55" s="1116"/>
      <c r="S55" s="1116"/>
      <c r="T55" s="1116"/>
      <c r="U55" s="1116"/>
      <c r="V55" s="1116"/>
      <c r="W55" s="1116"/>
      <c r="X55" s="1116"/>
      <c r="Y55" s="1116"/>
      <c r="Z55" s="1116"/>
      <c r="AA55" s="1115"/>
      <c r="AB55" s="1115"/>
    </row>
    <row r="56" spans="1:28" x14ac:dyDescent="0.2">
      <c r="A56" s="3"/>
      <c r="B56" s="1123" t="s">
        <v>75</v>
      </c>
      <c r="C56" s="1121"/>
      <c r="D56" s="1121"/>
      <c r="E56" s="1121"/>
      <c r="F56" s="1121"/>
      <c r="G56" s="1121"/>
      <c r="H56" s="1121"/>
      <c r="I56" s="1116"/>
      <c r="J56" s="1116"/>
      <c r="K56" s="1116"/>
      <c r="L56" s="3"/>
      <c r="M56" s="1116"/>
      <c r="N56" s="1116"/>
      <c r="O56" s="1116"/>
      <c r="P56" s="1116"/>
      <c r="Q56" s="1116"/>
      <c r="R56" s="1116"/>
      <c r="S56" s="1116"/>
      <c r="T56" s="1116"/>
      <c r="U56" s="1116"/>
      <c r="V56" s="1116"/>
      <c r="W56" s="1116"/>
      <c r="X56" s="1116"/>
      <c r="Y56" s="1116"/>
      <c r="Z56" s="1116"/>
      <c r="AA56" s="1115"/>
      <c r="AB56" s="1115"/>
    </row>
    <row r="57" spans="1:28" x14ac:dyDescent="0.2">
      <c r="A57" s="3"/>
      <c r="B57" s="1122" t="s">
        <v>76</v>
      </c>
      <c r="C57" s="1121"/>
      <c r="D57" s="1121"/>
      <c r="E57" s="1121"/>
      <c r="F57" s="1121"/>
      <c r="G57" s="1121"/>
      <c r="H57" s="1121"/>
      <c r="I57" s="1116"/>
      <c r="J57" s="1116"/>
      <c r="K57" s="1116"/>
      <c r="L57" s="3"/>
      <c r="M57" s="1116"/>
      <c r="N57" s="1116"/>
      <c r="O57" s="1116"/>
      <c r="P57" s="1116"/>
      <c r="Q57" s="1116"/>
      <c r="R57" s="1116"/>
      <c r="S57" s="1116"/>
      <c r="T57" s="1116"/>
      <c r="U57" s="1116"/>
      <c r="V57" s="1116"/>
      <c r="W57" s="1116"/>
      <c r="X57" s="1116"/>
      <c r="Y57" s="1116"/>
      <c r="Z57" s="1116"/>
      <c r="AA57" s="1115"/>
      <c r="AB57" s="1115"/>
    </row>
    <row r="58" spans="1:28" ht="12" thickBot="1" x14ac:dyDescent="0.25">
      <c r="A58" s="3"/>
      <c r="B58" s="1122" t="s">
        <v>77</v>
      </c>
      <c r="C58" s="1121"/>
      <c r="D58" s="1121"/>
      <c r="E58" s="1121"/>
      <c r="F58" s="1121"/>
      <c r="G58" s="1121"/>
      <c r="H58" s="1121"/>
      <c r="I58" s="1116"/>
      <c r="J58" s="1116"/>
      <c r="K58" s="1116"/>
      <c r="L58" s="3"/>
      <c r="M58" s="1116"/>
      <c r="N58" s="1116"/>
      <c r="O58" s="1116"/>
      <c r="P58" s="1116"/>
      <c r="Q58" s="1116"/>
      <c r="R58" s="1116"/>
      <c r="S58" s="1116"/>
      <c r="T58" s="1116"/>
      <c r="U58" s="1116"/>
      <c r="V58" s="1116"/>
      <c r="W58" s="1116"/>
      <c r="X58" s="1116"/>
      <c r="Y58" s="1116"/>
      <c r="Z58" s="1116"/>
      <c r="AA58" s="1115"/>
      <c r="AB58" s="1115"/>
    </row>
    <row r="59" spans="1:28" ht="12" x14ac:dyDescent="0.2">
      <c r="A59" s="3"/>
      <c r="B59" s="1132" t="s">
        <v>78</v>
      </c>
      <c r="C59" s="1119"/>
      <c r="D59" s="1119"/>
      <c r="E59" s="1119"/>
      <c r="F59" s="1119"/>
      <c r="G59" s="1119"/>
      <c r="H59" s="1116"/>
      <c r="I59" s="1116"/>
      <c r="J59" s="1116"/>
      <c r="K59" s="1116"/>
      <c r="L59" s="3"/>
      <c r="M59" s="1116"/>
      <c r="N59" s="1116"/>
      <c r="O59" s="1116"/>
      <c r="P59" s="1116"/>
      <c r="Q59" s="1116"/>
      <c r="R59" s="1116"/>
      <c r="S59" s="1116"/>
      <c r="T59" s="1116"/>
      <c r="U59" s="1116"/>
      <c r="V59" s="1116"/>
      <c r="W59" s="1116"/>
      <c r="X59" s="1116"/>
      <c r="Y59" s="1116"/>
      <c r="Z59" s="1116"/>
      <c r="AA59" s="1115"/>
      <c r="AB59" s="1115"/>
    </row>
    <row r="60" spans="1:28" ht="12" x14ac:dyDescent="0.25">
      <c r="A60" s="3"/>
      <c r="B60" s="3" t="s">
        <v>79</v>
      </c>
      <c r="C60" s="3"/>
      <c r="D60" s="3"/>
      <c r="E60" s="3"/>
      <c r="F60" s="3"/>
      <c r="G60" s="3"/>
      <c r="H60" s="1116"/>
      <c r="I60" s="1116"/>
      <c r="J60" s="3"/>
      <c r="K60" s="1116"/>
      <c r="L60" s="2"/>
      <c r="M60" s="1116"/>
      <c r="N60" s="1116"/>
      <c r="O60" s="1116"/>
      <c r="P60" s="1116"/>
      <c r="Q60" s="1116"/>
      <c r="R60" s="1116"/>
      <c r="S60" s="1116"/>
      <c r="T60" s="1116"/>
      <c r="U60" s="1116"/>
      <c r="V60" s="1116"/>
      <c r="W60" s="1116"/>
      <c r="X60" s="1116"/>
      <c r="Y60" s="1116"/>
      <c r="Z60" s="1116"/>
      <c r="AA60" s="1115"/>
      <c r="AB60" s="1115"/>
    </row>
    <row r="61" spans="1:28" ht="12" x14ac:dyDescent="0.25">
      <c r="A61" s="3"/>
      <c r="B61" s="3" t="s">
        <v>80</v>
      </c>
      <c r="C61" s="3"/>
      <c r="D61" s="3"/>
      <c r="E61" s="3"/>
      <c r="F61" s="3"/>
      <c r="G61" s="3"/>
      <c r="H61" s="1116"/>
      <c r="I61" s="3"/>
      <c r="J61" s="3"/>
      <c r="K61" s="1116"/>
      <c r="L61" s="2"/>
      <c r="M61" s="1116"/>
      <c r="N61" s="1116"/>
      <c r="O61" s="1116"/>
      <c r="P61" s="1116"/>
      <c r="Q61" s="1116"/>
      <c r="R61" s="1116"/>
      <c r="S61" s="1116"/>
      <c r="T61" s="1116"/>
      <c r="U61" s="1116"/>
      <c r="V61" s="1116"/>
      <c r="W61" s="1116"/>
      <c r="X61" s="1116"/>
      <c r="Y61" s="1116"/>
      <c r="Z61" s="1116"/>
      <c r="AA61" s="1115"/>
      <c r="AB61" s="1115"/>
    </row>
    <row r="62" spans="1:28" ht="12" x14ac:dyDescent="0.25">
      <c r="A62" s="3"/>
      <c r="B62" s="3" t="s">
        <v>81</v>
      </c>
      <c r="C62" s="3"/>
      <c r="D62" s="3"/>
      <c r="E62" s="3"/>
      <c r="F62" s="3"/>
      <c r="G62" s="3"/>
      <c r="H62" s="1116"/>
      <c r="I62" s="3"/>
      <c r="J62" s="3"/>
      <c r="K62" s="1116"/>
      <c r="L62" s="2"/>
      <c r="M62" s="1116"/>
      <c r="N62" s="1116"/>
      <c r="O62" s="1116"/>
      <c r="P62" s="1116"/>
      <c r="Q62" s="1116"/>
      <c r="R62" s="1116"/>
      <c r="S62" s="1116"/>
      <c r="T62" s="1116"/>
      <c r="U62" s="1116"/>
      <c r="V62" s="1116"/>
      <c r="W62" s="1116"/>
      <c r="X62" s="1116"/>
      <c r="Y62" s="1116"/>
      <c r="Z62" s="1116"/>
      <c r="AA62" s="1115"/>
      <c r="AB62" s="1115"/>
    </row>
    <row r="63" spans="1:28" ht="12" x14ac:dyDescent="0.25">
      <c r="A63" s="3"/>
      <c r="B63" s="3" t="s">
        <v>82</v>
      </c>
      <c r="C63" s="3"/>
      <c r="D63" s="3"/>
      <c r="E63" s="3"/>
      <c r="F63" s="3"/>
      <c r="G63" s="3"/>
      <c r="H63" s="1116"/>
      <c r="I63" s="3"/>
      <c r="J63" s="3"/>
      <c r="K63" s="1116"/>
      <c r="L63" s="2"/>
      <c r="M63" s="1116"/>
      <c r="N63" s="1116"/>
      <c r="O63" s="1116"/>
      <c r="P63" s="1116"/>
      <c r="Q63" s="1116"/>
      <c r="R63" s="1116"/>
      <c r="S63" s="1116"/>
      <c r="T63" s="1116"/>
      <c r="U63" s="1116"/>
      <c r="V63" s="1116"/>
      <c r="W63" s="1116"/>
      <c r="X63" s="1116"/>
      <c r="Y63" s="1116"/>
      <c r="Z63" s="1116"/>
      <c r="AA63" s="1115"/>
      <c r="AB63" s="1115"/>
    </row>
    <row r="64" spans="1:28" ht="12" x14ac:dyDescent="0.25">
      <c r="A64" s="3"/>
      <c r="B64" s="3" t="s">
        <v>83</v>
      </c>
      <c r="C64" s="3"/>
      <c r="D64" s="3"/>
      <c r="E64" s="3"/>
      <c r="F64" s="3"/>
      <c r="G64" s="3"/>
      <c r="H64" s="1116"/>
      <c r="I64" s="3"/>
      <c r="J64" s="3"/>
      <c r="K64" s="1116"/>
      <c r="L64" s="2"/>
      <c r="M64" s="1116"/>
      <c r="N64" s="1116"/>
      <c r="O64" s="1116"/>
      <c r="P64" s="1116"/>
      <c r="Q64" s="1116"/>
      <c r="R64" s="1116"/>
      <c r="S64" s="1116"/>
      <c r="T64" s="1116"/>
      <c r="U64" s="1116"/>
      <c r="V64" s="1116"/>
      <c r="W64" s="1116"/>
      <c r="X64" s="1116"/>
      <c r="Y64" s="1116"/>
      <c r="Z64" s="1116"/>
      <c r="AA64" s="1115"/>
      <c r="AB64" s="1115"/>
    </row>
    <row r="65" spans="1:28" ht="12" x14ac:dyDescent="0.25">
      <c r="A65" s="3"/>
      <c r="B65" s="3"/>
      <c r="C65" s="3"/>
      <c r="D65" s="3"/>
      <c r="E65" s="3"/>
      <c r="F65" s="3"/>
      <c r="G65" s="3"/>
      <c r="H65" s="1116"/>
      <c r="I65" s="3"/>
      <c r="J65" s="3"/>
      <c r="K65" s="1116"/>
      <c r="L65" s="2"/>
      <c r="M65" s="1116"/>
      <c r="N65" s="1116"/>
      <c r="O65" s="1116"/>
      <c r="P65" s="1116"/>
      <c r="Q65" s="1116"/>
      <c r="R65" s="1116"/>
      <c r="S65" s="1116"/>
      <c r="T65" s="1116"/>
      <c r="U65" s="1116"/>
      <c r="V65" s="1116"/>
      <c r="W65" s="1116"/>
      <c r="X65" s="1116"/>
      <c r="Y65" s="1116"/>
      <c r="Z65" s="1116"/>
      <c r="AA65" s="1115"/>
      <c r="AB65" s="1115"/>
    </row>
    <row r="66" spans="1:28" ht="12" x14ac:dyDescent="0.25">
      <c r="A66" s="3"/>
      <c r="B66" s="2" t="s">
        <v>84</v>
      </c>
      <c r="C66" s="3"/>
      <c r="D66" s="3"/>
      <c r="E66" s="3"/>
      <c r="F66" s="3"/>
      <c r="G66" s="3"/>
      <c r="H66" s="1116"/>
      <c r="I66" s="3"/>
      <c r="J66" s="3"/>
      <c r="K66" s="1116"/>
      <c r="L66" s="2"/>
      <c r="M66" s="1116"/>
      <c r="N66" s="1116"/>
      <c r="O66" s="1116"/>
      <c r="P66" s="1116"/>
      <c r="Q66" s="1116"/>
      <c r="R66" s="1116"/>
      <c r="S66" s="1116"/>
      <c r="T66" s="1116"/>
      <c r="U66" s="1116"/>
      <c r="V66" s="1116"/>
      <c r="W66" s="1116"/>
      <c r="X66" s="1116"/>
      <c r="Y66" s="1116"/>
      <c r="Z66" s="1116"/>
      <c r="AA66" s="1115"/>
      <c r="AB66" s="1115"/>
    </row>
    <row r="67" spans="1:28" ht="12" x14ac:dyDescent="0.25">
      <c r="A67" s="3"/>
      <c r="B67" s="3" t="s">
        <v>85</v>
      </c>
      <c r="C67" s="3"/>
      <c r="D67" s="3"/>
      <c r="E67" s="3"/>
      <c r="F67" s="3"/>
      <c r="G67" s="3"/>
      <c r="H67" s="1116"/>
      <c r="I67" s="3"/>
      <c r="J67" s="3"/>
      <c r="K67" s="1116"/>
      <c r="L67" s="2"/>
      <c r="M67" s="1116"/>
      <c r="N67" s="1116"/>
      <c r="O67" s="1116"/>
      <c r="P67" s="1116"/>
      <c r="Q67" s="1116"/>
      <c r="R67" s="1116"/>
      <c r="S67" s="1116"/>
      <c r="T67" s="1116"/>
      <c r="U67" s="1116"/>
      <c r="V67" s="1116"/>
      <c r="W67" s="1116"/>
      <c r="X67" s="1116"/>
      <c r="Y67" s="1116"/>
      <c r="Z67" s="1116"/>
      <c r="AA67" s="1115"/>
      <c r="AB67" s="1115"/>
    </row>
    <row r="68" spans="1:28" ht="12" x14ac:dyDescent="0.25">
      <c r="A68" s="3"/>
      <c r="B68" s="3"/>
      <c r="C68" s="3"/>
      <c r="D68" s="3"/>
      <c r="E68" s="3"/>
      <c r="F68" s="3"/>
      <c r="G68" s="3"/>
      <c r="H68" s="1116"/>
      <c r="I68" s="3"/>
      <c r="J68" s="3"/>
      <c r="K68" s="1116"/>
      <c r="L68" s="2"/>
      <c r="M68" s="1116"/>
      <c r="N68" s="1116"/>
      <c r="O68" s="1116"/>
      <c r="P68" s="1116"/>
      <c r="Q68" s="1116"/>
      <c r="R68" s="1116"/>
      <c r="S68" s="1116"/>
      <c r="T68" s="1116"/>
      <c r="U68" s="1116"/>
      <c r="V68" s="1116"/>
      <c r="W68" s="1116"/>
      <c r="X68" s="1116"/>
      <c r="Y68" s="1116"/>
      <c r="Z68" s="1116"/>
      <c r="AA68" s="1115"/>
      <c r="AB68" s="1115"/>
    </row>
    <row r="69" spans="1:28" ht="12" x14ac:dyDescent="0.25">
      <c r="A69" s="3"/>
      <c r="B69" s="2" t="s">
        <v>86</v>
      </c>
      <c r="C69" s="3"/>
      <c r="D69" s="3"/>
      <c r="E69" s="3"/>
      <c r="F69" s="3"/>
      <c r="G69" s="3"/>
      <c r="H69" s="1116"/>
      <c r="I69" s="3"/>
      <c r="J69" s="3"/>
      <c r="K69" s="1116"/>
      <c r="L69" s="2"/>
      <c r="M69" s="1116"/>
      <c r="N69" s="1116"/>
      <c r="O69" s="1116"/>
      <c r="P69" s="1116"/>
      <c r="Q69" s="1116"/>
      <c r="R69" s="1116"/>
      <c r="S69" s="1116"/>
      <c r="T69" s="1116"/>
      <c r="U69" s="1116"/>
      <c r="V69" s="1116"/>
      <c r="W69" s="1116"/>
      <c r="X69" s="1116"/>
      <c r="Y69" s="1116"/>
      <c r="Z69" s="1116"/>
      <c r="AA69" s="1115"/>
      <c r="AB69" s="1115"/>
    </row>
    <row r="70" spans="1:28" ht="12" x14ac:dyDescent="0.25">
      <c r="A70" s="3"/>
      <c r="B70" s="3" t="s">
        <v>85</v>
      </c>
      <c r="C70" s="3"/>
      <c r="D70" s="3"/>
      <c r="E70" s="3"/>
      <c r="F70" s="3"/>
      <c r="G70" s="3"/>
      <c r="H70" s="1116"/>
      <c r="I70" s="3"/>
      <c r="J70" s="3"/>
      <c r="K70" s="1116"/>
      <c r="L70" s="2"/>
      <c r="M70" s="1116"/>
      <c r="N70" s="1116"/>
      <c r="O70" s="1116"/>
      <c r="P70" s="1116"/>
      <c r="Q70" s="1116"/>
      <c r="R70" s="1116"/>
      <c r="S70" s="1116"/>
      <c r="T70" s="1116"/>
      <c r="U70" s="1116"/>
      <c r="V70" s="1116"/>
      <c r="W70" s="1116"/>
      <c r="X70" s="1116"/>
      <c r="Y70" s="1116"/>
      <c r="Z70" s="1116"/>
      <c r="AA70" s="1115"/>
      <c r="AB70" s="1115"/>
    </row>
    <row r="71" spans="1:28" ht="12" x14ac:dyDescent="0.25">
      <c r="A71" s="3"/>
      <c r="B71" s="3" t="s">
        <v>87</v>
      </c>
      <c r="C71" s="3"/>
      <c r="D71" s="3"/>
      <c r="E71" s="3"/>
      <c r="F71" s="3"/>
      <c r="G71" s="3"/>
      <c r="H71" s="1116"/>
      <c r="I71" s="3"/>
      <c r="J71" s="3"/>
      <c r="K71" s="1116"/>
      <c r="L71" s="2"/>
      <c r="M71" s="1116"/>
      <c r="N71" s="1116"/>
      <c r="O71" s="1116"/>
      <c r="P71" s="1116"/>
      <c r="Q71" s="1116"/>
      <c r="R71" s="1116"/>
      <c r="S71" s="1116"/>
      <c r="T71" s="1116"/>
      <c r="U71" s="1116"/>
      <c r="V71" s="1116"/>
      <c r="W71" s="1116"/>
      <c r="X71" s="1116"/>
      <c r="Y71" s="1116"/>
      <c r="Z71" s="1116"/>
      <c r="AA71" s="1115"/>
      <c r="AB71" s="1115"/>
    </row>
    <row r="72" spans="1:28" ht="12" x14ac:dyDescent="0.25">
      <c r="A72" s="3"/>
      <c r="B72" s="3"/>
      <c r="C72" s="3"/>
      <c r="D72" s="3"/>
      <c r="E72" s="3"/>
      <c r="F72" s="3"/>
      <c r="G72" s="3"/>
      <c r="H72" s="1116"/>
      <c r="I72" s="3"/>
      <c r="J72" s="3"/>
      <c r="K72" s="1116"/>
      <c r="L72" s="2"/>
      <c r="M72" s="1116"/>
      <c r="N72" s="1116"/>
      <c r="O72" s="1116"/>
      <c r="P72" s="1116"/>
      <c r="Q72" s="1116"/>
      <c r="R72" s="1116"/>
      <c r="S72" s="1116"/>
      <c r="T72" s="1116"/>
      <c r="U72" s="1116"/>
      <c r="V72" s="1116"/>
      <c r="W72" s="1116"/>
      <c r="X72" s="1116"/>
      <c r="Y72" s="1116"/>
      <c r="Z72" s="1116"/>
      <c r="AA72" s="1115"/>
      <c r="AB72" s="1115"/>
    </row>
    <row r="73" spans="1:28" ht="12" x14ac:dyDescent="0.25">
      <c r="A73" s="3"/>
      <c r="B73" s="2" t="s">
        <v>88</v>
      </c>
      <c r="C73" s="3"/>
      <c r="D73" s="3"/>
      <c r="E73" s="3"/>
      <c r="F73" s="3"/>
      <c r="G73" s="3"/>
      <c r="H73" s="1116"/>
      <c r="I73" s="3"/>
      <c r="J73" s="3"/>
      <c r="K73" s="1116"/>
      <c r="L73" s="2"/>
      <c r="M73" s="1116"/>
      <c r="N73" s="1116"/>
      <c r="O73" s="1116"/>
      <c r="P73" s="1116"/>
      <c r="Q73" s="1116"/>
      <c r="R73" s="1116"/>
      <c r="S73" s="1116"/>
      <c r="T73" s="1116"/>
      <c r="U73" s="1116"/>
      <c r="V73" s="1116"/>
      <c r="W73" s="1116"/>
      <c r="X73" s="1116"/>
      <c r="Y73" s="1116"/>
      <c r="Z73" s="1116"/>
      <c r="AA73" s="1115"/>
      <c r="AB73" s="1115"/>
    </row>
    <row r="74" spans="1:28" ht="12" x14ac:dyDescent="0.25">
      <c r="A74" s="3"/>
      <c r="B74" s="3" t="s">
        <v>89</v>
      </c>
      <c r="C74" s="3"/>
      <c r="D74" s="3"/>
      <c r="E74" s="3"/>
      <c r="F74" s="3"/>
      <c r="G74" s="3"/>
      <c r="H74" s="1116"/>
      <c r="I74" s="3"/>
      <c r="J74" s="3"/>
      <c r="K74" s="1116"/>
      <c r="L74" s="2"/>
      <c r="M74" s="1116"/>
      <c r="N74" s="1116"/>
      <c r="O74" s="1116"/>
      <c r="P74" s="1116"/>
      <c r="Q74" s="1116"/>
      <c r="R74" s="1116"/>
      <c r="S74" s="1116"/>
      <c r="T74" s="1116"/>
      <c r="U74" s="1116"/>
      <c r="V74" s="1116"/>
      <c r="W74" s="1116"/>
      <c r="X74" s="1116"/>
      <c r="Y74" s="1116"/>
      <c r="Z74" s="1116"/>
      <c r="AA74" s="1115"/>
      <c r="AB74" s="1115"/>
    </row>
    <row r="75" spans="1:28" ht="12" x14ac:dyDescent="0.25">
      <c r="A75" s="3"/>
      <c r="B75" s="3"/>
      <c r="C75" s="3"/>
      <c r="D75" s="3"/>
      <c r="E75" s="3"/>
      <c r="F75" s="3"/>
      <c r="G75" s="3"/>
      <c r="H75" s="1116"/>
      <c r="I75" s="3"/>
      <c r="J75" s="3"/>
      <c r="K75" s="1116"/>
      <c r="L75" s="2"/>
      <c r="M75" s="1116"/>
      <c r="N75" s="1116"/>
      <c r="O75" s="1116"/>
      <c r="P75" s="1116"/>
      <c r="Q75" s="1116"/>
      <c r="R75" s="1116"/>
      <c r="S75" s="1116"/>
      <c r="T75" s="1116"/>
      <c r="U75" s="1116"/>
      <c r="V75" s="1116"/>
      <c r="W75" s="1116"/>
      <c r="X75" s="1116"/>
      <c r="Y75" s="1116"/>
      <c r="Z75" s="1116"/>
      <c r="AA75" s="1115"/>
      <c r="AB75" s="1115"/>
    </row>
    <row r="76" spans="1:28" ht="12" x14ac:dyDescent="0.25">
      <c r="A76" s="3"/>
      <c r="B76" s="3"/>
      <c r="C76" s="3"/>
      <c r="D76" s="3"/>
      <c r="E76" s="3"/>
      <c r="F76" s="3"/>
      <c r="G76" s="3"/>
      <c r="H76" s="1116"/>
      <c r="I76" s="3"/>
      <c r="J76" s="3"/>
      <c r="K76" s="1116"/>
      <c r="L76" s="2"/>
      <c r="M76" s="1116"/>
      <c r="N76" s="1116"/>
      <c r="O76" s="1116"/>
      <c r="P76" s="1116"/>
      <c r="Q76" s="1116"/>
      <c r="R76" s="1116"/>
      <c r="S76" s="1116"/>
      <c r="T76" s="1116"/>
      <c r="U76" s="1116"/>
      <c r="V76" s="1116"/>
      <c r="W76" s="1116"/>
      <c r="X76" s="1116"/>
      <c r="Y76" s="1116"/>
      <c r="Z76" s="1116"/>
      <c r="AA76" s="1115"/>
      <c r="AB76" s="1115"/>
    </row>
    <row r="77" spans="1:28" ht="12" x14ac:dyDescent="0.25">
      <c r="A77" s="3"/>
      <c r="B77" s="3"/>
      <c r="C77" s="3"/>
      <c r="D77" s="3"/>
      <c r="E77" s="3"/>
      <c r="F77" s="3"/>
      <c r="G77" s="3"/>
      <c r="H77" s="1116"/>
      <c r="I77" s="3"/>
      <c r="J77" s="3"/>
      <c r="K77" s="1116"/>
      <c r="L77" s="2"/>
      <c r="M77" s="1116"/>
      <c r="N77" s="1116"/>
      <c r="O77" s="1116"/>
      <c r="P77" s="1116"/>
      <c r="Q77" s="1116"/>
      <c r="R77" s="1116"/>
      <c r="S77" s="1116"/>
      <c r="T77" s="1116"/>
      <c r="U77" s="1116"/>
      <c r="V77" s="1116"/>
      <c r="W77" s="1116"/>
      <c r="X77" s="1116"/>
      <c r="Y77" s="1116"/>
      <c r="Z77" s="1116"/>
      <c r="AA77" s="1115"/>
      <c r="AB77" s="1115"/>
    </row>
    <row r="78" spans="1:28" ht="12" x14ac:dyDescent="0.25">
      <c r="A78" s="3"/>
      <c r="B78" s="3"/>
      <c r="C78" s="3"/>
      <c r="D78" s="3"/>
      <c r="E78" s="3"/>
      <c r="F78" s="3"/>
      <c r="G78" s="3"/>
      <c r="H78" s="1116"/>
      <c r="I78" s="3"/>
      <c r="J78" s="3"/>
      <c r="K78" s="1116"/>
      <c r="L78" s="2"/>
      <c r="M78" s="1116"/>
      <c r="N78" s="1116"/>
      <c r="O78" s="1116"/>
      <c r="P78" s="1116"/>
      <c r="Q78" s="1116"/>
      <c r="R78" s="1116"/>
      <c r="S78" s="1116"/>
      <c r="T78" s="1116"/>
      <c r="U78" s="1116"/>
      <c r="V78" s="1116"/>
      <c r="W78" s="1116"/>
      <c r="X78" s="1116"/>
      <c r="Y78" s="1116"/>
      <c r="Z78" s="1116"/>
      <c r="AA78" s="1115"/>
      <c r="AB78" s="1115"/>
    </row>
    <row r="79" spans="1:28" ht="12" x14ac:dyDescent="0.25">
      <c r="A79" s="3"/>
      <c r="B79" s="3"/>
      <c r="C79" s="3"/>
      <c r="D79" s="3"/>
      <c r="E79" s="3"/>
      <c r="F79" s="3"/>
      <c r="G79" s="3"/>
      <c r="H79" s="1116"/>
      <c r="I79" s="3"/>
      <c r="J79" s="3"/>
      <c r="K79" s="1116"/>
      <c r="L79" s="2"/>
      <c r="M79" s="1116"/>
      <c r="N79" s="1116"/>
      <c r="O79" s="1116"/>
      <c r="P79" s="1116"/>
      <c r="Q79" s="1116"/>
      <c r="R79" s="1116"/>
      <c r="S79" s="1116"/>
      <c r="T79" s="1116"/>
      <c r="U79" s="1116"/>
      <c r="V79" s="1116"/>
      <c r="W79" s="1116"/>
      <c r="X79" s="1116"/>
      <c r="Y79" s="1116"/>
      <c r="Z79" s="1116"/>
      <c r="AA79" s="1115"/>
      <c r="AB79" s="1115"/>
    </row>
    <row r="80" spans="1:28" ht="12" x14ac:dyDescent="0.25">
      <c r="A80" s="3"/>
      <c r="B80" s="3"/>
      <c r="C80" s="3"/>
      <c r="D80" s="3"/>
      <c r="E80" s="3"/>
      <c r="F80" s="3"/>
      <c r="G80" s="3"/>
      <c r="H80" s="1116"/>
      <c r="I80" s="3"/>
      <c r="J80" s="3"/>
      <c r="K80" s="1116"/>
      <c r="L80" s="2"/>
      <c r="M80" s="1116"/>
      <c r="N80" s="1116"/>
      <c r="O80" s="1116"/>
      <c r="P80" s="1116"/>
      <c r="Q80" s="1116"/>
      <c r="R80" s="1116"/>
      <c r="S80" s="1116"/>
      <c r="T80" s="1116"/>
      <c r="U80" s="1116"/>
      <c r="V80" s="1116"/>
      <c r="W80" s="1116"/>
      <c r="X80" s="1116"/>
      <c r="Y80" s="1116"/>
      <c r="Z80" s="1116"/>
      <c r="AA80" s="1115"/>
      <c r="AB80" s="1115"/>
    </row>
    <row r="81" spans="1:28" ht="12" x14ac:dyDescent="0.25">
      <c r="A81" s="3"/>
      <c r="B81" s="3"/>
      <c r="C81" s="3"/>
      <c r="D81" s="3"/>
      <c r="E81" s="3"/>
      <c r="F81" s="3"/>
      <c r="G81" s="3"/>
      <c r="H81" s="1116"/>
      <c r="I81" s="3"/>
      <c r="J81" s="3"/>
      <c r="K81" s="1116"/>
      <c r="L81" s="2"/>
      <c r="M81" s="1116"/>
      <c r="N81" s="1116"/>
      <c r="O81" s="1116"/>
      <c r="P81" s="1116"/>
      <c r="Q81" s="1116"/>
      <c r="R81" s="1116"/>
      <c r="S81" s="1116"/>
      <c r="T81" s="1116"/>
      <c r="U81" s="1116"/>
      <c r="V81" s="1116"/>
      <c r="W81" s="1116"/>
      <c r="X81" s="1116"/>
      <c r="Y81" s="1116"/>
      <c r="Z81" s="1116"/>
      <c r="AA81" s="1115"/>
      <c r="AB81" s="1115"/>
    </row>
    <row r="82" spans="1:28" ht="12" x14ac:dyDescent="0.25">
      <c r="A82" s="3"/>
      <c r="B82" s="3"/>
      <c r="C82" s="3"/>
      <c r="D82" s="3"/>
      <c r="E82" s="3"/>
      <c r="F82" s="3"/>
      <c r="G82" s="3"/>
      <c r="H82" s="1116"/>
      <c r="I82" s="3"/>
      <c r="J82" s="3"/>
      <c r="K82" s="1116"/>
      <c r="L82" s="2"/>
      <c r="M82" s="1116"/>
      <c r="N82" s="1116"/>
      <c r="O82" s="1116"/>
      <c r="P82" s="1116"/>
      <c r="Q82" s="1116"/>
      <c r="R82" s="1116"/>
      <c r="S82" s="1116"/>
      <c r="T82" s="1116"/>
      <c r="U82" s="1116"/>
      <c r="V82" s="1116"/>
      <c r="W82" s="1116"/>
      <c r="X82" s="1116"/>
      <c r="Y82" s="1116"/>
      <c r="Z82" s="1116"/>
      <c r="AA82" s="1115"/>
      <c r="AB82" s="1115"/>
    </row>
    <row r="83" spans="1:28" ht="12" x14ac:dyDescent="0.25">
      <c r="A83" s="3"/>
      <c r="B83" s="3"/>
      <c r="C83" s="3"/>
      <c r="D83" s="3"/>
      <c r="E83" s="3"/>
      <c r="F83" s="3"/>
      <c r="G83" s="3"/>
      <c r="H83" s="1116"/>
      <c r="I83" s="3"/>
      <c r="J83" s="3"/>
      <c r="K83" s="1116"/>
      <c r="L83" s="2"/>
      <c r="M83" s="1116"/>
      <c r="N83" s="1116"/>
      <c r="O83" s="1116"/>
      <c r="P83" s="1116"/>
      <c r="Q83" s="1116"/>
      <c r="R83" s="1116"/>
      <c r="S83" s="1116"/>
      <c r="T83" s="1116"/>
      <c r="U83" s="1116"/>
      <c r="V83" s="1116"/>
      <c r="W83" s="1116"/>
      <c r="X83" s="1116"/>
      <c r="Y83" s="1116"/>
      <c r="Z83" s="1116"/>
      <c r="AA83" s="1115"/>
      <c r="AB83" s="1115"/>
    </row>
    <row r="84" spans="1:28" ht="12" x14ac:dyDescent="0.25">
      <c r="A84" s="3"/>
      <c r="B84" s="3"/>
      <c r="C84" s="3"/>
      <c r="D84" s="3"/>
      <c r="E84" s="3"/>
      <c r="F84" s="3"/>
      <c r="G84" s="3"/>
      <c r="H84" s="1116"/>
      <c r="I84" s="3"/>
      <c r="J84" s="3"/>
      <c r="K84" s="1116"/>
      <c r="L84" s="2"/>
      <c r="M84" s="1116"/>
      <c r="N84" s="1116"/>
      <c r="O84" s="1116"/>
      <c r="P84" s="1116"/>
      <c r="Q84" s="1116"/>
      <c r="R84" s="1116"/>
      <c r="S84" s="1116"/>
      <c r="T84" s="1116"/>
      <c r="U84" s="1116"/>
      <c r="V84" s="1116"/>
      <c r="W84" s="1116"/>
      <c r="X84" s="1116"/>
      <c r="Y84" s="1116"/>
      <c r="Z84" s="1116"/>
      <c r="AA84" s="1115"/>
      <c r="AB84" s="1115"/>
    </row>
    <row r="85" spans="1:28" ht="12" x14ac:dyDescent="0.25">
      <c r="A85" s="3"/>
      <c r="B85" s="3"/>
      <c r="C85" s="3"/>
      <c r="D85" s="3"/>
      <c r="E85" s="3"/>
      <c r="F85" s="3"/>
      <c r="G85" s="3"/>
      <c r="H85" s="1116"/>
      <c r="I85" s="3"/>
      <c r="J85" s="3"/>
      <c r="K85" s="1116"/>
      <c r="L85" s="2"/>
      <c r="M85" s="1116"/>
      <c r="N85" s="1116"/>
      <c r="O85" s="1116"/>
      <c r="P85" s="1116"/>
      <c r="Q85" s="1116"/>
      <c r="R85" s="1116"/>
      <c r="S85" s="1116"/>
      <c r="T85" s="1116"/>
      <c r="U85" s="1116"/>
      <c r="V85" s="1116"/>
      <c r="W85" s="1116"/>
      <c r="X85" s="1116"/>
      <c r="Y85" s="1116"/>
      <c r="Z85" s="1116"/>
      <c r="AA85" s="1115"/>
      <c r="AB85" s="1115"/>
    </row>
    <row r="86" spans="1:28" ht="12" x14ac:dyDescent="0.25">
      <c r="A86" s="3"/>
      <c r="B86" s="3"/>
      <c r="C86" s="3"/>
      <c r="D86" s="3"/>
      <c r="E86" s="3"/>
      <c r="F86" s="3"/>
      <c r="G86" s="3"/>
      <c r="H86" s="1116"/>
      <c r="I86" s="3"/>
      <c r="J86" s="3"/>
      <c r="K86" s="1116"/>
      <c r="L86" s="2"/>
      <c r="M86" s="1116"/>
      <c r="N86" s="1116"/>
      <c r="O86" s="1116"/>
      <c r="P86" s="1116"/>
      <c r="Q86" s="1116"/>
      <c r="R86" s="1116"/>
      <c r="S86" s="1116"/>
      <c r="T86" s="1116"/>
      <c r="U86" s="1116"/>
      <c r="V86" s="1116"/>
      <c r="W86" s="1116"/>
      <c r="X86" s="1116"/>
      <c r="Y86" s="1116"/>
      <c r="Z86" s="1116"/>
      <c r="AA86" s="1115"/>
      <c r="AB86" s="1115"/>
    </row>
    <row r="87" spans="1:28" ht="12" x14ac:dyDescent="0.25">
      <c r="A87" s="3"/>
      <c r="B87" s="3"/>
      <c r="C87" s="3"/>
      <c r="D87" s="3"/>
      <c r="E87" s="3"/>
      <c r="F87" s="3"/>
      <c r="G87" s="3"/>
      <c r="H87" s="1116"/>
      <c r="I87" s="3"/>
      <c r="J87" s="3"/>
      <c r="K87" s="1116"/>
      <c r="L87" s="2"/>
      <c r="M87" s="1116"/>
      <c r="N87" s="1116"/>
      <c r="O87" s="1116"/>
      <c r="P87" s="1116"/>
      <c r="Q87" s="1116"/>
      <c r="R87" s="1116"/>
      <c r="S87" s="1116"/>
      <c r="T87" s="1116"/>
      <c r="U87" s="1116"/>
      <c r="V87" s="1116"/>
      <c r="W87" s="1116"/>
      <c r="X87" s="1116"/>
      <c r="Y87" s="1116"/>
      <c r="Z87" s="1116"/>
      <c r="AA87" s="1115"/>
      <c r="AB87" s="1115"/>
    </row>
    <row r="88" spans="1:28" ht="12" x14ac:dyDescent="0.25">
      <c r="A88" s="3"/>
      <c r="B88" s="3"/>
      <c r="C88" s="3"/>
      <c r="D88" s="3"/>
      <c r="E88" s="3"/>
      <c r="F88" s="3"/>
      <c r="G88" s="3"/>
      <c r="H88" s="1116"/>
      <c r="I88" s="3"/>
      <c r="J88" s="3"/>
      <c r="K88" s="1116"/>
      <c r="L88" s="2"/>
      <c r="M88" s="1116"/>
      <c r="N88" s="1116"/>
      <c r="O88" s="1116"/>
      <c r="P88" s="1116"/>
      <c r="Q88" s="1116"/>
      <c r="R88" s="1116"/>
      <c r="S88" s="1116"/>
      <c r="T88" s="1116"/>
      <c r="U88" s="1116"/>
      <c r="V88" s="1116"/>
      <c r="W88" s="1116"/>
      <c r="X88" s="1116"/>
      <c r="Y88" s="1116"/>
      <c r="Z88" s="1116"/>
      <c r="AA88" s="1115"/>
      <c r="AB88" s="1115"/>
    </row>
    <row r="89" spans="1:28" ht="12" x14ac:dyDescent="0.25">
      <c r="A89" s="3"/>
      <c r="B89" s="3"/>
      <c r="C89" s="3"/>
      <c r="D89" s="3"/>
      <c r="E89" s="3"/>
      <c r="F89" s="3"/>
      <c r="G89" s="3"/>
      <c r="H89" s="1116"/>
      <c r="I89" s="3"/>
      <c r="J89" s="3"/>
      <c r="K89" s="1116"/>
      <c r="L89" s="2"/>
      <c r="M89" s="1116"/>
      <c r="N89" s="1116"/>
      <c r="O89" s="1116"/>
      <c r="P89" s="1116"/>
      <c r="Q89" s="1116"/>
      <c r="R89" s="1116"/>
      <c r="S89" s="1116"/>
      <c r="T89" s="1116"/>
      <c r="U89" s="1116"/>
      <c r="V89" s="1116"/>
      <c r="W89" s="1116"/>
      <c r="X89" s="1116"/>
      <c r="Y89" s="1116"/>
      <c r="Z89" s="1116"/>
      <c r="AA89" s="1115"/>
      <c r="AB89" s="1115"/>
    </row>
    <row r="90" spans="1:28" ht="12" x14ac:dyDescent="0.25">
      <c r="A90" s="3"/>
      <c r="B90" s="3"/>
      <c r="C90" s="3"/>
      <c r="D90" s="3"/>
      <c r="E90" s="3"/>
      <c r="F90" s="3"/>
      <c r="G90" s="3"/>
      <c r="H90" s="1116"/>
      <c r="I90" s="3"/>
      <c r="J90" s="3"/>
      <c r="K90" s="1116"/>
      <c r="L90" s="2"/>
      <c r="M90" s="1116"/>
      <c r="N90" s="1116"/>
      <c r="O90" s="1116"/>
      <c r="P90" s="1116"/>
      <c r="Q90" s="1116"/>
      <c r="R90" s="1116"/>
      <c r="S90" s="1116"/>
      <c r="T90" s="1116"/>
      <c r="U90" s="1116"/>
      <c r="V90" s="1116"/>
      <c r="W90" s="1116"/>
      <c r="X90" s="1116"/>
      <c r="Y90" s="1116"/>
      <c r="Z90" s="1116"/>
      <c r="AA90" s="1115"/>
      <c r="AB90" s="1115"/>
    </row>
    <row r="91" spans="1:28" ht="12" x14ac:dyDescent="0.25">
      <c r="A91" s="3"/>
      <c r="B91" s="3"/>
      <c r="C91" s="3"/>
      <c r="D91" s="3"/>
      <c r="E91" s="3"/>
      <c r="F91" s="3"/>
      <c r="G91" s="3"/>
      <c r="H91" s="1116"/>
      <c r="I91" s="3"/>
      <c r="J91" s="3"/>
      <c r="K91" s="1116"/>
      <c r="L91" s="2"/>
      <c r="M91" s="1116"/>
      <c r="N91" s="1116"/>
      <c r="O91" s="1116"/>
      <c r="P91" s="1116"/>
      <c r="Q91" s="1116"/>
      <c r="R91" s="1116"/>
      <c r="S91" s="1116"/>
      <c r="T91" s="1116"/>
      <c r="U91" s="1116"/>
      <c r="V91" s="1116"/>
      <c r="W91" s="1116"/>
      <c r="X91" s="1116"/>
      <c r="Y91" s="1116"/>
      <c r="Z91" s="1116"/>
      <c r="AA91" s="1115"/>
      <c r="AB91" s="1115"/>
    </row>
    <row r="92" spans="1:28" ht="12.6" thickBot="1" x14ac:dyDescent="0.3">
      <c r="A92" s="3"/>
      <c r="B92" s="1118"/>
      <c r="C92" s="1118"/>
      <c r="D92" s="1118"/>
      <c r="E92" s="1118"/>
      <c r="F92" s="1118"/>
      <c r="G92" s="1118"/>
      <c r="H92" s="1116"/>
      <c r="I92" s="3"/>
      <c r="J92" s="3"/>
      <c r="K92" s="1116"/>
      <c r="L92" s="2"/>
      <c r="M92" s="1116"/>
      <c r="N92" s="1116"/>
      <c r="O92" s="1116"/>
      <c r="P92" s="1116"/>
      <c r="Q92" s="1116"/>
      <c r="R92" s="1116"/>
      <c r="S92" s="1116"/>
      <c r="T92" s="1116"/>
      <c r="U92" s="1116"/>
      <c r="V92" s="1116"/>
      <c r="W92" s="1116"/>
      <c r="X92" s="1116"/>
      <c r="Y92" s="1116"/>
      <c r="Z92" s="1116"/>
      <c r="AA92" s="1115"/>
      <c r="AB92" s="1115"/>
    </row>
    <row r="93" spans="1:28" ht="12" x14ac:dyDescent="0.25">
      <c r="A93" s="3"/>
      <c r="B93" s="3"/>
      <c r="C93" s="3"/>
      <c r="D93" s="3"/>
      <c r="E93" s="3"/>
      <c r="F93" s="3"/>
      <c r="G93" s="3"/>
      <c r="H93" s="1116"/>
      <c r="I93" s="3"/>
      <c r="J93" s="3"/>
      <c r="K93" s="1116"/>
      <c r="L93" s="2"/>
      <c r="M93" s="1116"/>
      <c r="N93" s="1116"/>
      <c r="O93" s="1116"/>
      <c r="P93" s="1116"/>
      <c r="Q93" s="1116"/>
      <c r="R93" s="1116"/>
      <c r="S93" s="1116"/>
      <c r="T93" s="1116"/>
      <c r="U93" s="1116"/>
      <c r="V93" s="1116"/>
      <c r="W93" s="1116"/>
      <c r="X93" s="1116"/>
      <c r="Y93" s="1116"/>
      <c r="Z93" s="1116"/>
      <c r="AA93" s="1115"/>
      <c r="AB93" s="1115"/>
    </row>
    <row r="94" spans="1:28" ht="15.6" x14ac:dyDescent="0.3">
      <c r="A94" s="3"/>
      <c r="B94" s="1114" t="s">
        <v>90</v>
      </c>
      <c r="C94" s="79"/>
      <c r="D94" s="79"/>
      <c r="E94" s="79"/>
      <c r="F94" s="79"/>
      <c r="G94" s="79"/>
      <c r="H94" s="1116"/>
      <c r="I94" s="3"/>
      <c r="J94" s="3"/>
      <c r="K94" s="1116"/>
      <c r="L94" s="2"/>
      <c r="M94" s="1116"/>
      <c r="N94" s="1116"/>
      <c r="O94" s="1116"/>
      <c r="P94" s="1116"/>
      <c r="Q94" s="1116"/>
      <c r="R94" s="1116"/>
      <c r="S94" s="1116"/>
      <c r="T94" s="1116"/>
      <c r="U94" s="1116"/>
      <c r="V94" s="1116"/>
      <c r="W94" s="1116"/>
      <c r="X94" s="1116"/>
      <c r="Y94" s="1116"/>
      <c r="Z94" s="1116"/>
      <c r="AA94" s="1115"/>
      <c r="AB94" s="1115"/>
    </row>
    <row r="95" spans="1:28" ht="12" x14ac:dyDescent="0.25">
      <c r="A95" s="3"/>
      <c r="B95" s="2"/>
      <c r="C95" s="2"/>
      <c r="D95" s="2"/>
      <c r="E95" s="2"/>
      <c r="F95" s="2"/>
      <c r="G95" s="2"/>
      <c r="H95" s="1116"/>
      <c r="I95" s="3"/>
      <c r="J95" s="3"/>
      <c r="K95" s="1116"/>
      <c r="L95" s="2"/>
      <c r="M95" s="1116"/>
      <c r="N95" s="1116"/>
      <c r="O95" s="1116"/>
      <c r="P95" s="1116"/>
      <c r="Q95" s="1116"/>
      <c r="R95" s="1116"/>
      <c r="S95" s="1116"/>
      <c r="T95" s="1116"/>
      <c r="U95" s="1116"/>
      <c r="V95" s="1116"/>
      <c r="W95" s="1116"/>
      <c r="X95" s="1116"/>
      <c r="Y95" s="1116"/>
      <c r="Z95" s="1116"/>
      <c r="AA95" s="1115"/>
      <c r="AB95" s="1115"/>
    </row>
    <row r="96" spans="1:28" ht="12" x14ac:dyDescent="0.25">
      <c r="A96" s="3"/>
      <c r="B96" s="2" t="s">
        <v>91</v>
      </c>
      <c r="C96" s="3"/>
      <c r="D96" s="3"/>
      <c r="E96" s="3"/>
      <c r="F96" s="3"/>
      <c r="G96" s="3"/>
      <c r="H96" s="1116"/>
      <c r="I96" s="3"/>
      <c r="J96" s="3"/>
      <c r="K96" s="1116"/>
      <c r="L96" s="2"/>
      <c r="M96" s="1116"/>
      <c r="N96" s="1116"/>
      <c r="O96" s="1116"/>
      <c r="P96" s="1116"/>
      <c r="Q96" s="1116"/>
      <c r="R96" s="1116"/>
      <c r="S96" s="1116"/>
      <c r="T96" s="1116"/>
      <c r="U96" s="1116"/>
      <c r="V96" s="1116"/>
      <c r="W96" s="1116"/>
      <c r="X96" s="1116"/>
      <c r="Y96" s="1116"/>
      <c r="Z96" s="1116"/>
      <c r="AA96" s="1115"/>
      <c r="AB96" s="1115"/>
    </row>
    <row r="97" spans="1:28" ht="12" x14ac:dyDescent="0.25">
      <c r="A97" s="3"/>
      <c r="B97" s="2"/>
      <c r="C97" s="3"/>
      <c r="D97" s="3"/>
      <c r="E97" s="3"/>
      <c r="F97" s="3"/>
      <c r="G97" s="3"/>
      <c r="H97" s="1116"/>
      <c r="I97" s="3"/>
      <c r="J97" s="3"/>
      <c r="K97" s="1116"/>
      <c r="L97" s="2"/>
      <c r="M97" s="1116"/>
      <c r="N97" s="1116"/>
      <c r="O97" s="1116"/>
      <c r="P97" s="1116"/>
      <c r="Q97" s="1116"/>
      <c r="R97" s="1116"/>
      <c r="S97" s="1116"/>
      <c r="T97" s="1116"/>
      <c r="U97" s="1116"/>
      <c r="V97" s="1116"/>
      <c r="W97" s="1116"/>
      <c r="X97" s="1116"/>
      <c r="Y97" s="1116"/>
      <c r="Z97" s="1116"/>
      <c r="AA97" s="1115"/>
      <c r="AB97" s="1115"/>
    </row>
    <row r="98" spans="1:28" ht="12" x14ac:dyDescent="0.25">
      <c r="A98" s="3"/>
      <c r="B98" s="3"/>
      <c r="C98" s="76" t="s">
        <v>92</v>
      </c>
      <c r="D98" s="3"/>
      <c r="E98" s="3"/>
      <c r="F98" s="3"/>
      <c r="G98" s="3"/>
      <c r="H98" s="1116"/>
      <c r="I98" s="3"/>
      <c r="J98" s="3"/>
      <c r="K98" s="1116"/>
      <c r="L98" s="2"/>
      <c r="M98" s="1116"/>
      <c r="N98" s="1116"/>
      <c r="O98" s="1116"/>
      <c r="P98" s="1116"/>
      <c r="Q98" s="1116"/>
      <c r="R98" s="1116"/>
      <c r="S98" s="1116"/>
      <c r="T98" s="1116"/>
      <c r="U98" s="1116"/>
      <c r="V98" s="1116"/>
      <c r="W98" s="1116"/>
      <c r="X98" s="1116"/>
      <c r="Y98" s="1116"/>
      <c r="Z98" s="1116"/>
      <c r="AA98" s="1115"/>
      <c r="AB98" s="1115"/>
    </row>
    <row r="99" spans="1:28" ht="12" x14ac:dyDescent="0.25">
      <c r="A99" s="3"/>
      <c r="B99" s="3"/>
      <c r="C99" s="3"/>
      <c r="D99" s="3"/>
      <c r="E99" s="3"/>
      <c r="F99" s="3"/>
      <c r="G99" s="3"/>
      <c r="H99" s="1116"/>
      <c r="I99" s="3"/>
      <c r="J99" s="3"/>
      <c r="K99" s="1116"/>
      <c r="L99" s="2"/>
      <c r="M99" s="1116"/>
      <c r="N99" s="1116"/>
      <c r="O99" s="1116"/>
      <c r="P99" s="1116"/>
      <c r="Q99" s="1116"/>
      <c r="R99" s="1116"/>
      <c r="S99" s="1116"/>
      <c r="T99" s="1116"/>
      <c r="U99" s="1116"/>
      <c r="V99" s="1116"/>
      <c r="W99" s="1116"/>
      <c r="X99" s="1116"/>
      <c r="Y99" s="1116"/>
      <c r="Z99" s="1116"/>
      <c r="AA99" s="1115"/>
      <c r="AB99" s="1115"/>
    </row>
    <row r="100" spans="1:28" ht="12" x14ac:dyDescent="0.25">
      <c r="A100" s="3"/>
      <c r="B100" s="3"/>
      <c r="C100" s="1117" t="s">
        <v>93</v>
      </c>
      <c r="D100" s="3" t="s">
        <v>94</v>
      </c>
      <c r="E100" s="3"/>
      <c r="F100" s="3"/>
      <c r="G100" s="3"/>
      <c r="H100" s="1116"/>
      <c r="I100" s="3"/>
      <c r="J100" s="3" t="s">
        <v>95</v>
      </c>
      <c r="K100" s="1116"/>
      <c r="L100" s="2"/>
      <c r="M100" s="1116"/>
      <c r="N100" s="1116"/>
      <c r="O100" s="1116"/>
      <c r="P100" s="1116"/>
      <c r="Q100" s="1116"/>
      <c r="R100" s="1116"/>
      <c r="S100" s="1116"/>
      <c r="T100" s="1116"/>
      <c r="U100" s="1116"/>
      <c r="V100" s="1116"/>
      <c r="W100" s="1116"/>
      <c r="X100" s="1116"/>
      <c r="Y100" s="1116"/>
      <c r="Z100" s="1116"/>
      <c r="AA100" s="1115"/>
      <c r="AB100" s="1115"/>
    </row>
    <row r="101" spans="1:28" ht="12" x14ac:dyDescent="0.25">
      <c r="A101" s="3"/>
      <c r="B101" s="3"/>
      <c r="C101" s="1117" t="s">
        <v>93</v>
      </c>
      <c r="D101" s="3" t="s">
        <v>96</v>
      </c>
      <c r="E101" s="3"/>
      <c r="F101" s="3"/>
      <c r="G101" s="3"/>
      <c r="H101" s="1116"/>
      <c r="I101" s="3"/>
      <c r="J101" s="1197" t="s">
        <v>93</v>
      </c>
      <c r="K101" s="1116"/>
      <c r="L101" s="2"/>
      <c r="M101" s="1116"/>
      <c r="N101" s="1116"/>
      <c r="O101" s="1116"/>
      <c r="P101" s="1116"/>
      <c r="Q101" s="1116"/>
      <c r="R101" s="1116"/>
      <c r="S101" s="1116"/>
      <c r="T101" s="1116"/>
      <c r="U101" s="1116"/>
      <c r="V101" s="1116"/>
      <c r="W101" s="1116"/>
      <c r="X101" s="1116"/>
      <c r="Y101" s="1116"/>
      <c r="Z101" s="1116"/>
      <c r="AA101" s="1115"/>
      <c r="AB101" s="1115"/>
    </row>
    <row r="102" spans="1:28" ht="12" x14ac:dyDescent="0.25">
      <c r="A102" s="3"/>
      <c r="B102" s="3"/>
      <c r="C102" s="3"/>
      <c r="D102" s="3" t="s">
        <v>97</v>
      </c>
      <c r="E102" s="3"/>
      <c r="F102" s="3"/>
      <c r="G102" s="3"/>
      <c r="H102" s="1116"/>
      <c r="I102" s="3"/>
      <c r="J102" s="278" t="s">
        <v>98</v>
      </c>
      <c r="K102" s="1116"/>
      <c r="L102" s="2"/>
      <c r="M102" s="1116"/>
      <c r="N102" s="1116"/>
      <c r="O102" s="1116"/>
      <c r="P102" s="1116"/>
      <c r="Q102" s="1116"/>
      <c r="R102" s="1116"/>
      <c r="S102" s="1116"/>
      <c r="T102" s="1116"/>
      <c r="U102" s="1116"/>
      <c r="V102" s="1116"/>
      <c r="W102" s="1116"/>
      <c r="X102" s="1116"/>
      <c r="Y102" s="1116"/>
      <c r="Z102" s="1116"/>
      <c r="AA102" s="1115"/>
      <c r="AB102" s="1115"/>
    </row>
    <row r="103" spans="1:28" ht="12" x14ac:dyDescent="0.25">
      <c r="A103" s="3"/>
      <c r="B103" s="3"/>
      <c r="C103" s="3"/>
      <c r="D103" s="3" t="s">
        <v>99</v>
      </c>
      <c r="E103" s="3"/>
      <c r="F103" s="3"/>
      <c r="G103" s="3"/>
      <c r="H103" s="1116"/>
      <c r="I103" s="3"/>
      <c r="J103" s="139" t="s">
        <v>100</v>
      </c>
      <c r="K103" s="1116"/>
      <c r="L103" s="2"/>
      <c r="M103" s="1116"/>
      <c r="N103" s="1116"/>
      <c r="O103" s="1116"/>
      <c r="P103" s="1116"/>
      <c r="Q103" s="1116"/>
      <c r="R103" s="1116"/>
      <c r="S103" s="1116"/>
      <c r="T103" s="1116"/>
      <c r="U103" s="1116"/>
      <c r="V103" s="1116"/>
      <c r="W103" s="1116"/>
      <c r="X103" s="1116"/>
      <c r="Y103" s="1116"/>
      <c r="Z103" s="1116"/>
      <c r="AA103" s="1115"/>
      <c r="AB103" s="1115"/>
    </row>
    <row r="104" spans="1:28" ht="12" x14ac:dyDescent="0.25">
      <c r="A104" s="3"/>
      <c r="B104" s="3"/>
      <c r="C104" s="3"/>
      <c r="D104" s="3" t="s">
        <v>101</v>
      </c>
      <c r="E104" s="3"/>
      <c r="F104" s="3"/>
      <c r="G104" s="3"/>
      <c r="H104" s="1116"/>
      <c r="I104" s="3"/>
      <c r="J104" s="3"/>
      <c r="K104" s="1116"/>
      <c r="L104" s="2"/>
      <c r="M104" s="1116"/>
      <c r="N104" s="1116"/>
      <c r="O104" s="1116"/>
      <c r="P104" s="1116"/>
      <c r="Q104" s="1116"/>
      <c r="R104" s="1116"/>
      <c r="S104" s="1116"/>
      <c r="T104" s="1116"/>
      <c r="U104" s="1116"/>
      <c r="V104" s="1116"/>
      <c r="W104" s="1116"/>
      <c r="X104" s="1116"/>
      <c r="Y104" s="1116"/>
      <c r="Z104" s="1116"/>
      <c r="AA104" s="1115"/>
      <c r="AB104" s="1115"/>
    </row>
    <row r="105" spans="1:28" ht="12" x14ac:dyDescent="0.25">
      <c r="A105" s="3"/>
      <c r="B105" s="3"/>
      <c r="C105" s="1117" t="s">
        <v>93</v>
      </c>
      <c r="D105" s="3" t="s">
        <v>102</v>
      </c>
      <c r="E105" s="3"/>
      <c r="F105" s="3"/>
      <c r="G105" s="3"/>
      <c r="H105" s="1116"/>
      <c r="I105" s="3"/>
      <c r="J105" s="1197" t="s">
        <v>103</v>
      </c>
      <c r="K105" s="1116"/>
      <c r="L105" s="2"/>
      <c r="M105" s="1116"/>
      <c r="N105" s="1116"/>
      <c r="O105" s="1116"/>
      <c r="P105" s="1116"/>
      <c r="Q105" s="1116"/>
      <c r="R105" s="1116"/>
      <c r="S105" s="1116"/>
      <c r="T105" s="1116"/>
      <c r="U105" s="1116"/>
      <c r="V105" s="1116"/>
      <c r="W105" s="1116"/>
      <c r="X105" s="1116"/>
      <c r="Y105" s="1116"/>
      <c r="Z105" s="1116"/>
      <c r="AA105" s="1115"/>
      <c r="AB105" s="1115"/>
    </row>
    <row r="106" spans="1:28" ht="12" x14ac:dyDescent="0.25">
      <c r="A106" s="3"/>
      <c r="B106" s="3"/>
      <c r="C106" s="1117" t="s">
        <v>98</v>
      </c>
      <c r="D106" s="3" t="s">
        <v>104</v>
      </c>
      <c r="E106" s="3"/>
      <c r="F106" s="3"/>
      <c r="G106" s="3"/>
      <c r="H106" s="1116"/>
      <c r="I106" s="3"/>
      <c r="J106" s="278" t="s">
        <v>105</v>
      </c>
      <c r="K106" s="1116"/>
      <c r="L106" s="2"/>
      <c r="M106" s="1116"/>
      <c r="N106" s="1116"/>
      <c r="O106" s="1116"/>
      <c r="P106" s="1116"/>
      <c r="Q106" s="1116"/>
      <c r="R106" s="1116"/>
      <c r="S106" s="1116"/>
      <c r="T106" s="1116"/>
      <c r="U106" s="1116"/>
      <c r="V106" s="1116"/>
      <c r="W106" s="1116"/>
      <c r="X106" s="1116"/>
      <c r="Y106" s="1116"/>
      <c r="Z106" s="1116"/>
      <c r="AA106" s="1115"/>
      <c r="AB106" s="1115"/>
    </row>
    <row r="107" spans="1:28" x14ac:dyDescent="0.2">
      <c r="A107" s="3"/>
      <c r="B107" s="3"/>
      <c r="C107" s="1117" t="s">
        <v>98</v>
      </c>
      <c r="D107" s="3" t="s">
        <v>106</v>
      </c>
      <c r="E107" s="3"/>
      <c r="F107" s="3"/>
      <c r="G107" s="3"/>
      <c r="H107" s="1116"/>
      <c r="I107" s="1116"/>
      <c r="J107" s="278" t="s">
        <v>59</v>
      </c>
      <c r="K107" s="1116"/>
      <c r="L107" s="1116"/>
      <c r="M107" s="1116"/>
      <c r="N107" s="1116"/>
      <c r="O107" s="1116"/>
      <c r="P107" s="1116"/>
      <c r="Q107" s="1116"/>
      <c r="R107" s="1116"/>
      <c r="S107" s="1116"/>
      <c r="T107" s="1116"/>
      <c r="U107" s="1116"/>
      <c r="V107" s="1116"/>
      <c r="W107" s="1116"/>
      <c r="X107" s="1116"/>
      <c r="Y107" s="1116"/>
      <c r="Z107" s="1116"/>
      <c r="AA107" s="1115"/>
      <c r="AB107" s="1115"/>
    </row>
    <row r="108" spans="1:28" x14ac:dyDescent="0.2">
      <c r="A108" s="3"/>
      <c r="B108" s="3"/>
      <c r="C108" s="3"/>
      <c r="D108" s="3"/>
      <c r="E108" s="3"/>
      <c r="F108" s="3"/>
      <c r="G108" s="3"/>
      <c r="H108" s="1116"/>
      <c r="I108" s="1116"/>
      <c r="J108" s="139" t="s">
        <v>107</v>
      </c>
      <c r="K108" s="1116"/>
      <c r="L108" s="1116"/>
      <c r="M108" s="1116"/>
      <c r="N108" s="1116"/>
      <c r="O108" s="1116"/>
      <c r="P108" s="1116"/>
      <c r="Q108" s="1116"/>
      <c r="R108" s="1116"/>
      <c r="S108" s="1116"/>
      <c r="T108" s="1116"/>
      <c r="U108" s="1116"/>
      <c r="V108" s="1116"/>
      <c r="W108" s="1116"/>
      <c r="X108" s="1116"/>
      <c r="Y108" s="1116"/>
      <c r="Z108" s="1116"/>
      <c r="AA108" s="1115"/>
      <c r="AB108" s="1115"/>
    </row>
    <row r="109" spans="1:28" x14ac:dyDescent="0.2">
      <c r="A109" s="3"/>
      <c r="B109" s="3"/>
      <c r="C109" s="1117" t="s">
        <v>98</v>
      </c>
      <c r="D109" s="3" t="s">
        <v>108</v>
      </c>
      <c r="F109" s="3"/>
      <c r="G109" s="3"/>
      <c r="H109" s="1116"/>
      <c r="I109" s="1116"/>
      <c r="J109" s="1116"/>
      <c r="K109" s="1116"/>
      <c r="L109" s="1116"/>
      <c r="M109" s="1116"/>
      <c r="N109" s="1116"/>
      <c r="O109" s="1116"/>
      <c r="P109" s="1116"/>
      <c r="Q109" s="1116"/>
      <c r="R109" s="1116"/>
      <c r="S109" s="1116"/>
      <c r="T109" s="1116"/>
      <c r="U109" s="1116"/>
      <c r="V109" s="1116"/>
      <c r="W109" s="1116"/>
      <c r="X109" s="1116"/>
      <c r="Y109" s="1116"/>
      <c r="Z109" s="1116"/>
      <c r="AA109" s="1115"/>
      <c r="AB109" s="1115"/>
    </row>
    <row r="110" spans="1:28" x14ac:dyDescent="0.2">
      <c r="A110" s="3"/>
      <c r="B110" s="3"/>
      <c r="C110" s="3"/>
      <c r="D110" s="3"/>
      <c r="E110" s="3"/>
      <c r="F110" s="3"/>
      <c r="G110" s="3"/>
      <c r="H110" s="1116"/>
      <c r="I110" s="1116"/>
      <c r="J110" s="1116"/>
      <c r="K110" s="1116"/>
      <c r="L110" s="1116"/>
      <c r="M110" s="1116"/>
      <c r="N110" s="1116"/>
      <c r="O110" s="1116"/>
      <c r="P110" s="1116"/>
      <c r="Q110" s="1116"/>
      <c r="R110" s="1116"/>
      <c r="S110" s="1116"/>
      <c r="T110" s="1116"/>
      <c r="U110" s="1116"/>
      <c r="V110" s="1116"/>
      <c r="W110" s="1116"/>
      <c r="X110" s="1116"/>
      <c r="Y110" s="1116"/>
      <c r="Z110" s="1116"/>
      <c r="AA110" s="1115"/>
      <c r="AB110" s="1115"/>
    </row>
    <row r="111" spans="1:28" x14ac:dyDescent="0.2">
      <c r="A111" s="3"/>
      <c r="B111" s="3"/>
      <c r="C111" s="3"/>
      <c r="D111" s="3"/>
      <c r="E111" s="3"/>
      <c r="F111" s="3"/>
      <c r="G111" s="3"/>
      <c r="H111" s="1116"/>
      <c r="I111" s="1116"/>
      <c r="J111" s="1116"/>
      <c r="K111" s="1116"/>
      <c r="L111" s="1116"/>
      <c r="M111" s="1116"/>
      <c r="N111" s="1116"/>
      <c r="O111" s="1116"/>
      <c r="P111" s="1116"/>
      <c r="Q111" s="1116"/>
      <c r="R111" s="1116"/>
      <c r="S111" s="1116"/>
      <c r="T111" s="1116"/>
      <c r="U111" s="1116"/>
      <c r="V111" s="1116"/>
      <c r="W111" s="1116"/>
      <c r="X111" s="1116"/>
      <c r="Y111" s="1116"/>
      <c r="Z111" s="1116"/>
      <c r="AA111" s="1115"/>
      <c r="AB111" s="1115"/>
    </row>
    <row r="112" spans="1:28" ht="12" x14ac:dyDescent="0.25">
      <c r="A112" s="3"/>
      <c r="B112" s="2" t="s">
        <v>109</v>
      </c>
      <c r="C112" s="3"/>
      <c r="D112" s="3"/>
      <c r="E112" s="3"/>
      <c r="F112" s="3"/>
      <c r="G112" s="3"/>
      <c r="H112" s="1116"/>
      <c r="I112" s="1116"/>
      <c r="J112" s="1116"/>
      <c r="K112" s="1116"/>
      <c r="L112" s="1116"/>
      <c r="M112" s="1116"/>
      <c r="N112" s="1116"/>
      <c r="O112" s="1116"/>
      <c r="P112" s="1116"/>
      <c r="Q112" s="1116"/>
      <c r="R112" s="1116"/>
      <c r="S112" s="1116"/>
      <c r="T112" s="1116"/>
      <c r="U112" s="1116"/>
      <c r="V112" s="1116"/>
      <c r="W112" s="1116"/>
      <c r="X112" s="1116"/>
      <c r="Y112" s="1116"/>
      <c r="Z112" s="1116"/>
      <c r="AA112" s="1115"/>
      <c r="AB112" s="1115"/>
    </row>
    <row r="113" spans="1:28" x14ac:dyDescent="0.2">
      <c r="A113" s="3"/>
      <c r="B113" s="3"/>
      <c r="C113" s="3"/>
      <c r="D113" s="3"/>
      <c r="E113" s="3"/>
      <c r="F113" s="3"/>
      <c r="G113" s="3"/>
      <c r="H113" s="1116"/>
      <c r="I113" s="1116"/>
      <c r="J113" s="1116"/>
      <c r="K113" s="1116"/>
      <c r="L113" s="1116"/>
      <c r="M113" s="1116"/>
      <c r="N113" s="1116"/>
      <c r="O113" s="1116"/>
      <c r="P113" s="1116"/>
      <c r="Q113" s="1116"/>
      <c r="R113" s="1116"/>
      <c r="S113" s="1116"/>
      <c r="T113" s="1116"/>
      <c r="U113" s="1116"/>
      <c r="V113" s="1116"/>
      <c r="W113" s="1116"/>
      <c r="X113" s="1116"/>
      <c r="Y113" s="1116"/>
      <c r="Z113" s="1116"/>
      <c r="AA113" s="1115"/>
      <c r="AB113" s="1115"/>
    </row>
    <row r="114" spans="1:28" x14ac:dyDescent="0.2">
      <c r="A114" s="3"/>
      <c r="B114" s="3"/>
      <c r="C114" s="1117" t="s">
        <v>98</v>
      </c>
      <c r="D114" s="3" t="s">
        <v>110</v>
      </c>
      <c r="E114" s="3"/>
      <c r="F114" s="3"/>
      <c r="G114" s="3"/>
      <c r="H114" s="1116"/>
      <c r="I114" s="1116"/>
      <c r="J114" s="1116"/>
      <c r="K114" s="1116"/>
      <c r="L114" s="1116"/>
      <c r="M114" s="1116"/>
      <c r="N114" s="1116"/>
      <c r="O114" s="1116"/>
      <c r="P114" s="1116"/>
      <c r="Q114" s="1116"/>
      <c r="R114" s="1116"/>
      <c r="S114" s="1116"/>
      <c r="T114" s="1116"/>
      <c r="U114" s="1116"/>
      <c r="V114" s="1116"/>
      <c r="W114" s="1116"/>
      <c r="X114" s="1116"/>
      <c r="Y114" s="1116"/>
      <c r="Z114" s="1116"/>
      <c r="AA114" s="1115"/>
      <c r="AB114" s="1115"/>
    </row>
    <row r="115" spans="1:28" x14ac:dyDescent="0.2">
      <c r="A115" s="3"/>
      <c r="B115" s="3"/>
      <c r="C115" s="1117" t="s">
        <v>98</v>
      </c>
      <c r="D115" s="3" t="s">
        <v>111</v>
      </c>
      <c r="E115" s="3"/>
      <c r="F115" s="3"/>
      <c r="G115" s="3"/>
      <c r="H115" s="1116"/>
      <c r="I115" s="1116"/>
      <c r="J115" s="1116"/>
      <c r="K115" s="1116"/>
      <c r="L115" s="1116"/>
      <c r="M115" s="1116"/>
      <c r="N115" s="1116"/>
      <c r="O115" s="1116"/>
      <c r="P115" s="1116"/>
      <c r="Q115" s="1116"/>
      <c r="R115" s="1116"/>
      <c r="S115" s="1116"/>
      <c r="T115" s="1116"/>
      <c r="U115" s="1116"/>
      <c r="V115" s="1116"/>
      <c r="W115" s="1116"/>
      <c r="X115" s="1116"/>
      <c r="Y115" s="1116"/>
      <c r="Z115" s="1116"/>
      <c r="AA115" s="1115"/>
      <c r="AB115" s="1115"/>
    </row>
    <row r="116" spans="1:28" x14ac:dyDescent="0.2">
      <c r="A116" s="3"/>
      <c r="B116" s="3"/>
      <c r="C116" s="1117" t="s">
        <v>98</v>
      </c>
      <c r="D116" s="3" t="s">
        <v>112</v>
      </c>
      <c r="E116" s="3"/>
      <c r="F116" s="3"/>
      <c r="G116" s="3"/>
      <c r="H116" s="1116"/>
      <c r="I116" s="1116"/>
      <c r="J116" s="1116"/>
      <c r="K116" s="1116"/>
      <c r="L116" s="1116"/>
      <c r="M116" s="1116"/>
      <c r="N116" s="1116"/>
      <c r="O116" s="1116"/>
      <c r="P116" s="1116"/>
      <c r="Q116" s="1116"/>
      <c r="R116" s="1116"/>
      <c r="S116" s="1116"/>
      <c r="T116" s="1116"/>
      <c r="U116" s="1116"/>
      <c r="V116" s="1116"/>
      <c r="W116" s="1116"/>
      <c r="X116" s="1116"/>
      <c r="Y116" s="1116"/>
      <c r="Z116" s="1116"/>
      <c r="AA116" s="1115"/>
      <c r="AB116" s="1115"/>
    </row>
    <row r="117" spans="1:28" x14ac:dyDescent="0.2">
      <c r="A117" s="3"/>
      <c r="B117" s="3"/>
      <c r="C117" s="1117" t="s">
        <v>98</v>
      </c>
      <c r="D117" s="3" t="s">
        <v>113</v>
      </c>
      <c r="E117" s="3"/>
      <c r="F117" s="3"/>
      <c r="G117" s="3"/>
      <c r="H117" s="1116"/>
      <c r="I117" s="1116"/>
      <c r="J117" s="1116"/>
      <c r="K117" s="1116"/>
      <c r="L117" s="1116"/>
      <c r="M117" s="1116"/>
      <c r="N117" s="1116"/>
      <c r="O117" s="1116"/>
      <c r="P117" s="1116"/>
      <c r="Q117" s="1116"/>
      <c r="R117" s="1116"/>
      <c r="S117" s="1116"/>
      <c r="T117" s="1116"/>
      <c r="U117" s="1116"/>
      <c r="V117" s="1116"/>
      <c r="W117" s="1116"/>
      <c r="X117" s="1116"/>
      <c r="Y117" s="1116"/>
      <c r="Z117" s="1116"/>
      <c r="AA117" s="1115"/>
      <c r="AB117" s="1115"/>
    </row>
    <row r="118" spans="1:28" x14ac:dyDescent="0.2">
      <c r="A118" s="3"/>
      <c r="B118" s="3"/>
      <c r="C118" s="1117" t="s">
        <v>98</v>
      </c>
      <c r="D118" s="3" t="s">
        <v>114</v>
      </c>
      <c r="E118" s="3"/>
      <c r="F118" s="3"/>
      <c r="G118" s="3"/>
      <c r="H118" s="1116"/>
      <c r="I118" s="1116"/>
      <c r="J118" s="1116"/>
      <c r="K118" s="1116"/>
      <c r="L118" s="1116"/>
      <c r="M118" s="1116"/>
      <c r="N118" s="1116"/>
      <c r="O118" s="1116"/>
      <c r="P118" s="1116"/>
      <c r="Q118" s="1116"/>
      <c r="R118" s="1116"/>
      <c r="S118" s="1116"/>
      <c r="T118" s="1116"/>
      <c r="U118" s="1116"/>
      <c r="V118" s="1116"/>
      <c r="W118" s="1116"/>
      <c r="X118" s="1116"/>
      <c r="Y118" s="1116"/>
      <c r="Z118" s="1116"/>
      <c r="AA118" s="1115"/>
      <c r="AB118" s="1115"/>
    </row>
    <row r="119" spans="1:28" x14ac:dyDescent="0.2">
      <c r="A119" s="3"/>
      <c r="B119" s="3"/>
      <c r="C119" s="3"/>
      <c r="D119" s="3"/>
      <c r="E119" s="3"/>
      <c r="F119" s="3"/>
      <c r="G119" s="3"/>
      <c r="H119" s="1116"/>
      <c r="I119" s="1116"/>
      <c r="J119" s="1116"/>
      <c r="K119" s="1116"/>
      <c r="L119" s="1116"/>
      <c r="M119" s="1116"/>
      <c r="N119" s="1116"/>
      <c r="O119" s="1116"/>
      <c r="P119" s="1116"/>
      <c r="Q119" s="1116"/>
      <c r="R119" s="1116"/>
      <c r="S119" s="1116"/>
      <c r="T119" s="1116"/>
      <c r="U119" s="1116"/>
      <c r="V119" s="1116"/>
      <c r="W119" s="1116"/>
      <c r="X119" s="1116"/>
      <c r="Y119" s="1116"/>
      <c r="Z119" s="1116"/>
      <c r="AA119" s="1115"/>
      <c r="AB119" s="1115"/>
    </row>
    <row r="120" spans="1:28" x14ac:dyDescent="0.2">
      <c r="A120" s="3"/>
      <c r="H120" s="1116"/>
      <c r="I120" s="1116"/>
      <c r="J120" s="1116"/>
      <c r="K120" s="1116"/>
      <c r="L120" s="1116"/>
      <c r="M120" s="1116"/>
      <c r="N120" s="1116"/>
      <c r="O120" s="1116"/>
      <c r="P120" s="1116"/>
      <c r="Q120" s="1116"/>
      <c r="R120" s="1116"/>
      <c r="S120" s="1116"/>
      <c r="T120" s="1116"/>
      <c r="U120" s="1116"/>
      <c r="V120" s="1116"/>
      <c r="W120" s="1116"/>
      <c r="X120" s="1116"/>
      <c r="Y120" s="1116"/>
      <c r="Z120" s="1116"/>
      <c r="AA120" s="1115"/>
      <c r="AB120" s="1115"/>
    </row>
    <row r="121" spans="1:28" ht="15.6" x14ac:dyDescent="0.3">
      <c r="A121" s="3"/>
      <c r="B121" s="1114" t="s">
        <v>115</v>
      </c>
      <c r="C121" s="79"/>
      <c r="D121" s="79"/>
      <c r="E121" s="79"/>
      <c r="F121" s="79"/>
      <c r="G121" s="79"/>
      <c r="H121" s="3"/>
      <c r="I121" s="3"/>
      <c r="J121" s="3"/>
      <c r="K121" s="3"/>
      <c r="L121" s="3"/>
      <c r="M121" s="3"/>
      <c r="N121" s="3"/>
      <c r="O121" s="3"/>
      <c r="P121" s="3"/>
      <c r="Q121" s="3"/>
      <c r="R121" s="3"/>
      <c r="S121" s="3"/>
      <c r="T121" s="3"/>
      <c r="U121" s="3"/>
      <c r="V121" s="3"/>
      <c r="W121" s="3"/>
      <c r="X121" s="3"/>
      <c r="Y121" s="3"/>
      <c r="Z121" s="3"/>
    </row>
    <row r="122" spans="1:28" ht="12" x14ac:dyDescent="0.25">
      <c r="A122" s="3"/>
      <c r="B122" s="2"/>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8" x14ac:dyDescent="0.2">
      <c r="A123" s="3"/>
      <c r="B123" s="3" t="s">
        <v>116</v>
      </c>
      <c r="C123" s="3"/>
      <c r="D123" s="3"/>
      <c r="E123" s="3"/>
      <c r="G123" s="3"/>
      <c r="H123" s="3"/>
      <c r="I123" s="3"/>
      <c r="J123" s="3"/>
      <c r="K123" s="3"/>
      <c r="L123" s="3"/>
      <c r="M123" s="3"/>
      <c r="N123" s="3"/>
      <c r="O123" s="3"/>
      <c r="P123" s="3"/>
      <c r="Q123" s="3"/>
      <c r="R123" s="3"/>
      <c r="S123" s="3"/>
      <c r="T123" s="3"/>
      <c r="U123" s="3"/>
      <c r="V123" s="3"/>
      <c r="W123" s="3"/>
      <c r="X123" s="3"/>
      <c r="Y123" s="3"/>
      <c r="Z123" s="3"/>
    </row>
    <row r="124" spans="1:28" x14ac:dyDescent="0.2">
      <c r="A124" s="3"/>
      <c r="B124" s="3" t="s">
        <v>117</v>
      </c>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8"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8"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8" ht="15.6" x14ac:dyDescent="0.3">
      <c r="A127" s="3"/>
      <c r="B127" s="4"/>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8" ht="18.600000000000001"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8.600000000000001" customHeight="1" x14ac:dyDescent="0.25">
      <c r="A129" s="3"/>
      <c r="B129" s="3"/>
      <c r="C129" s="3"/>
      <c r="D129" s="3"/>
      <c r="E129" s="1113"/>
      <c r="F129" s="2"/>
      <c r="G129" s="3"/>
      <c r="H129" s="3"/>
      <c r="I129" s="3"/>
      <c r="J129" s="3"/>
      <c r="K129" s="3"/>
      <c r="L129" s="3"/>
      <c r="M129" s="3"/>
      <c r="N129" s="3"/>
      <c r="O129" s="3"/>
      <c r="P129" s="3"/>
      <c r="Q129" s="3"/>
      <c r="R129" s="3"/>
      <c r="S129" s="3"/>
      <c r="T129" s="3"/>
      <c r="U129" s="3"/>
      <c r="V129" s="3"/>
      <c r="W129" s="3"/>
      <c r="X129" s="3"/>
      <c r="Y129" s="3"/>
      <c r="Z129" s="3"/>
    </row>
    <row r="130" spans="1:26" ht="18.600000000000001"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sheetData>
  <dataValidations count="5">
    <dataValidation type="list" allowBlank="1" showInputMessage="1" showErrorMessage="1" sqref="E10" xr:uid="{C17FED90-D0C3-40FE-BAC1-B4D56A0960BF}">
      <formula1>$J$105:$J$108</formula1>
    </dataValidation>
    <dataValidation type="list" allowBlank="1" showInputMessage="1" showErrorMessage="1" sqref="C100:C101 C114:C118 C105" xr:uid="{4AED11B8-0E41-46FB-A04F-256A85763B6A}">
      <formula1>$J$101:$J$103</formula1>
    </dataValidation>
    <dataValidation type="list" allowBlank="1" showInputMessage="1" showErrorMessage="1" sqref="C109 C106:C107" xr:uid="{59B61887-7934-4334-B272-3ABBDEC22870}">
      <formula1>No</formula1>
    </dataValidation>
    <dataValidation type="list" allowBlank="1" showInputMessage="1" showErrorMessage="1" sqref="E130" xr:uid="{961C31A5-4DF5-42EB-93F4-7A8F9A090BE9}">
      <formula1>$J$61:$J$106</formula1>
    </dataValidation>
    <dataValidation type="list" allowBlank="1" showInputMessage="1" showErrorMessage="1" sqref="C110:C111 C119 C113 C108" xr:uid="{8E0E95B9-2E47-47FA-B0A1-BC428B9D3F96}">
      <formula1>$J$64:$J$93</formula1>
    </dataValidation>
  </dataValidations>
  <pageMargins left="0.7" right="0.7" top="0.75" bottom="0.75" header="0.3" footer="0.3"/>
  <pageSetup scale="75"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3713" r:id="rId4" name="Check Box 1">
              <controlPr defaultSize="0" autoFill="0" autoLine="0" autoPict="0">
                <anchor moveWithCells="1">
                  <from>
                    <xdr:col>1</xdr:col>
                    <xdr:colOff>205740</xdr:colOff>
                    <xdr:row>38</xdr:row>
                    <xdr:rowOff>68580</xdr:rowOff>
                  </from>
                  <to>
                    <xdr:col>3</xdr:col>
                    <xdr:colOff>1394460</xdr:colOff>
                    <xdr:row>40</xdr:row>
                    <xdr:rowOff>91440</xdr:rowOff>
                  </to>
                </anchor>
              </controlPr>
            </control>
          </mc:Choice>
        </mc:AlternateContent>
        <mc:AlternateContent xmlns:mc="http://schemas.openxmlformats.org/markup-compatibility/2006">
          <mc:Choice Requires="x14">
            <control shapeId="883714" r:id="rId5" name="Check Box 2">
              <controlPr defaultSize="0" autoFill="0" autoLine="0" autoPict="0">
                <anchor moveWithCells="1">
                  <from>
                    <xdr:col>1</xdr:col>
                    <xdr:colOff>205740</xdr:colOff>
                    <xdr:row>44</xdr:row>
                    <xdr:rowOff>137160</xdr:rowOff>
                  </from>
                  <to>
                    <xdr:col>3</xdr:col>
                    <xdr:colOff>1394460</xdr:colOff>
                    <xdr:row>47</xdr:row>
                    <xdr:rowOff>15240</xdr:rowOff>
                  </to>
                </anchor>
              </controlPr>
            </control>
          </mc:Choice>
        </mc:AlternateContent>
        <mc:AlternateContent xmlns:mc="http://schemas.openxmlformats.org/markup-compatibility/2006">
          <mc:Choice Requires="x14">
            <control shapeId="883715" r:id="rId6" name="Check Box 3">
              <controlPr defaultSize="0" autoFill="0" autoLine="0" autoPict="0">
                <anchor moveWithCells="1">
                  <from>
                    <xdr:col>4</xdr:col>
                    <xdr:colOff>1851660</xdr:colOff>
                    <xdr:row>38</xdr:row>
                    <xdr:rowOff>114300</xdr:rowOff>
                  </from>
                  <to>
                    <xdr:col>5</xdr:col>
                    <xdr:colOff>1127760</xdr:colOff>
                    <xdr:row>40</xdr:row>
                    <xdr:rowOff>129540</xdr:rowOff>
                  </to>
                </anchor>
              </controlPr>
            </control>
          </mc:Choice>
        </mc:AlternateContent>
        <mc:AlternateContent xmlns:mc="http://schemas.openxmlformats.org/markup-compatibility/2006">
          <mc:Choice Requires="x14">
            <control shapeId="883716" r:id="rId7" name="Check Box 4">
              <controlPr defaultSize="0" autoFill="0" autoLine="0" autoPict="0">
                <anchor moveWithCells="1">
                  <from>
                    <xdr:col>4</xdr:col>
                    <xdr:colOff>1882140</xdr:colOff>
                    <xdr:row>44</xdr:row>
                    <xdr:rowOff>137160</xdr:rowOff>
                  </from>
                  <to>
                    <xdr:col>5</xdr:col>
                    <xdr:colOff>1196340</xdr:colOff>
                    <xdr:row>47</xdr:row>
                    <xdr:rowOff>15240</xdr:rowOff>
                  </to>
                </anchor>
              </controlPr>
            </control>
          </mc:Choice>
        </mc:AlternateContent>
        <mc:AlternateContent xmlns:mc="http://schemas.openxmlformats.org/markup-compatibility/2006">
          <mc:Choice Requires="x14">
            <control shapeId="883717" r:id="rId8" name="Check Box 5">
              <controlPr defaultSize="0" autoFill="0" autoLine="0" autoPict="0">
                <anchor moveWithCells="1">
                  <from>
                    <xdr:col>2</xdr:col>
                    <xdr:colOff>0</xdr:colOff>
                    <xdr:row>24</xdr:row>
                    <xdr:rowOff>0</xdr:rowOff>
                  </from>
                  <to>
                    <xdr:col>4</xdr:col>
                    <xdr:colOff>137160</xdr:colOff>
                    <xdr:row>26</xdr:row>
                    <xdr:rowOff>30480</xdr:rowOff>
                  </to>
                </anchor>
              </controlPr>
            </control>
          </mc:Choice>
        </mc:AlternateContent>
        <mc:AlternateContent xmlns:mc="http://schemas.openxmlformats.org/markup-compatibility/2006">
          <mc:Choice Requires="x14">
            <control shapeId="883718" r:id="rId9" name="Check Box 6">
              <controlPr defaultSize="0" autoFill="0" autoLine="0" autoPict="0">
                <anchor moveWithCells="1">
                  <from>
                    <xdr:col>2</xdr:col>
                    <xdr:colOff>0</xdr:colOff>
                    <xdr:row>28</xdr:row>
                    <xdr:rowOff>0</xdr:rowOff>
                  </from>
                  <to>
                    <xdr:col>4</xdr:col>
                    <xdr:colOff>76200</xdr:colOff>
                    <xdr:row>30</xdr:row>
                    <xdr:rowOff>15240</xdr:rowOff>
                  </to>
                </anchor>
              </controlPr>
            </control>
          </mc:Choice>
        </mc:AlternateContent>
        <mc:AlternateContent xmlns:mc="http://schemas.openxmlformats.org/markup-compatibility/2006">
          <mc:Choice Requires="x14">
            <control shapeId="883719" r:id="rId10" name="Check Box 7">
              <controlPr defaultSize="0" autoFill="0" autoLine="0" autoPict="0">
                <anchor moveWithCells="1">
                  <from>
                    <xdr:col>2</xdr:col>
                    <xdr:colOff>0</xdr:colOff>
                    <xdr:row>30</xdr:row>
                    <xdr:rowOff>0</xdr:rowOff>
                  </from>
                  <to>
                    <xdr:col>4</xdr:col>
                    <xdr:colOff>76200</xdr:colOff>
                    <xdr:row>32</xdr:row>
                    <xdr:rowOff>15240</xdr:rowOff>
                  </to>
                </anchor>
              </controlPr>
            </control>
          </mc:Choice>
        </mc:AlternateContent>
        <mc:AlternateContent xmlns:mc="http://schemas.openxmlformats.org/markup-compatibility/2006">
          <mc:Choice Requires="x14">
            <control shapeId="883720" r:id="rId11" name="Check Box 8">
              <controlPr defaultSize="0" autoFill="0" autoLine="0" autoPict="0">
                <anchor moveWithCells="1">
                  <from>
                    <xdr:col>2</xdr:col>
                    <xdr:colOff>0</xdr:colOff>
                    <xdr:row>26</xdr:row>
                    <xdr:rowOff>15240</xdr:rowOff>
                  </from>
                  <to>
                    <xdr:col>4</xdr:col>
                    <xdr:colOff>144780</xdr:colOff>
                    <xdr:row>28</xdr:row>
                    <xdr:rowOff>30480</xdr:rowOff>
                  </to>
                </anchor>
              </controlPr>
            </control>
          </mc:Choice>
        </mc:AlternateContent>
        <mc:AlternateContent xmlns:mc="http://schemas.openxmlformats.org/markup-compatibility/2006">
          <mc:Choice Requires="x14">
            <control shapeId="883721" r:id="rId12" name="Check Box 9">
              <controlPr defaultSize="0" autoFill="0" autoLine="0" autoPict="0">
                <anchor moveWithCells="1">
                  <from>
                    <xdr:col>2</xdr:col>
                    <xdr:colOff>0</xdr:colOff>
                    <xdr:row>32</xdr:row>
                    <xdr:rowOff>0</xdr:rowOff>
                  </from>
                  <to>
                    <xdr:col>3</xdr:col>
                    <xdr:colOff>1021080</xdr:colOff>
                    <xdr:row>34</xdr:row>
                    <xdr:rowOff>15240</xdr:rowOff>
                  </to>
                </anchor>
              </controlPr>
            </control>
          </mc:Choice>
        </mc:AlternateContent>
        <mc:AlternateContent xmlns:mc="http://schemas.openxmlformats.org/markup-compatibility/2006">
          <mc:Choice Requires="x14">
            <control shapeId="883722" r:id="rId13" name="Check Box 10">
              <controlPr defaultSize="0" autoFill="0" autoLine="0" autoPict="0">
                <anchor moveWithCells="1">
                  <from>
                    <xdr:col>2</xdr:col>
                    <xdr:colOff>304800</xdr:colOff>
                    <xdr:row>40</xdr:row>
                    <xdr:rowOff>53340</xdr:rowOff>
                  </from>
                  <to>
                    <xdr:col>4</xdr:col>
                    <xdr:colOff>868680</xdr:colOff>
                    <xdr:row>42</xdr:row>
                    <xdr:rowOff>30480</xdr:rowOff>
                  </to>
                </anchor>
              </controlPr>
            </control>
          </mc:Choice>
        </mc:AlternateContent>
        <mc:AlternateContent xmlns:mc="http://schemas.openxmlformats.org/markup-compatibility/2006">
          <mc:Choice Requires="x14">
            <control shapeId="883723" r:id="rId14" name="Check Box 11">
              <controlPr defaultSize="0" autoFill="0" autoLine="0" autoPict="0">
                <anchor moveWithCells="1">
                  <from>
                    <xdr:col>2</xdr:col>
                    <xdr:colOff>297180</xdr:colOff>
                    <xdr:row>42</xdr:row>
                    <xdr:rowOff>22860</xdr:rowOff>
                  </from>
                  <to>
                    <xdr:col>4</xdr:col>
                    <xdr:colOff>739140</xdr:colOff>
                    <xdr:row>44</xdr:row>
                    <xdr:rowOff>68580</xdr:rowOff>
                  </to>
                </anchor>
              </controlPr>
            </control>
          </mc:Choice>
        </mc:AlternateContent>
        <mc:AlternateContent xmlns:mc="http://schemas.openxmlformats.org/markup-compatibility/2006">
          <mc:Choice Requires="x14">
            <control shapeId="883724" r:id="rId15" name="Check Box 12">
              <controlPr defaultSize="0" autoFill="0" autoLine="0" autoPict="0">
                <anchor moveWithCells="1">
                  <from>
                    <xdr:col>5</xdr:col>
                    <xdr:colOff>297180</xdr:colOff>
                    <xdr:row>42</xdr:row>
                    <xdr:rowOff>22860</xdr:rowOff>
                  </from>
                  <to>
                    <xdr:col>6</xdr:col>
                    <xdr:colOff>640080</xdr:colOff>
                    <xdr:row>44</xdr:row>
                    <xdr:rowOff>0</xdr:rowOff>
                  </to>
                </anchor>
              </controlPr>
            </control>
          </mc:Choice>
        </mc:AlternateContent>
        <mc:AlternateContent xmlns:mc="http://schemas.openxmlformats.org/markup-compatibility/2006">
          <mc:Choice Requires="x14">
            <control shapeId="883725" r:id="rId16" name="Check Box 13">
              <controlPr defaultSize="0" autoFill="0" autoLine="0" autoPict="0">
                <anchor moveWithCells="1">
                  <from>
                    <xdr:col>5</xdr:col>
                    <xdr:colOff>297180</xdr:colOff>
                    <xdr:row>40</xdr:row>
                    <xdr:rowOff>53340</xdr:rowOff>
                  </from>
                  <to>
                    <xdr:col>5</xdr:col>
                    <xdr:colOff>2506980</xdr:colOff>
                    <xdr:row>41</xdr:row>
                    <xdr:rowOff>137160</xdr:rowOff>
                  </to>
                </anchor>
              </controlPr>
            </control>
          </mc:Choice>
        </mc:AlternateContent>
        <mc:AlternateContent xmlns:mc="http://schemas.openxmlformats.org/markup-compatibility/2006">
          <mc:Choice Requires="x14">
            <control shapeId="883726" r:id="rId17" name="Check Box 14">
              <controlPr defaultSize="0" autoFill="0" autoLine="0" autoPict="0">
                <anchor moveWithCells="1">
                  <from>
                    <xdr:col>2</xdr:col>
                    <xdr:colOff>304800</xdr:colOff>
                    <xdr:row>46</xdr:row>
                    <xdr:rowOff>68580</xdr:rowOff>
                  </from>
                  <to>
                    <xdr:col>4</xdr:col>
                    <xdr:colOff>723900</xdr:colOff>
                    <xdr:row>48</xdr:row>
                    <xdr:rowOff>91440</xdr:rowOff>
                  </to>
                </anchor>
              </controlPr>
            </control>
          </mc:Choice>
        </mc:AlternateContent>
        <mc:AlternateContent xmlns:mc="http://schemas.openxmlformats.org/markup-compatibility/2006">
          <mc:Choice Requires="x14">
            <control shapeId="883727" r:id="rId18" name="Check Box 15">
              <controlPr defaultSize="0" autoFill="0" autoLine="0" autoPict="0">
                <anchor moveWithCells="1">
                  <from>
                    <xdr:col>2</xdr:col>
                    <xdr:colOff>304800</xdr:colOff>
                    <xdr:row>48</xdr:row>
                    <xdr:rowOff>30480</xdr:rowOff>
                  </from>
                  <to>
                    <xdr:col>4</xdr:col>
                    <xdr:colOff>1097280</xdr:colOff>
                    <xdr:row>51</xdr:row>
                    <xdr:rowOff>91440</xdr:rowOff>
                  </to>
                </anchor>
              </controlPr>
            </control>
          </mc:Choice>
        </mc:AlternateContent>
        <mc:AlternateContent xmlns:mc="http://schemas.openxmlformats.org/markup-compatibility/2006">
          <mc:Choice Requires="x14">
            <control shapeId="883728" r:id="rId19" name="Check Box 16">
              <controlPr defaultSize="0" autoFill="0" autoLine="0" autoPict="0">
                <anchor moveWithCells="1">
                  <from>
                    <xdr:col>5</xdr:col>
                    <xdr:colOff>297180</xdr:colOff>
                    <xdr:row>46</xdr:row>
                    <xdr:rowOff>38100</xdr:rowOff>
                  </from>
                  <to>
                    <xdr:col>5</xdr:col>
                    <xdr:colOff>2796540</xdr:colOff>
                    <xdr:row>48</xdr:row>
                    <xdr:rowOff>91440</xdr:rowOff>
                  </to>
                </anchor>
              </controlPr>
            </control>
          </mc:Choice>
        </mc:AlternateContent>
        <mc:AlternateContent xmlns:mc="http://schemas.openxmlformats.org/markup-compatibility/2006">
          <mc:Choice Requires="x14">
            <control shapeId="883729" r:id="rId20" name="Check Box 17">
              <controlPr defaultSize="0" autoFill="0" autoLine="0" autoPict="0">
                <anchor moveWithCells="1">
                  <from>
                    <xdr:col>5</xdr:col>
                    <xdr:colOff>289560</xdr:colOff>
                    <xdr:row>48</xdr:row>
                    <xdr:rowOff>30480</xdr:rowOff>
                  </from>
                  <to>
                    <xdr:col>6</xdr:col>
                    <xdr:colOff>830580</xdr:colOff>
                    <xdr:row>50</xdr:row>
                    <xdr:rowOff>91440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theme="0" tint="-0.34998626667073579"/>
  </sheetPr>
  <dimension ref="A1:AC1534"/>
  <sheetViews>
    <sheetView showGridLines="0" topLeftCell="A1512" zoomScale="106" zoomScaleNormal="106" workbookViewId="0">
      <selection activeCell="B1516" sqref="B1516"/>
    </sheetView>
  </sheetViews>
  <sheetFormatPr defaultColWidth="9.125" defaultRowHeight="11.4" outlineLevelRow="1" x14ac:dyDescent="0.2"/>
  <cols>
    <col min="1" max="1" width="2.375" customWidth="1"/>
    <col min="2" max="2" width="23.25" customWidth="1"/>
    <col min="3" max="3" width="19.375" customWidth="1"/>
    <col min="4" max="4" width="10.625" customWidth="1"/>
    <col min="8" max="9" width="11.75" customWidth="1"/>
    <col min="10" max="10" width="14.375" customWidth="1"/>
    <col min="11" max="18" width="11.75" customWidth="1"/>
    <col min="19" max="19" width="13.25" customWidth="1"/>
    <col min="20" max="20" width="23.125" customWidth="1"/>
    <col min="21" max="21" width="11.375" customWidth="1"/>
    <col min="24" max="24" width="10.875" bestFit="1" customWidth="1"/>
  </cols>
  <sheetData>
    <row r="1" spans="1:29" x14ac:dyDescent="0.2">
      <c r="A1" s="819" t="s">
        <v>118</v>
      </c>
      <c r="B1" s="819"/>
      <c r="C1" s="818"/>
      <c r="D1" s="3"/>
      <c r="E1" s="3"/>
      <c r="F1" s="3"/>
      <c r="G1" s="3"/>
      <c r="H1" s="3"/>
      <c r="I1" s="3"/>
      <c r="J1" s="3"/>
      <c r="K1" s="3"/>
      <c r="L1" s="3"/>
      <c r="M1" s="3"/>
      <c r="N1" s="3"/>
      <c r="O1" s="3"/>
      <c r="P1" s="3"/>
      <c r="Q1" s="3"/>
      <c r="R1" s="3"/>
      <c r="S1" s="3"/>
      <c r="T1" s="3"/>
      <c r="U1" s="3"/>
      <c r="V1" s="3"/>
      <c r="W1" s="3"/>
      <c r="X1" s="3"/>
      <c r="Y1" s="3"/>
      <c r="Z1" s="3"/>
      <c r="AA1" s="3"/>
      <c r="AB1" s="3"/>
      <c r="AC1" s="3"/>
    </row>
    <row r="2" spans="1:29"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29" ht="15.6" x14ac:dyDescent="0.3">
      <c r="A3" s="3"/>
      <c r="B3" s="101" t="s">
        <v>119</v>
      </c>
      <c r="C3" s="3"/>
      <c r="D3" s="3"/>
      <c r="E3" s="3"/>
      <c r="F3" s="3"/>
      <c r="G3" s="3"/>
      <c r="H3" s="3"/>
      <c r="I3" s="3"/>
      <c r="J3" s="3"/>
      <c r="K3" s="3"/>
      <c r="L3" s="3"/>
      <c r="M3" s="3"/>
      <c r="N3" s="3"/>
      <c r="O3" s="3"/>
      <c r="P3" s="3"/>
      <c r="Q3" s="3"/>
      <c r="R3" s="3"/>
      <c r="S3" s="3"/>
      <c r="T3" s="3"/>
      <c r="U3" s="3"/>
      <c r="V3" s="3"/>
      <c r="W3" s="3"/>
      <c r="X3" s="3"/>
      <c r="Y3" s="3"/>
      <c r="Z3" s="3"/>
      <c r="AA3" s="3"/>
      <c r="AB3" s="3"/>
      <c r="AC3" s="3"/>
    </row>
    <row r="4" spans="1:29"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1:29" x14ac:dyDescent="0.2">
      <c r="A5" s="3"/>
      <c r="B5" s="619" t="str">
        <f>'WK1 - Identification'!$F$5</f>
        <v>WORKSHEET 1</v>
      </c>
      <c r="C5" s="3"/>
      <c r="D5" s="3"/>
      <c r="E5" s="3"/>
      <c r="F5" s="3"/>
      <c r="G5" s="3"/>
      <c r="H5" s="3"/>
      <c r="I5" s="3"/>
      <c r="J5" s="3"/>
      <c r="K5" s="3"/>
      <c r="L5" s="3"/>
      <c r="M5" s="3"/>
      <c r="N5" s="3"/>
      <c r="O5" s="3"/>
      <c r="P5" s="3"/>
      <c r="Q5" s="3"/>
      <c r="R5" s="3"/>
      <c r="S5" s="3"/>
      <c r="T5" s="3"/>
      <c r="U5" s="3"/>
      <c r="V5" s="3"/>
      <c r="W5" s="3"/>
      <c r="X5" s="3"/>
      <c r="Y5" s="3"/>
      <c r="Z5" s="3"/>
      <c r="AA5" s="3"/>
      <c r="AB5" s="3"/>
      <c r="AC5" s="3"/>
    </row>
    <row r="6" spans="1:29" ht="12" x14ac:dyDescent="0.25">
      <c r="A6" s="3"/>
      <c r="B6" s="1198" t="str">
        <f>'WK1 - Identification'!C13</f>
        <v>Council Name:</v>
      </c>
      <c r="C6" s="815"/>
      <c r="D6" s="817" t="str">
        <f>'WK2 - Notional General Income'!$C$3</f>
        <v>Hornsby, The Council of the Shire of</v>
      </c>
      <c r="E6" s="815"/>
      <c r="F6" s="918"/>
      <c r="G6" s="3"/>
      <c r="H6" s="3"/>
      <c r="I6" s="3"/>
      <c r="J6" s="3"/>
      <c r="K6" s="3"/>
      <c r="L6" s="3"/>
      <c r="M6" s="3"/>
      <c r="N6" s="3"/>
      <c r="O6" s="3"/>
      <c r="P6" s="3"/>
      <c r="Q6" s="3"/>
      <c r="R6" s="3"/>
      <c r="S6" s="3"/>
      <c r="T6" s="3"/>
      <c r="U6" s="3"/>
      <c r="V6" s="3"/>
      <c r="W6" s="3"/>
      <c r="X6" s="3"/>
      <c r="Y6" s="3"/>
      <c r="Z6" s="3"/>
      <c r="AA6" s="3"/>
      <c r="AB6" s="3"/>
      <c r="AC6" s="3"/>
    </row>
    <row r="7" spans="1:29" x14ac:dyDescent="0.2">
      <c r="A7" s="3"/>
      <c r="B7" s="630" t="s">
        <v>120</v>
      </c>
      <c r="C7" s="3"/>
      <c r="D7" s="692" t="str">
        <f>'WK1 - Identification'!K28</f>
        <v>s508A</v>
      </c>
      <c r="E7" s="3"/>
      <c r="F7" s="96"/>
      <c r="G7" s="3"/>
      <c r="H7" s="3"/>
      <c r="I7" s="3"/>
      <c r="J7" s="3"/>
      <c r="K7" s="3"/>
      <c r="L7" s="3"/>
      <c r="M7" s="3"/>
      <c r="N7" s="3"/>
      <c r="O7" s="3"/>
      <c r="P7" s="3"/>
      <c r="Q7" s="3"/>
      <c r="R7" s="3"/>
      <c r="S7" s="3"/>
      <c r="T7" s="3"/>
      <c r="U7" s="3"/>
      <c r="V7" s="3"/>
      <c r="W7" s="3"/>
      <c r="X7" s="3"/>
      <c r="Y7" s="3"/>
      <c r="Z7" s="3"/>
      <c r="AA7" s="3"/>
      <c r="AB7" s="3"/>
      <c r="AC7" s="3"/>
    </row>
    <row r="8" spans="1:29" x14ac:dyDescent="0.2">
      <c r="A8" s="3"/>
      <c r="B8" s="630" t="s">
        <v>121</v>
      </c>
      <c r="C8" s="3"/>
      <c r="D8" s="449" t="str">
        <f>'WK1 - Identification'!K24</f>
        <v>no</v>
      </c>
      <c r="E8" s="3"/>
      <c r="F8" s="96"/>
      <c r="G8" s="3"/>
      <c r="H8" s="3"/>
      <c r="I8" s="3"/>
      <c r="J8" s="3"/>
      <c r="K8" s="3"/>
      <c r="L8" s="3"/>
      <c r="M8" s="3"/>
      <c r="N8" s="3"/>
      <c r="O8" s="3"/>
      <c r="P8" s="3"/>
      <c r="Q8" s="3"/>
      <c r="R8" s="3"/>
      <c r="S8" s="3"/>
      <c r="T8" s="3"/>
      <c r="U8" s="3"/>
      <c r="V8" s="3"/>
      <c r="W8" s="3"/>
      <c r="X8" s="3"/>
      <c r="Y8" s="3"/>
      <c r="Z8" s="3"/>
      <c r="AA8" s="3"/>
      <c r="AB8" s="3"/>
      <c r="AC8" s="3"/>
    </row>
    <row r="9" spans="1:29" x14ac:dyDescent="0.2">
      <c r="A9" s="3"/>
      <c r="B9" s="135" t="s">
        <v>122</v>
      </c>
      <c r="C9" s="3"/>
      <c r="D9" s="449">
        <f>'WK1 - Identification'!S31</f>
        <v>4</v>
      </c>
      <c r="E9" s="3"/>
      <c r="F9" s="96"/>
      <c r="G9" s="3"/>
      <c r="H9" s="3"/>
      <c r="I9" s="3"/>
      <c r="J9" s="3"/>
      <c r="K9" s="3"/>
      <c r="L9" s="3"/>
      <c r="M9" s="3"/>
      <c r="N9" s="3"/>
      <c r="O9" s="3"/>
      <c r="P9" s="3"/>
      <c r="Q9" s="3"/>
      <c r="R9" s="3"/>
      <c r="S9" s="3"/>
      <c r="T9" s="3"/>
      <c r="U9" s="3"/>
      <c r="V9" s="3"/>
      <c r="W9" s="3"/>
      <c r="X9" s="3"/>
      <c r="Y9" s="3"/>
      <c r="Z9" s="3"/>
      <c r="AA9" s="3"/>
      <c r="AB9" s="3"/>
      <c r="AC9" s="3"/>
    </row>
    <row r="10" spans="1:29" x14ac:dyDescent="0.2">
      <c r="A10" s="3"/>
      <c r="B10" s="767" t="s">
        <v>123</v>
      </c>
      <c r="C10" s="3"/>
      <c r="D10" s="692" t="str">
        <f>'WK1 - Identification'!K30</f>
        <v>Permanent</v>
      </c>
      <c r="E10" s="3"/>
      <c r="F10" s="96"/>
      <c r="H10" s="3"/>
      <c r="I10" s="3"/>
      <c r="J10" s="3"/>
      <c r="K10" s="3"/>
      <c r="L10" s="3"/>
      <c r="M10" s="3"/>
      <c r="N10" s="3"/>
      <c r="O10" s="3"/>
      <c r="P10" s="3"/>
      <c r="Q10" s="3"/>
      <c r="R10" s="3"/>
      <c r="S10" s="3"/>
      <c r="T10" s="3"/>
      <c r="U10" s="3"/>
      <c r="V10" s="3"/>
      <c r="W10" s="3"/>
      <c r="X10" s="3"/>
      <c r="Y10" s="3"/>
      <c r="Z10" s="3"/>
      <c r="AA10" s="3"/>
      <c r="AB10" s="3"/>
      <c r="AC10" s="3"/>
    </row>
    <row r="11" spans="1:29" x14ac:dyDescent="0.2">
      <c r="A11" s="3"/>
      <c r="B11" s="135" t="s">
        <v>124</v>
      </c>
      <c r="C11" s="3"/>
      <c r="D11" s="931">
        <f>'WK1 - Identification'!K31</f>
        <v>0</v>
      </c>
      <c r="E11" s="3"/>
      <c r="F11" s="96"/>
      <c r="G11" s="3"/>
      <c r="H11" s="3"/>
      <c r="I11" s="3"/>
      <c r="J11" s="3"/>
      <c r="K11" s="3"/>
      <c r="L11" s="3"/>
      <c r="M11" s="3"/>
      <c r="N11" s="3"/>
      <c r="O11" s="3"/>
      <c r="P11" s="3"/>
      <c r="Q11" s="3"/>
      <c r="R11" s="3"/>
      <c r="S11" s="3"/>
      <c r="T11" s="3"/>
      <c r="U11" s="3"/>
      <c r="V11" s="3"/>
      <c r="W11" s="3"/>
      <c r="X11" s="3"/>
      <c r="Y11" s="3"/>
      <c r="Z11" s="3"/>
      <c r="AA11" s="3"/>
      <c r="AB11" s="3"/>
      <c r="AC11" s="3"/>
    </row>
    <row r="12" spans="1:29" x14ac:dyDescent="0.2">
      <c r="A12" s="3"/>
      <c r="B12" s="97"/>
      <c r="C12" s="93"/>
      <c r="D12" s="93"/>
      <c r="E12" s="93"/>
      <c r="F12" s="98"/>
      <c r="G12" s="3"/>
      <c r="H12" s="3"/>
      <c r="I12" s="3"/>
      <c r="J12" s="3"/>
      <c r="K12" s="3"/>
      <c r="L12" s="3"/>
      <c r="M12" s="3"/>
      <c r="N12" s="3"/>
      <c r="O12" s="3"/>
      <c r="P12" s="3"/>
      <c r="Q12" s="3"/>
      <c r="R12" s="3"/>
      <c r="S12" s="3"/>
      <c r="T12" s="3"/>
      <c r="U12" s="3"/>
      <c r="V12" s="3"/>
      <c r="W12" s="3"/>
      <c r="X12" s="3"/>
      <c r="Y12" s="3"/>
      <c r="Z12" s="3"/>
      <c r="AA12" s="3"/>
      <c r="AB12" s="3"/>
      <c r="AC12" s="3"/>
    </row>
    <row r="13" spans="1:29"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1:29"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row>
    <row r="15" spans="1:29" x14ac:dyDescent="0.2">
      <c r="A15" s="3"/>
      <c r="B15" s="881" t="str">
        <f>'WK1 - Identification'!$F$5</f>
        <v>WORKSHEET 1</v>
      </c>
      <c r="C15" s="963" t="s">
        <v>125</v>
      </c>
      <c r="D15" s="93"/>
      <c r="E15" s="93"/>
      <c r="F15" s="93"/>
      <c r="G15" s="93"/>
      <c r="H15" s="93"/>
      <c r="I15" s="93"/>
      <c r="J15" s="93"/>
      <c r="K15" s="3"/>
      <c r="L15" s="3"/>
      <c r="M15" s="3"/>
      <c r="N15" s="3"/>
      <c r="O15" s="3"/>
      <c r="P15" s="3"/>
      <c r="Q15" s="3"/>
      <c r="R15" s="3"/>
      <c r="S15" s="3"/>
      <c r="T15" s="3"/>
      <c r="U15" s="3"/>
      <c r="V15" s="3"/>
      <c r="W15" s="3"/>
      <c r="X15" s="3"/>
      <c r="Y15" s="3"/>
      <c r="Z15" s="3"/>
      <c r="AA15" s="3"/>
      <c r="AB15" s="3"/>
      <c r="AC15" s="3"/>
    </row>
    <row r="16" spans="1:29" x14ac:dyDescent="0.2">
      <c r="A16" s="3"/>
      <c r="B16" s="135"/>
      <c r="C16" s="3"/>
      <c r="D16" s="3" t="s">
        <v>126</v>
      </c>
      <c r="E16" s="3"/>
      <c r="F16" s="3"/>
      <c r="G16" s="3"/>
      <c r="H16" s="3"/>
      <c r="I16" s="3"/>
      <c r="J16" s="96"/>
      <c r="K16" s="3"/>
      <c r="L16" s="3"/>
      <c r="M16" s="3"/>
      <c r="N16" s="3"/>
      <c r="O16" s="3"/>
      <c r="P16" s="3"/>
      <c r="Q16" s="3"/>
      <c r="R16" s="3"/>
      <c r="S16" s="3"/>
      <c r="T16" s="3"/>
      <c r="U16" s="3"/>
      <c r="V16" s="3"/>
      <c r="W16" s="3"/>
      <c r="X16" s="3"/>
      <c r="Y16" s="3"/>
      <c r="Z16" s="3"/>
      <c r="AA16" s="3"/>
      <c r="AB16" s="3"/>
      <c r="AC16" s="3"/>
    </row>
    <row r="17" spans="1:29" x14ac:dyDescent="0.2">
      <c r="A17" s="3"/>
      <c r="B17" s="630" t="str">
        <f>'WK1 - Identification'!I38</f>
        <v>1st Expiring SV</v>
      </c>
      <c r="C17" s="3"/>
      <c r="D17" s="898" t="str">
        <f>'WK1 - Identification'!K38</f>
        <v>na</v>
      </c>
      <c r="E17" s="3"/>
      <c r="F17" s="3"/>
      <c r="G17" s="900"/>
      <c r="H17" s="3"/>
      <c r="I17" s="900"/>
      <c r="J17" s="96"/>
      <c r="K17" s="372"/>
      <c r="L17" s="3"/>
      <c r="M17" s="3"/>
      <c r="N17" s="3"/>
      <c r="O17" s="3"/>
      <c r="P17" s="3"/>
      <c r="Q17" s="3"/>
      <c r="R17" s="3"/>
      <c r="S17" s="3"/>
      <c r="T17" s="3"/>
      <c r="U17" s="3"/>
      <c r="V17" s="3"/>
      <c r="W17" s="3"/>
      <c r="X17" s="3"/>
      <c r="Y17" s="3"/>
      <c r="Z17" s="3"/>
      <c r="AA17" s="3"/>
      <c r="AB17" s="3"/>
      <c r="AC17" s="3"/>
    </row>
    <row r="18" spans="1:29" x14ac:dyDescent="0.2">
      <c r="A18" s="3"/>
      <c r="B18" s="630" t="str">
        <f>'WK1 - Identification'!I39</f>
        <v>2nd Expiring SV</v>
      </c>
      <c r="C18" s="3"/>
      <c r="D18" s="898" t="str">
        <f>'WK1 - Identification'!K39</f>
        <v>na</v>
      </c>
      <c r="E18" s="3"/>
      <c r="F18" s="3"/>
      <c r="G18" s="900"/>
      <c r="H18" s="3"/>
      <c r="I18" s="900"/>
      <c r="J18" s="96"/>
      <c r="K18" s="372"/>
      <c r="L18" s="3"/>
      <c r="M18" s="3"/>
      <c r="N18" s="3"/>
      <c r="O18" s="3"/>
      <c r="P18" s="3"/>
      <c r="Q18" s="3"/>
      <c r="R18" s="3"/>
      <c r="S18" s="3"/>
      <c r="T18" s="3"/>
      <c r="U18" s="3"/>
      <c r="V18" s="3"/>
      <c r="W18" s="3"/>
      <c r="X18" s="3"/>
      <c r="Y18" s="3"/>
      <c r="Z18" s="3"/>
      <c r="AA18" s="3"/>
      <c r="AB18" s="3"/>
      <c r="AC18" s="3"/>
    </row>
    <row r="19" spans="1:29" x14ac:dyDescent="0.2">
      <c r="A19" s="3"/>
      <c r="B19" s="97"/>
      <c r="C19" s="93"/>
      <c r="D19" s="93"/>
      <c r="E19" s="93"/>
      <c r="F19" s="93"/>
      <c r="G19" s="93"/>
      <c r="H19" s="93"/>
      <c r="I19" s="93"/>
      <c r="J19" s="98"/>
      <c r="K19" s="3"/>
      <c r="L19" s="3"/>
      <c r="M19" s="3"/>
      <c r="N19" s="3"/>
      <c r="O19" s="3"/>
      <c r="P19" s="3"/>
      <c r="Q19" s="3"/>
      <c r="R19" s="3"/>
      <c r="S19" s="3"/>
      <c r="T19" s="3"/>
      <c r="U19" s="3"/>
      <c r="V19" s="3"/>
      <c r="W19" s="3"/>
      <c r="X19" s="3"/>
      <c r="Y19" s="3"/>
      <c r="Z19" s="3"/>
      <c r="AA19" s="3"/>
      <c r="AB19" s="3"/>
      <c r="AC19" s="3"/>
    </row>
    <row r="20" spans="1:29"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1:29"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1:29" x14ac:dyDescent="0.2">
      <c r="A22" s="3"/>
      <c r="B22" s="619" t="str">
        <f>'WK1 - Identification'!$F$5</f>
        <v>WORKSHEET 1</v>
      </c>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1:29" ht="12" x14ac:dyDescent="0.25">
      <c r="A23" s="3"/>
      <c r="B23" s="620" t="str">
        <f>'WK1 - Identification'!C49</f>
        <v>E. Requested annual percentage increases and expiring SV amounts</v>
      </c>
      <c r="C23" s="2"/>
      <c r="D23" s="2"/>
      <c r="E23" s="2"/>
      <c r="F23" s="2"/>
      <c r="G23" s="3"/>
      <c r="H23" s="3"/>
      <c r="I23" s="3"/>
      <c r="J23" s="3"/>
      <c r="K23" s="3"/>
      <c r="L23" s="3"/>
      <c r="M23" s="3"/>
      <c r="N23" s="3"/>
      <c r="O23" s="3"/>
      <c r="P23" s="3"/>
      <c r="Q23" s="3"/>
      <c r="R23" s="3"/>
      <c r="S23" s="3"/>
      <c r="T23" s="3"/>
      <c r="U23" s="3"/>
      <c r="V23" s="3"/>
      <c r="W23" s="3"/>
      <c r="X23" s="3"/>
      <c r="Y23" s="3"/>
      <c r="Z23" s="3"/>
      <c r="AA23" s="3"/>
      <c r="AB23" s="3"/>
      <c r="AC23" s="3"/>
    </row>
    <row r="24" spans="1:29" x14ac:dyDescent="0.2">
      <c r="A24" s="3"/>
      <c r="B24" s="1199"/>
      <c r="C24" s="815"/>
      <c r="D24" s="815"/>
      <c r="E24" s="815"/>
      <c r="F24" s="815"/>
      <c r="G24" s="918"/>
      <c r="H24" s="1200" t="str">
        <f>'WK1 - Identification'!F55</f>
        <v>Year 0</v>
      </c>
      <c r="I24" s="872" t="str">
        <f>'WK1 - Identification'!G55</f>
        <v>Year 1</v>
      </c>
      <c r="J24" s="872" t="str">
        <f>'WK1 - Identification'!H55</f>
        <v>Year 2</v>
      </c>
      <c r="K24" s="872" t="str">
        <f>'WK1 - Identification'!I55</f>
        <v>Year 3</v>
      </c>
      <c r="L24" s="872" t="str">
        <f>'WK1 - Identification'!J55</f>
        <v>Year 4</v>
      </c>
      <c r="M24" s="872" t="str">
        <f>'WK1 - Identification'!K55</f>
        <v>Year 5</v>
      </c>
      <c r="N24" s="872" t="str">
        <f>'WK1 - Identification'!L55</f>
        <v>Year 6</v>
      </c>
      <c r="O24" s="872" t="str">
        <f>'WK1 - Identification'!M55</f>
        <v>Year 7</v>
      </c>
      <c r="P24" s="135"/>
      <c r="Q24" s="3"/>
      <c r="R24" s="3"/>
      <c r="S24" s="3"/>
      <c r="T24" s="3"/>
      <c r="U24" s="3"/>
      <c r="V24" s="3"/>
      <c r="W24" s="3"/>
      <c r="X24" s="3"/>
      <c r="Y24" s="3"/>
      <c r="Z24" s="3"/>
      <c r="AA24" s="3"/>
      <c r="AB24" s="3"/>
      <c r="AC24" s="3"/>
    </row>
    <row r="25" spans="1:29" x14ac:dyDescent="0.2">
      <c r="A25" s="3"/>
      <c r="B25" s="621" t="str">
        <f>'WK1 - Identification'!C56</f>
        <v>Financial year</v>
      </c>
      <c r="C25" s="93"/>
      <c r="D25" s="93"/>
      <c r="E25" s="93"/>
      <c r="F25" s="93"/>
      <c r="G25" s="98"/>
      <c r="H25" s="873" t="str">
        <f>'WK1 - Identification'!F56</f>
        <v>2022-23</v>
      </c>
      <c r="I25" s="873" t="str">
        <f>'WK1 - Identification'!G56</f>
        <v>2023-24</v>
      </c>
      <c r="J25" s="873" t="str">
        <f>'WK1 - Identification'!H56</f>
        <v>2024-25</v>
      </c>
      <c r="K25" s="873" t="str">
        <f>'WK1 - Identification'!I56</f>
        <v>2025-26</v>
      </c>
      <c r="L25" s="873" t="str">
        <f>'WK1 - Identification'!J56</f>
        <v>2026-27</v>
      </c>
      <c r="M25" s="873" t="str">
        <f>'WK1 - Identification'!K56</f>
        <v>2027-28</v>
      </c>
      <c r="N25" s="873" t="str">
        <f>'WK1 - Identification'!L56</f>
        <v>2028-29</v>
      </c>
      <c r="O25" s="873" t="str">
        <f>'WK1 - Identification'!M56</f>
        <v>2029-30</v>
      </c>
      <c r="P25" s="135"/>
      <c r="Q25" s="3"/>
      <c r="R25" s="3"/>
      <c r="S25" s="3"/>
      <c r="T25" s="3"/>
      <c r="U25" s="3"/>
      <c r="V25" s="3"/>
      <c r="W25" s="3"/>
      <c r="X25" s="3"/>
      <c r="Y25" s="3"/>
      <c r="Z25" s="3"/>
      <c r="AA25" s="3"/>
      <c r="AB25" s="3"/>
      <c r="AC25" s="3"/>
    </row>
    <row r="26" spans="1:29" x14ac:dyDescent="0.2">
      <c r="A26" s="3"/>
      <c r="B26" s="874" t="str">
        <f>'WK1 - Identification'!C57</f>
        <v>1= included in SV period</v>
      </c>
      <c r="C26" s="3"/>
      <c r="D26" s="3"/>
      <c r="E26" s="422"/>
      <c r="F26" s="422"/>
      <c r="G26" s="870"/>
      <c r="H26" s="422"/>
      <c r="I26" s="875">
        <f>'WK1 - Identification'!G57</f>
        <v>1</v>
      </c>
      <c r="J26" s="875">
        <f>'WK1 - Identification'!H57</f>
        <v>1</v>
      </c>
      <c r="K26" s="875">
        <f>'WK1 - Identification'!I57</f>
        <v>1</v>
      </c>
      <c r="L26" s="875">
        <f>'WK1 - Identification'!J57</f>
        <v>1</v>
      </c>
      <c r="M26" s="875">
        <f>'WK1 - Identification'!K57</f>
        <v>0</v>
      </c>
      <c r="N26" s="875">
        <f>'WK1 - Identification'!L57</f>
        <v>0</v>
      </c>
      <c r="O26" s="875">
        <f>'WK1 - Identification'!M57</f>
        <v>0</v>
      </c>
      <c r="P26" s="135"/>
      <c r="Q26" s="3"/>
      <c r="R26" s="3"/>
      <c r="S26" s="3"/>
      <c r="T26" s="3"/>
      <c r="U26" s="3"/>
      <c r="V26" s="3"/>
      <c r="W26" s="3"/>
      <c r="X26" s="3"/>
      <c r="Y26" s="3"/>
      <c r="Z26" s="3"/>
      <c r="AA26" s="3"/>
      <c r="AB26" s="3"/>
      <c r="AC26" s="3"/>
    </row>
    <row r="27" spans="1:29" x14ac:dyDescent="0.2">
      <c r="A27" s="3"/>
      <c r="B27" s="876" t="str">
        <f>'WK1 - Identification'!C58</f>
        <v>0 = beyond temporary SV period</v>
      </c>
      <c r="C27" s="411"/>
      <c r="D27" s="411"/>
      <c r="E27" s="821"/>
      <c r="F27" s="821"/>
      <c r="G27" s="871"/>
      <c r="H27" s="821"/>
      <c r="I27" s="877">
        <f>'WK1 - Identification'!G58</f>
        <v>1</v>
      </c>
      <c r="J27" s="877">
        <f>'WK1 - Identification'!H58</f>
        <v>1</v>
      </c>
      <c r="K27" s="877">
        <f>'WK1 - Identification'!I58</f>
        <v>1</v>
      </c>
      <c r="L27" s="877">
        <f>'WK1 - Identification'!J58</f>
        <v>1</v>
      </c>
      <c r="M27" s="877">
        <f>'WK1 - Identification'!K58</f>
        <v>1</v>
      </c>
      <c r="N27" s="877">
        <f>'WK1 - Identification'!L58</f>
        <v>1</v>
      </c>
      <c r="O27" s="877">
        <f>'WK1 - Identification'!M58</f>
        <v>1</v>
      </c>
      <c r="P27" s="135"/>
      <c r="Q27" s="3"/>
      <c r="R27" s="3"/>
      <c r="S27" s="3"/>
      <c r="T27" s="3"/>
      <c r="U27" s="3"/>
      <c r="V27" s="3"/>
      <c r="W27" s="3"/>
      <c r="X27" s="3"/>
      <c r="Y27" s="3"/>
      <c r="Z27" s="3"/>
      <c r="AA27" s="3"/>
      <c r="AB27" s="3"/>
      <c r="AC27" s="3"/>
    </row>
    <row r="28" spans="1:29" ht="12.6" thickBot="1" x14ac:dyDescent="0.3">
      <c r="A28" s="3"/>
      <c r="B28" s="632" t="str">
        <f>'WK1 - Identification'!C59</f>
        <v>Annual % increases</v>
      </c>
      <c r="C28" s="3"/>
      <c r="D28" s="3"/>
      <c r="E28" s="3"/>
      <c r="F28" s="3"/>
      <c r="G28" s="96"/>
      <c r="H28" s="3"/>
      <c r="I28" s="3"/>
      <c r="J28" s="3"/>
      <c r="K28" s="3"/>
      <c r="L28" s="3"/>
      <c r="M28" s="3"/>
      <c r="N28" s="3"/>
      <c r="O28" s="3"/>
      <c r="P28" s="135"/>
      <c r="Q28" s="3"/>
      <c r="R28" s="3"/>
      <c r="S28" s="3"/>
      <c r="T28" s="3"/>
      <c r="U28" s="3"/>
      <c r="V28" s="3"/>
      <c r="W28" s="3"/>
      <c r="X28" s="3"/>
      <c r="Y28" s="3"/>
      <c r="Z28" s="3"/>
      <c r="AA28" s="3"/>
      <c r="AB28" s="3"/>
      <c r="AC28" s="3"/>
    </row>
    <row r="29" spans="1:29" ht="12.6" thickTop="1" thickBot="1" x14ac:dyDescent="0.25">
      <c r="A29" s="3"/>
      <c r="B29" s="630" t="str">
        <f>'WK1 - Identification'!C60</f>
        <v>na - leave blank</v>
      </c>
      <c r="C29" s="3"/>
      <c r="D29" s="256"/>
      <c r="E29" s="3"/>
      <c r="F29" s="3"/>
      <c r="G29" s="96"/>
      <c r="H29" s="256"/>
      <c r="I29" s="975">
        <f>IF($D$8="no",0,'WK1 - Identification'!G60)</f>
        <v>0</v>
      </c>
      <c r="J29" s="975">
        <f>IF($D$8="no",0,'WK1 - Identification'!H60)</f>
        <v>0</v>
      </c>
      <c r="K29" s="975">
        <f>IF($D$8="no",0,'WK1 - Identification'!I60)</f>
        <v>0</v>
      </c>
      <c r="L29" s="975">
        <f>IF($D$8="no",0,'WK1 - Identification'!J60)</f>
        <v>0</v>
      </c>
      <c r="M29" s="975">
        <f>IF($D$8="no",0,'WK1 - Identification'!K60)</f>
        <v>0</v>
      </c>
      <c r="N29" s="975">
        <f>IF($D$8="no",0,'WK1 - Identification'!L60)</f>
        <v>0</v>
      </c>
      <c r="O29" s="975">
        <f>IF($D$8="no",0,'WK1 - Identification'!M60)</f>
        <v>0</v>
      </c>
      <c r="P29" s="135"/>
      <c r="Q29" s="3"/>
      <c r="R29" s="3"/>
      <c r="S29" s="3"/>
      <c r="T29" s="3"/>
      <c r="U29" s="3"/>
      <c r="V29" s="3"/>
      <c r="W29" s="3"/>
      <c r="X29" s="3"/>
      <c r="Y29" s="3"/>
      <c r="Z29" s="3"/>
      <c r="AA29" s="3"/>
      <c r="AB29" s="3"/>
      <c r="AC29" s="3"/>
    </row>
    <row r="30" spans="1:29" ht="11.25" customHeight="1" thickTop="1" x14ac:dyDescent="0.2">
      <c r="A30" s="3"/>
      <c r="B30" s="135"/>
      <c r="C30" s="3"/>
      <c r="D30" s="256"/>
      <c r="E30" s="3"/>
      <c r="F30" s="3"/>
      <c r="G30" s="96"/>
      <c r="H30" s="255"/>
      <c r="I30" s="256"/>
      <c r="J30" s="256"/>
      <c r="K30" s="256"/>
      <c r="L30" s="256"/>
      <c r="M30" s="256"/>
      <c r="N30" s="256"/>
      <c r="O30" s="256"/>
      <c r="P30" s="135"/>
      <c r="Q30" s="3"/>
      <c r="R30" s="3"/>
      <c r="S30" s="3"/>
      <c r="T30" s="3"/>
      <c r="U30" s="3"/>
      <c r="V30" s="3"/>
      <c r="W30" s="3"/>
      <c r="X30" s="3"/>
      <c r="Y30" s="3"/>
      <c r="Z30" s="3"/>
      <c r="AA30" s="3"/>
      <c r="AB30" s="3"/>
      <c r="AC30" s="3"/>
    </row>
    <row r="31" spans="1:29" x14ac:dyDescent="0.2">
      <c r="A31" s="3"/>
      <c r="B31" s="630" t="str">
        <f>'WK1 - Identification'!C62</f>
        <v xml:space="preserve">   Rate peg only</v>
      </c>
      <c r="C31" s="3"/>
      <c r="D31" s="256"/>
      <c r="E31" s="3"/>
      <c r="F31" s="3"/>
      <c r="G31" s="96"/>
      <c r="H31" s="255"/>
      <c r="I31" s="681">
        <f>'WK1 - Identification'!G62</f>
        <v>3.6999999999999998E-2</v>
      </c>
      <c r="J31" s="681">
        <f>'WK1 - Identification'!H62</f>
        <v>2.5000000000000001E-2</v>
      </c>
      <c r="K31" s="681">
        <f>'WK1 - Identification'!I62</f>
        <v>2.5000000000000001E-2</v>
      </c>
      <c r="L31" s="681">
        <f>'WK1 - Identification'!J62</f>
        <v>2.5000000000000001E-2</v>
      </c>
      <c r="M31" s="681">
        <f>'WK1 - Identification'!K62</f>
        <v>2.5000000000000001E-2</v>
      </c>
      <c r="N31" s="681">
        <f>'WK1 - Identification'!L62</f>
        <v>2.5000000000000001E-2</v>
      </c>
      <c r="O31" s="681">
        <f>'WK1 - Identification'!M62</f>
        <v>2.5000000000000001E-2</v>
      </c>
      <c r="P31" s="135"/>
      <c r="Q31" s="3"/>
      <c r="R31" s="3"/>
      <c r="S31" s="3"/>
      <c r="T31" s="3"/>
      <c r="U31" s="3"/>
      <c r="V31" s="3"/>
      <c r="W31" s="3"/>
      <c r="X31" s="3"/>
      <c r="Y31" s="3"/>
      <c r="Z31" s="3"/>
      <c r="AA31" s="3"/>
      <c r="AB31" s="3"/>
      <c r="AC31" s="3"/>
    </row>
    <row r="32" spans="1:29" x14ac:dyDescent="0.2">
      <c r="A32" s="3"/>
      <c r="B32" s="630" t="str">
        <f>'WK1 - Identification'!C63</f>
        <v xml:space="preserve">     plus</v>
      </c>
      <c r="C32" s="619" t="str">
        <f>'WK1 - Identification'!D63</f>
        <v xml:space="preserve"> na</v>
      </c>
      <c r="D32" s="256"/>
      <c r="E32" s="3"/>
      <c r="F32" s="3"/>
      <c r="G32" s="96"/>
      <c r="H32" s="255"/>
      <c r="I32" s="681">
        <f>'WK1 - Identification'!G63</f>
        <v>0</v>
      </c>
      <c r="J32" s="681">
        <f>'WK1 - Identification'!H63</f>
        <v>0</v>
      </c>
      <c r="K32" s="681">
        <f>'WK1 - Identification'!I63</f>
        <v>0</v>
      </c>
      <c r="L32" s="681">
        <f>'WK1 - Identification'!J63</f>
        <v>0</v>
      </c>
      <c r="M32" s="681">
        <f>'WK1 - Identification'!K63</f>
        <v>0</v>
      </c>
      <c r="N32" s="681">
        <f>'WK1 - Identification'!L63</f>
        <v>0</v>
      </c>
      <c r="O32" s="681">
        <f>'WK1 - Identification'!M63</f>
        <v>0</v>
      </c>
      <c r="P32" s="135"/>
      <c r="Q32" s="3"/>
      <c r="R32" s="3"/>
      <c r="S32" s="3"/>
      <c r="T32" s="3"/>
      <c r="U32" s="3"/>
      <c r="V32" s="3"/>
      <c r="W32" s="3"/>
      <c r="X32" s="3"/>
      <c r="Y32" s="3"/>
      <c r="Z32" s="3"/>
      <c r="AA32" s="3"/>
      <c r="AB32" s="3"/>
      <c r="AC32" s="3"/>
    </row>
    <row r="33" spans="1:29" ht="12" thickBot="1" x14ac:dyDescent="0.25">
      <c r="A33" s="3"/>
      <c r="B33" s="631" t="str">
        <f>'WK1 - Identification'!C64</f>
        <v xml:space="preserve">     plus</v>
      </c>
      <c r="C33" s="619" t="str">
        <f>'WK1 - Identification'!D64</f>
        <v>percentage above the rate peg</v>
      </c>
      <c r="D33" s="256"/>
      <c r="E33" s="3"/>
      <c r="F33" s="3"/>
      <c r="G33" s="96"/>
      <c r="H33" s="255"/>
      <c r="I33" s="681">
        <f>'WK1 - Identification'!G64</f>
        <v>4.8000000000000001E-2</v>
      </c>
      <c r="J33" s="681">
        <f>'WK1 - Identification'!H64</f>
        <v>4.9999999999999996E-2</v>
      </c>
      <c r="K33" s="681">
        <f>'WK1 - Identification'!I64</f>
        <v>0.04</v>
      </c>
      <c r="L33" s="681">
        <f>'WK1 - Identification'!J64</f>
        <v>0.03</v>
      </c>
      <c r="M33" s="681">
        <f>'WK1 - Identification'!K64</f>
        <v>0</v>
      </c>
      <c r="N33" s="681">
        <f>'WK1 - Identification'!L64</f>
        <v>0</v>
      </c>
      <c r="O33" s="681">
        <f>'WK1 - Identification'!M64</f>
        <v>0</v>
      </c>
      <c r="P33" s="135"/>
      <c r="Q33" s="3"/>
      <c r="R33" s="3"/>
      <c r="S33" s="3"/>
      <c r="T33" s="3"/>
      <c r="U33" s="3"/>
      <c r="V33" s="3"/>
      <c r="W33" s="3"/>
      <c r="X33" s="3"/>
      <c r="Y33" s="3"/>
      <c r="Z33" s="3"/>
      <c r="AA33" s="3"/>
      <c r="AB33" s="3"/>
      <c r="AC33" s="3"/>
    </row>
    <row r="34" spans="1:29" ht="12.6" thickTop="1" thickBot="1" x14ac:dyDescent="0.25">
      <c r="A34" s="3"/>
      <c r="B34" s="631" t="str">
        <f>'WK1 - Identification'!C65</f>
        <v xml:space="preserve">     plus</v>
      </c>
      <c r="C34" s="619" t="str">
        <f>'WK1 - Identification'!D65</f>
        <v>na - ignore this row</v>
      </c>
      <c r="D34" s="256"/>
      <c r="E34" s="3"/>
      <c r="F34" s="3"/>
      <c r="G34" s="96"/>
      <c r="H34" s="255"/>
      <c r="I34" s="975">
        <f>CHOOSE('WK1 - Identification'!$S$35,'WK1 - Identification'!G65,0)</f>
        <v>0</v>
      </c>
      <c r="J34" s="975">
        <f>CHOOSE('WK1 - Identification'!$S$35,'WK1 - Identification'!H65,0)</f>
        <v>0</v>
      </c>
      <c r="K34" s="975">
        <f>CHOOSE('WK1 - Identification'!$S$35,'WK1 - Identification'!I65,0)</f>
        <v>0</v>
      </c>
      <c r="L34" s="975">
        <f>CHOOSE('WK1 - Identification'!$S$35,'WK1 - Identification'!J65,0)</f>
        <v>0</v>
      </c>
      <c r="M34" s="975">
        <f>CHOOSE('WK1 - Identification'!$S$35,'WK1 - Identification'!K65,0)</f>
        <v>0</v>
      </c>
      <c r="N34" s="975">
        <f>CHOOSE('WK1 - Identification'!$S$35,'WK1 - Identification'!L65,0)</f>
        <v>0</v>
      </c>
      <c r="O34" s="975">
        <f>CHOOSE('WK1 - Identification'!$S$35,'WK1 - Identification'!M65,0)</f>
        <v>0</v>
      </c>
      <c r="P34" s="135"/>
      <c r="Q34" s="3"/>
      <c r="R34" s="3"/>
      <c r="S34" s="3"/>
      <c r="T34" s="3"/>
      <c r="U34" s="3"/>
      <c r="V34" s="3"/>
      <c r="W34" s="3"/>
      <c r="X34" s="3"/>
      <c r="Y34" s="3"/>
      <c r="Z34" s="3"/>
      <c r="AA34" s="3"/>
      <c r="AB34" s="3"/>
      <c r="AC34" s="3"/>
    </row>
    <row r="35" spans="1:29" ht="12.6" thickTop="1" thickBot="1" x14ac:dyDescent="0.25">
      <c r="A35" s="3"/>
      <c r="B35" s="631" t="str">
        <f>'WK1 - Identification'!C66</f>
        <v xml:space="preserve">     plus</v>
      </c>
      <c r="C35" s="619" t="str">
        <f>'WK1 - Identification'!D66</f>
        <v>Crown Land adjustment</v>
      </c>
      <c r="D35" s="3"/>
      <c r="E35" s="3"/>
      <c r="F35" s="3"/>
      <c r="G35" s="96"/>
      <c r="H35" s="135"/>
      <c r="I35" s="681">
        <f>'WK1 - Identification'!G66</f>
        <v>0</v>
      </c>
      <c r="J35" s="681">
        <f>'WK1 - Identification'!H66</f>
        <v>0</v>
      </c>
      <c r="K35" s="681">
        <f>'WK1 - Identification'!I66</f>
        <v>0</v>
      </c>
      <c r="L35" s="681">
        <f>'WK1 - Identification'!J66</f>
        <v>0</v>
      </c>
      <c r="M35" s="681">
        <f>'WK1 - Identification'!K66</f>
        <v>0</v>
      </c>
      <c r="N35" s="681">
        <f>'WK1 - Identification'!L66</f>
        <v>0</v>
      </c>
      <c r="O35" s="681">
        <f>'WK1 - Identification'!M66</f>
        <v>0</v>
      </c>
      <c r="P35" s="135"/>
      <c r="Q35" s="3"/>
      <c r="R35" s="3"/>
      <c r="S35" s="3"/>
      <c r="T35" s="3"/>
      <c r="U35" s="3"/>
      <c r="V35" s="3"/>
      <c r="W35" s="3"/>
      <c r="X35" s="3"/>
      <c r="Y35" s="3"/>
      <c r="Z35" s="3"/>
      <c r="AA35" s="3"/>
      <c r="AB35" s="3"/>
      <c r="AC35" s="3"/>
    </row>
    <row r="36" spans="1:29" ht="12.6" thickTop="1" thickBot="1" x14ac:dyDescent="0.25">
      <c r="A36" s="3"/>
      <c r="B36" s="630" t="str">
        <f>'WK1 - Identification'!C67</f>
        <v xml:space="preserve">   Proposed SV </v>
      </c>
      <c r="C36" s="3"/>
      <c r="D36" s="3"/>
      <c r="E36" s="3"/>
      <c r="F36" s="3"/>
      <c r="G36" s="96"/>
      <c r="H36" s="135"/>
      <c r="I36" s="975">
        <f>IF(I27=0,0,IF(I26=0,I31+I32,'WK1 - Identification'!G67))</f>
        <v>8.4999999999999992E-2</v>
      </c>
      <c r="J36" s="975">
        <f>IF(J27=0,0,IF(J26=0,J31+J32,'WK1 - Identification'!H67))</f>
        <v>7.4999999999999997E-2</v>
      </c>
      <c r="K36" s="975">
        <f>IF(K27=0,0,IF(K26=0,K31+K32,'WK1 - Identification'!I67))</f>
        <v>6.5000000000000002E-2</v>
      </c>
      <c r="L36" s="975">
        <f>IF(L27=0,0,IF(L26=0,L31+L32,'WK1 - Identification'!J67))</f>
        <v>5.5E-2</v>
      </c>
      <c r="M36" s="975">
        <f>IF(M27=0,0,IF(M26=0,M31+M32,'WK1 - Identification'!K67))</f>
        <v>2.5000000000000001E-2</v>
      </c>
      <c r="N36" s="975">
        <f>IF(N27=0,0,IF(N26=0,N31+N32,'WK1 - Identification'!L67))</f>
        <v>2.5000000000000001E-2</v>
      </c>
      <c r="O36" s="976">
        <f>IF(O27=0,0,IF(O26=0,O31+O32,'WK1 - Identification'!M67))</f>
        <v>2.5000000000000001E-2</v>
      </c>
      <c r="P36" s="135"/>
      <c r="Q36" s="3"/>
      <c r="R36" s="3"/>
      <c r="S36" s="3"/>
      <c r="T36" s="3"/>
      <c r="U36" s="3"/>
      <c r="V36" s="3"/>
      <c r="W36" s="3"/>
      <c r="X36" s="3"/>
      <c r="Y36" s="3"/>
      <c r="Z36" s="3"/>
      <c r="AA36" s="3"/>
      <c r="AB36" s="3"/>
      <c r="AC36" s="3"/>
    </row>
    <row r="37" spans="1:29" ht="12.6" thickTop="1" x14ac:dyDescent="0.25">
      <c r="A37" s="3"/>
      <c r="B37" s="632" t="str">
        <f>'WK1 - Identification'!C68</f>
        <v>Cumulative % increase</v>
      </c>
      <c r="C37" s="3"/>
      <c r="D37" s="3"/>
      <c r="E37" s="3"/>
      <c r="F37" s="3"/>
      <c r="G37" s="96"/>
      <c r="H37" s="135"/>
      <c r="I37" s="3"/>
      <c r="J37" s="3"/>
      <c r="K37" s="3"/>
      <c r="L37" s="3"/>
      <c r="M37" s="3"/>
      <c r="N37" s="3"/>
      <c r="O37" s="3"/>
      <c r="P37" s="135"/>
      <c r="Q37" s="3"/>
      <c r="R37" s="3"/>
      <c r="S37" s="3"/>
      <c r="T37" s="3"/>
      <c r="U37" s="3"/>
      <c r="V37" s="3"/>
      <c r="W37" s="3"/>
      <c r="X37" s="3"/>
      <c r="Y37" s="3"/>
      <c r="Z37" s="3"/>
      <c r="AA37" s="3"/>
      <c r="AB37" s="3"/>
      <c r="AC37" s="3"/>
    </row>
    <row r="38" spans="1:29" x14ac:dyDescent="0.2">
      <c r="A38" s="3"/>
      <c r="B38" s="630" t="str">
        <f>'WK1 - Identification'!C69</f>
        <v>Rate peg only</v>
      </c>
      <c r="C38" s="3"/>
      <c r="D38" s="3"/>
      <c r="E38" s="3"/>
      <c r="F38" s="3"/>
      <c r="G38" s="96"/>
      <c r="H38" s="135"/>
      <c r="I38" s="681">
        <f>'WK1 - Identification'!G69</f>
        <v>3.6999999999999998E-2</v>
      </c>
      <c r="J38" s="681">
        <f>'WK1 - Identification'!H69</f>
        <v>6.2924999999999898E-2</v>
      </c>
      <c r="K38" s="681">
        <f>'WK1 - Identification'!I69</f>
        <v>8.9498124999999762E-2</v>
      </c>
      <c r="L38" s="681">
        <f>'WK1 - Identification'!J69</f>
        <v>0.11673557812499968</v>
      </c>
      <c r="M38" s="681">
        <f>'WK1 - Identification'!K69</f>
        <v>0.14465396757812465</v>
      </c>
      <c r="N38" s="681">
        <f>'WK1 - Identification'!L69</f>
        <v>0.17327031676757776</v>
      </c>
      <c r="O38" s="681">
        <f>'WK1 - Identification'!M69</f>
        <v>0.20260207468676716</v>
      </c>
      <c r="P38" s="135"/>
      <c r="Q38" s="3"/>
      <c r="R38" s="3"/>
      <c r="S38" s="3"/>
      <c r="T38" s="3"/>
      <c r="U38" s="3"/>
      <c r="V38" s="3"/>
      <c r="W38" s="3"/>
      <c r="X38" s="3"/>
      <c r="Y38" s="3"/>
      <c r="Z38" s="3"/>
      <c r="AA38" s="3"/>
      <c r="AB38" s="3"/>
      <c r="AC38" s="3"/>
    </row>
    <row r="39" spans="1:29" x14ac:dyDescent="0.2">
      <c r="A39" s="3"/>
      <c r="B39" s="631" t="str">
        <f>'WK1 - Identification'!C70</f>
        <v xml:space="preserve">     plus</v>
      </c>
      <c r="C39" s="3" t="str">
        <f>'WK1 - Identification'!D70</f>
        <v>additional increases</v>
      </c>
      <c r="D39" s="3"/>
      <c r="E39" s="3"/>
      <c r="F39" s="3"/>
      <c r="G39" s="96"/>
      <c r="H39" s="135"/>
      <c r="I39" s="681">
        <f>'WK1 - Identification'!G70</f>
        <v>4.8000000000000001E-2</v>
      </c>
      <c r="J39" s="681">
        <f>'WK1 - Identification'!H70</f>
        <v>0.10345000000000004</v>
      </c>
      <c r="K39" s="681">
        <f>'WK1 - Identification'!I70</f>
        <v>0.15269125000000017</v>
      </c>
      <c r="L39" s="681">
        <f>'WK1 - Identification'!J70</f>
        <v>0.19377421250000015</v>
      </c>
      <c r="M39" s="681">
        <f>'WK1 - Identification'!K70</f>
        <v>0</v>
      </c>
      <c r="N39" s="681">
        <f>'WK1 - Identification'!L70</f>
        <v>0</v>
      </c>
      <c r="O39" s="681">
        <f>'WK1 - Identification'!M70</f>
        <v>0</v>
      </c>
      <c r="P39" s="135"/>
      <c r="Q39" s="3"/>
      <c r="R39" s="3"/>
      <c r="S39" s="3"/>
      <c r="T39" s="3"/>
      <c r="U39" s="3"/>
      <c r="V39" s="3"/>
      <c r="W39" s="3"/>
      <c r="X39" s="3"/>
      <c r="Y39" s="3"/>
      <c r="Z39" s="3"/>
      <c r="AA39" s="3"/>
      <c r="AB39" s="3"/>
      <c r="AC39" s="3"/>
    </row>
    <row r="40" spans="1:29" x14ac:dyDescent="0.2">
      <c r="A40" s="3"/>
      <c r="B40" s="630" t="str">
        <f>'WK1 - Identification'!C71</f>
        <v xml:space="preserve">   Proposed SV </v>
      </c>
      <c r="C40" s="3"/>
      <c r="D40" s="3"/>
      <c r="E40" s="3"/>
      <c r="F40" s="3"/>
      <c r="G40" s="96"/>
      <c r="H40" s="135"/>
      <c r="I40" s="681">
        <f>'WK1 - Identification'!G71</f>
        <v>8.4999999999999992E-2</v>
      </c>
      <c r="J40" s="681">
        <f>'WK1 - Identification'!H71</f>
        <v>0.16637499999999994</v>
      </c>
      <c r="K40" s="681">
        <f>'WK1 - Identification'!I71</f>
        <v>0.24218937499999993</v>
      </c>
      <c r="L40" s="681">
        <f>'WK1 - Identification'!J71</f>
        <v>0.31050979062499984</v>
      </c>
      <c r="M40" s="681">
        <f>'WK1 - Identification'!K71</f>
        <v>0.34327253539062474</v>
      </c>
      <c r="N40" s="681">
        <f>'WK1 - Identification'!L71</f>
        <v>0.37685434877539015</v>
      </c>
      <c r="O40" s="681">
        <f>'WK1 - Identification'!M71</f>
        <v>0.41127570749477482</v>
      </c>
      <c r="P40" s="135"/>
      <c r="Q40" s="3"/>
      <c r="R40" s="3"/>
      <c r="S40" s="3"/>
      <c r="T40" s="3"/>
      <c r="U40" s="3"/>
      <c r="V40" s="3"/>
      <c r="W40" s="3"/>
      <c r="X40" s="3"/>
      <c r="Y40" s="3"/>
      <c r="Z40" s="3"/>
      <c r="AA40" s="3"/>
      <c r="AB40" s="3"/>
      <c r="AC40" s="3"/>
    </row>
    <row r="41" spans="1:29" x14ac:dyDescent="0.2">
      <c r="A41" s="3"/>
      <c r="B41" s="135"/>
      <c r="C41" s="3"/>
      <c r="D41" s="3"/>
      <c r="E41" s="3"/>
      <c r="F41" s="3"/>
      <c r="G41" s="96"/>
      <c r="H41" s="135"/>
      <c r="I41" s="3"/>
      <c r="J41" s="3"/>
      <c r="K41" s="3"/>
      <c r="L41" s="3"/>
      <c r="M41" s="3"/>
      <c r="N41" s="3"/>
      <c r="O41" s="3"/>
      <c r="P41" s="135"/>
      <c r="Q41" s="3"/>
      <c r="R41" s="3"/>
      <c r="S41" s="3"/>
      <c r="T41" s="3"/>
      <c r="U41" s="3"/>
      <c r="V41" s="3"/>
      <c r="W41" s="3"/>
      <c r="X41" s="3"/>
      <c r="Y41" s="3"/>
      <c r="Z41" s="3"/>
      <c r="AA41" s="3"/>
      <c r="AB41" s="3"/>
      <c r="AC41" s="3"/>
    </row>
    <row r="42" spans="1:29" ht="12" x14ac:dyDescent="0.25">
      <c r="A42" s="3"/>
      <c r="B42" s="632" t="str">
        <f>'WK1 - Identification'!C73</f>
        <v>Expiring special variations</v>
      </c>
      <c r="C42" s="3"/>
      <c r="D42" s="3"/>
      <c r="E42" s="3"/>
      <c r="F42" s="3"/>
      <c r="G42" s="96"/>
      <c r="H42" s="135"/>
      <c r="I42" s="324"/>
      <c r="J42" s="324"/>
      <c r="K42" s="324"/>
      <c r="L42" s="324"/>
      <c r="M42" s="324"/>
      <c r="N42" s="324"/>
      <c r="O42" s="324"/>
      <c r="P42" s="135"/>
      <c r="Q42" s="3"/>
      <c r="R42" s="3"/>
      <c r="S42" s="3"/>
      <c r="T42" s="3"/>
      <c r="U42" s="3"/>
      <c r="V42" s="3"/>
      <c r="W42" s="3"/>
      <c r="X42" s="3"/>
      <c r="Y42" s="3"/>
      <c r="Z42" s="3"/>
      <c r="AA42" s="3"/>
      <c r="AB42" s="3"/>
      <c r="AC42" s="3"/>
    </row>
    <row r="43" spans="1:29" x14ac:dyDescent="0.2">
      <c r="A43" s="3"/>
      <c r="B43" s="630" t="str">
        <f>'WK1 - Identification'!C74</f>
        <v>$ value of expiring special</v>
      </c>
      <c r="C43" s="3"/>
      <c r="D43" s="3"/>
      <c r="E43" s="3"/>
      <c r="F43" s="3"/>
      <c r="G43" s="96"/>
      <c r="H43" s="135"/>
      <c r="I43" s="324">
        <f>'WK1 - Identification'!G74</f>
        <v>0</v>
      </c>
      <c r="J43" s="324">
        <f>'WK1 - Identification'!H74</f>
        <v>0</v>
      </c>
      <c r="K43" s="324">
        <f>'WK1 - Identification'!I74</f>
        <v>0</v>
      </c>
      <c r="L43" s="324">
        <f>'WK1 - Identification'!J74</f>
        <v>0</v>
      </c>
      <c r="M43" s="324">
        <f>'WK1 - Identification'!K74</f>
        <v>0</v>
      </c>
      <c r="N43" s="324">
        <f>'WK1 - Identification'!L74</f>
        <v>0</v>
      </c>
      <c r="O43" s="324">
        <f>'WK1 - Identification'!M74</f>
        <v>0</v>
      </c>
      <c r="P43" s="135"/>
      <c r="Q43" s="3"/>
      <c r="R43" s="3"/>
      <c r="S43" s="3"/>
      <c r="T43" s="3"/>
      <c r="U43" s="3"/>
      <c r="V43" s="3"/>
      <c r="W43" s="3"/>
      <c r="X43" s="3"/>
      <c r="Y43" s="3"/>
      <c r="Z43" s="3"/>
      <c r="AA43" s="3"/>
      <c r="AB43" s="3"/>
      <c r="AC43" s="3"/>
    </row>
    <row r="44" spans="1:29" x14ac:dyDescent="0.2">
      <c r="A44" s="3"/>
      <c r="B44" s="630" t="str">
        <f>'WK1 - Identification'!C75</f>
        <v xml:space="preserve"> variations (ESV)</v>
      </c>
      <c r="C44" s="3"/>
      <c r="D44" s="3"/>
      <c r="E44" s="3"/>
      <c r="F44" s="3"/>
      <c r="G44" s="96"/>
      <c r="H44" s="135"/>
      <c r="I44" s="702">
        <f>'WK1 - Identification'!G75</f>
        <v>0</v>
      </c>
      <c r="J44" s="702">
        <f>'WK1 - Identification'!H75</f>
        <v>0</v>
      </c>
      <c r="K44" s="702">
        <f>'WK1 - Identification'!I75</f>
        <v>0</v>
      </c>
      <c r="L44" s="702">
        <f>'WK1 - Identification'!J75</f>
        <v>0</v>
      </c>
      <c r="M44" s="702">
        <f>'WK1 - Identification'!K75</f>
        <v>0</v>
      </c>
      <c r="N44" s="702">
        <f>'WK1 - Identification'!L75</f>
        <v>0</v>
      </c>
      <c r="O44" s="702">
        <f>'WK1 - Identification'!M75</f>
        <v>0</v>
      </c>
      <c r="P44" s="135"/>
      <c r="Q44" s="3"/>
      <c r="R44" s="3"/>
      <c r="S44" s="3"/>
      <c r="T44" s="3"/>
      <c r="U44" s="3"/>
      <c r="V44" s="3"/>
      <c r="W44" s="3"/>
      <c r="X44" s="3"/>
      <c r="Y44" s="3"/>
      <c r="Z44" s="3"/>
      <c r="AA44" s="3"/>
      <c r="AB44" s="3"/>
      <c r="AC44" s="3"/>
    </row>
    <row r="45" spans="1:29" x14ac:dyDescent="0.2">
      <c r="A45" s="3"/>
      <c r="B45" s="97"/>
      <c r="C45" s="93"/>
      <c r="D45" s="93"/>
      <c r="E45" s="93"/>
      <c r="F45" s="93"/>
      <c r="G45" s="98"/>
      <c r="H45" s="97"/>
      <c r="I45" s="93"/>
      <c r="J45" s="93"/>
      <c r="K45" s="93"/>
      <c r="L45" s="93"/>
      <c r="M45" s="93"/>
      <c r="N45" s="93"/>
      <c r="O45" s="93"/>
      <c r="P45" s="135"/>
      <c r="Q45" s="3"/>
      <c r="R45" s="3"/>
      <c r="S45" s="3"/>
      <c r="T45" s="3"/>
      <c r="U45" s="3"/>
      <c r="V45" s="3"/>
      <c r="W45" s="3"/>
      <c r="X45" s="3"/>
      <c r="Y45" s="3"/>
      <c r="Z45" s="3"/>
      <c r="AA45" s="3"/>
      <c r="AB45" s="3"/>
      <c r="AC45" s="3"/>
    </row>
    <row r="46" spans="1:29" x14ac:dyDescent="0.2">
      <c r="A46" s="3"/>
      <c r="B46" s="844" t="s">
        <v>127</v>
      </c>
      <c r="C46" s="844"/>
      <c r="D46" s="844"/>
      <c r="E46" s="844"/>
      <c r="F46" s="844"/>
      <c r="G46" s="844"/>
      <c r="H46" s="844"/>
      <c r="I46" s="878">
        <f t="shared" ref="I46:O46" si="0">I36-SUM(I31:I35)</f>
        <v>0</v>
      </c>
      <c r="J46" s="878">
        <f t="shared" si="0"/>
        <v>0</v>
      </c>
      <c r="K46" s="878">
        <f t="shared" si="0"/>
        <v>0</v>
      </c>
      <c r="L46" s="878">
        <f t="shared" si="0"/>
        <v>0</v>
      </c>
      <c r="M46" s="878">
        <f t="shared" si="0"/>
        <v>0</v>
      </c>
      <c r="N46" s="878">
        <f t="shared" si="0"/>
        <v>0</v>
      </c>
      <c r="O46" s="878">
        <f t="shared" si="0"/>
        <v>0</v>
      </c>
      <c r="P46" s="135"/>
      <c r="Q46" s="3"/>
      <c r="R46" s="3"/>
      <c r="S46" s="3"/>
      <c r="T46" s="3"/>
      <c r="U46" s="3"/>
      <c r="V46" s="3"/>
      <c r="W46" s="3"/>
      <c r="X46" s="3"/>
      <c r="Y46" s="3"/>
      <c r="Z46" s="3"/>
      <c r="AA46" s="3"/>
      <c r="AB46" s="3"/>
      <c r="AC46" s="3"/>
    </row>
    <row r="47" spans="1:29"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x14ac:dyDescent="0.2">
      <c r="A49" s="3"/>
      <c r="B49" s="619" t="str">
        <f>'WK4 - PGI summary'!$E$5</f>
        <v>WORKSHEET 4</v>
      </c>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 x14ac:dyDescent="0.25">
      <c r="A50" s="3"/>
      <c r="B50" s="620" t="str">
        <f>'WK4 - PGI summary'!B38</f>
        <v>Note: PGI estimates for years beyond proposed and/or exisiting SV period shown in light grey font. PGI beyond a temporary SV period = 0</v>
      </c>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x14ac:dyDescent="0.2">
      <c r="A51" s="3"/>
      <c r="B51" s="1198" t="str">
        <f>'WK0 - Input data'!B$54</f>
        <v>Year number</v>
      </c>
      <c r="C51" s="815"/>
      <c r="D51" s="918"/>
      <c r="E51" s="1201" t="str">
        <f>'WK0 - Input data'!E$55</f>
        <v>Hist yr 3</v>
      </c>
      <c r="F51" s="919" t="str">
        <f>'WK0 - Input data'!F$55</f>
        <v>Hist yr 2</v>
      </c>
      <c r="G51" s="920" t="str">
        <f>'WK0 - Input data'!G$55</f>
        <v>Hist yr 1</v>
      </c>
      <c r="H51" s="1200" t="str">
        <f>'WK0 - Input data'!H$55</f>
        <v>Year 0</v>
      </c>
      <c r="I51" s="872" t="str">
        <f>'WK0 - Input data'!I$55</f>
        <v>Year 1</v>
      </c>
      <c r="J51" s="872" t="str">
        <f>'WK0 - Input data'!J$55</f>
        <v>Year 2</v>
      </c>
      <c r="K51" s="872" t="str">
        <f>'WK0 - Input data'!K$55</f>
        <v>Year 3</v>
      </c>
      <c r="L51" s="872" t="str">
        <f>'WK0 - Input data'!L$55</f>
        <v>Year 4</v>
      </c>
      <c r="M51" s="872" t="str">
        <f>'WK0 - Input data'!M$55</f>
        <v>Year 5</v>
      </c>
      <c r="N51" s="872" t="str">
        <f>'WK0 - Input data'!N$55</f>
        <v>Year 6</v>
      </c>
      <c r="O51" s="872" t="str">
        <f>'WK0 - Input data'!O$55</f>
        <v>Year 7</v>
      </c>
      <c r="P51" s="1201" t="str">
        <f>'WK0 - Input data'!P$55</f>
        <v>Year 8</v>
      </c>
      <c r="Q51" s="919" t="str">
        <f>'WK0 - Input data'!Q$55</f>
        <v>Year 9</v>
      </c>
      <c r="R51" s="920" t="str">
        <f>'WK0 - Input data'!R$55</f>
        <v>Year 10</v>
      </c>
      <c r="S51" s="1200" t="str">
        <f>'WK4 - PGI summary'!N39</f>
        <v>Total</v>
      </c>
      <c r="T51" s="921" t="str">
        <f>'WK4 - PGI summary'!O39</f>
        <v>increase</v>
      </c>
      <c r="U51" s="3"/>
      <c r="V51" s="3"/>
      <c r="W51" s="3"/>
      <c r="X51" s="3"/>
      <c r="Y51" s="3"/>
      <c r="Z51" s="3"/>
      <c r="AA51" s="3"/>
      <c r="AB51" s="3"/>
      <c r="AC51" s="3"/>
    </row>
    <row r="52" spans="1:29" ht="12" x14ac:dyDescent="0.25">
      <c r="A52" s="3"/>
      <c r="B52" s="621" t="str">
        <f>'WK0 - Input data'!B$58</f>
        <v>Financial year</v>
      </c>
      <c r="C52" s="93"/>
      <c r="D52" s="98"/>
      <c r="E52" s="622" t="str">
        <f>'WK0 - Input data'!E$58</f>
        <v>2019-20</v>
      </c>
      <c r="F52" s="623" t="str">
        <f>'WK0 - Input data'!F$58</f>
        <v>2020-21</v>
      </c>
      <c r="G52" s="624" t="str">
        <f>'WK0 - Input data'!G$58</f>
        <v>2021-22</v>
      </c>
      <c r="H52" s="625" t="str">
        <f>'WK0 - Input data'!H$58</f>
        <v>2022-23</v>
      </c>
      <c r="I52" s="626" t="str">
        <f>'WK0 - Input data'!I$58</f>
        <v>2023-24</v>
      </c>
      <c r="J52" s="626" t="str">
        <f>'WK0 - Input data'!J$58</f>
        <v>2024-25</v>
      </c>
      <c r="K52" s="626" t="str">
        <f>'WK0 - Input data'!K$58</f>
        <v>2025-26</v>
      </c>
      <c r="L52" s="626" t="str">
        <f>'WK0 - Input data'!L$58</f>
        <v>2026-27</v>
      </c>
      <c r="M52" s="626" t="str">
        <f>'WK0 - Input data'!M$58</f>
        <v>2027-28</v>
      </c>
      <c r="N52" s="626" t="str">
        <f>'WK0 - Input data'!N$58</f>
        <v>2028-29</v>
      </c>
      <c r="O52" s="626" t="str">
        <f>'WK0 - Input data'!O$58</f>
        <v>2029-30</v>
      </c>
      <c r="P52" s="622" t="str">
        <f>'WK0 - Input data'!P$58</f>
        <v>2030-31</v>
      </c>
      <c r="Q52" s="623" t="str">
        <f>'WK0 - Input data'!Q$58</f>
        <v>2031-32</v>
      </c>
      <c r="R52" s="624" t="str">
        <f>'WK0 - Input data'!R$58</f>
        <v>2032-33</v>
      </c>
      <c r="S52" s="627" t="str">
        <f>'WK4 - PGI summary'!N40</f>
        <v>$ nominal</v>
      </c>
      <c r="T52" s="628" t="str">
        <f>'WK4 - PGI summary'!O40</f>
        <v>%</v>
      </c>
      <c r="U52" s="3"/>
      <c r="V52" s="3"/>
      <c r="W52" s="3"/>
      <c r="X52" s="3"/>
      <c r="Y52" s="3"/>
      <c r="Z52" s="3"/>
      <c r="AA52" s="3"/>
      <c r="AB52" s="3"/>
      <c r="AC52" s="3"/>
    </row>
    <row r="53" spans="1:29" ht="12" x14ac:dyDescent="0.25">
      <c r="A53" s="3"/>
      <c r="B53" s="135"/>
      <c r="C53" s="3"/>
      <c r="D53" s="3"/>
      <c r="E53" s="565"/>
      <c r="F53" s="77"/>
      <c r="G53" s="566"/>
      <c r="H53" s="565"/>
      <c r="I53" s="77"/>
      <c r="J53" s="77"/>
      <c r="K53" s="77"/>
      <c r="L53" s="77"/>
      <c r="M53" s="77"/>
      <c r="N53" s="77"/>
      <c r="O53" s="77"/>
      <c r="P53" s="565"/>
      <c r="Q53" s="77"/>
      <c r="R53" s="566"/>
      <c r="S53" s="135"/>
      <c r="T53" s="544"/>
      <c r="U53" s="3"/>
      <c r="V53" s="3"/>
      <c r="W53" s="3"/>
      <c r="X53" s="3"/>
      <c r="Y53" s="3"/>
      <c r="Z53" s="3"/>
      <c r="AA53" s="3"/>
      <c r="AB53" s="3"/>
      <c r="AC53" s="3"/>
    </row>
    <row r="54" spans="1:29" ht="12" x14ac:dyDescent="0.25">
      <c r="A54" s="3"/>
      <c r="B54" s="629" t="str">
        <f>'WK4 - PGI summary'!C44</f>
        <v>PGI with proposed SV</v>
      </c>
      <c r="C54" s="3"/>
      <c r="D54" s="3"/>
      <c r="E54" s="565"/>
      <c r="F54" s="77"/>
      <c r="G54" s="566"/>
      <c r="H54" s="565"/>
      <c r="I54" s="77"/>
      <c r="J54" s="77"/>
      <c r="K54" s="77"/>
      <c r="L54" s="77"/>
      <c r="M54" s="77"/>
      <c r="N54" s="77"/>
      <c r="O54" s="77"/>
      <c r="P54" s="565"/>
      <c r="Q54" s="77"/>
      <c r="R54" s="566"/>
      <c r="S54" s="135"/>
      <c r="T54" s="96"/>
      <c r="U54" s="3"/>
      <c r="V54" s="3"/>
      <c r="W54" s="3"/>
      <c r="X54" s="3"/>
      <c r="Y54" s="3"/>
      <c r="Z54" s="3"/>
      <c r="AA54" s="3"/>
      <c r="AB54" s="3"/>
      <c r="AC54" s="3"/>
    </row>
    <row r="55" spans="1:29" x14ac:dyDescent="0.2">
      <c r="A55" s="3"/>
      <c r="B55" s="630" t="str">
        <f>'WK4 - PGI summary'!C45</f>
        <v>Prior year Notional General Income (NGI)</v>
      </c>
      <c r="C55" s="3"/>
      <c r="D55" s="3"/>
      <c r="E55" s="565"/>
      <c r="F55" s="77"/>
      <c r="G55" s="566"/>
      <c r="H55" s="322"/>
      <c r="I55" s="324">
        <f>'WK4 - PGI summary'!G45</f>
        <v>75890108.680906355</v>
      </c>
      <c r="J55" s="324">
        <f>'WK4 - PGI summary'!H45</f>
        <v>82340767.918783396</v>
      </c>
      <c r="K55" s="324">
        <f>'WK4 - PGI summary'!I45</f>
        <v>88516325.512692153</v>
      </c>
      <c r="L55" s="324">
        <f>'WK4 - PGI summary'!J45</f>
        <v>94269886.67101714</v>
      </c>
      <c r="M55" s="324">
        <f>'WK4 - PGI summary'!K45</f>
        <v>99454730.437923089</v>
      </c>
      <c r="N55" s="324">
        <f>'WK4 - PGI summary'!L45</f>
        <v>101941098.69887117</v>
      </c>
      <c r="O55" s="324">
        <f>'WK4 - PGI summary'!M45</f>
        <v>104489626.16634294</v>
      </c>
      <c r="P55" s="322"/>
      <c r="Q55" s="455"/>
      <c r="R55" s="347"/>
      <c r="S55" s="248"/>
      <c r="T55" s="96"/>
      <c r="U55" s="192"/>
      <c r="V55" s="192"/>
      <c r="W55" s="3"/>
      <c r="X55" s="3"/>
      <c r="Y55" s="3"/>
      <c r="Z55" s="3"/>
      <c r="AA55" s="3"/>
      <c r="AB55" s="3"/>
      <c r="AC55" s="3"/>
    </row>
    <row r="56" spans="1:29" x14ac:dyDescent="0.2">
      <c r="A56" s="3"/>
      <c r="B56" s="631" t="str">
        <f>'WK4 - PGI summary'!C46</f>
        <v xml:space="preserve">  less</v>
      </c>
      <c r="C56" s="619" t="str">
        <f>'WK4 - PGI summary'!D46</f>
        <v>expiry of a prior special variation</v>
      </c>
      <c r="D56" s="3"/>
      <c r="E56" s="565"/>
      <c r="F56" s="77"/>
      <c r="G56" s="566"/>
      <c r="H56" s="322"/>
      <c r="I56" s="324">
        <f>'WK4 - PGI summary'!G46</f>
        <v>0</v>
      </c>
      <c r="J56" s="324">
        <f>'WK4 - PGI summary'!H46</f>
        <v>0</v>
      </c>
      <c r="K56" s="324">
        <f>'WK4 - PGI summary'!I46</f>
        <v>0</v>
      </c>
      <c r="L56" s="324">
        <f>'WK4 - PGI summary'!J46</f>
        <v>0</v>
      </c>
      <c r="M56" s="324">
        <f>'WK4 - PGI summary'!K46</f>
        <v>0</v>
      </c>
      <c r="N56" s="324">
        <f>'WK4 - PGI summary'!L46</f>
        <v>0</v>
      </c>
      <c r="O56" s="324">
        <f>'WK4 - PGI summary'!M46</f>
        <v>0</v>
      </c>
      <c r="P56" s="322"/>
      <c r="Q56" s="455"/>
      <c r="R56" s="347"/>
      <c r="S56" s="248"/>
      <c r="T56" s="96"/>
      <c r="U56" s="192"/>
      <c r="V56" s="192"/>
      <c r="W56" s="3"/>
      <c r="X56" s="3"/>
      <c r="Y56" s="3"/>
      <c r="Z56" s="3"/>
      <c r="AA56" s="3"/>
      <c r="AB56" s="3"/>
      <c r="AC56" s="3"/>
    </row>
    <row r="57" spans="1:29" x14ac:dyDescent="0.2">
      <c r="A57" s="3"/>
      <c r="B57" s="630" t="str">
        <f>'WK4 - PGI summary'!C47</f>
        <v>Adjusted Notional General income</v>
      </c>
      <c r="C57" s="3"/>
      <c r="D57" s="3"/>
      <c r="E57" s="565"/>
      <c r="F57" s="77"/>
      <c r="G57" s="566"/>
      <c r="H57" s="322"/>
      <c r="I57" s="324">
        <f>'WK4 - PGI summary'!G47</f>
        <v>75890108.680906355</v>
      </c>
      <c r="J57" s="324">
        <f>'WK4 - PGI summary'!H47</f>
        <v>82340767.918783396</v>
      </c>
      <c r="K57" s="324">
        <f>'WK4 - PGI summary'!I47</f>
        <v>88516325.512692153</v>
      </c>
      <c r="L57" s="324">
        <f>'WK4 - PGI summary'!J47</f>
        <v>94269886.67101714</v>
      </c>
      <c r="M57" s="324">
        <f>'WK4 - PGI summary'!K47</f>
        <v>99454730.437923089</v>
      </c>
      <c r="N57" s="324">
        <f>'WK4 - PGI summary'!L47</f>
        <v>101941098.69887117</v>
      </c>
      <c r="O57" s="324">
        <f>'WK4 - PGI summary'!M47</f>
        <v>104489626.16634294</v>
      </c>
      <c r="P57" s="322"/>
      <c r="Q57" s="455"/>
      <c r="R57" s="347"/>
      <c r="S57" s="248"/>
      <c r="T57" s="96"/>
      <c r="U57" s="192"/>
      <c r="V57" s="192"/>
      <c r="W57" s="3"/>
      <c r="X57" s="3"/>
      <c r="Y57" s="3"/>
      <c r="Z57" s="3"/>
      <c r="AA57" s="3"/>
      <c r="AB57" s="3"/>
      <c r="AC57" s="3"/>
    </row>
    <row r="58" spans="1:29" x14ac:dyDescent="0.2">
      <c r="A58" s="3"/>
      <c r="B58" s="135"/>
      <c r="C58" s="3"/>
      <c r="D58" s="3"/>
      <c r="E58" s="565"/>
      <c r="F58" s="77"/>
      <c r="G58" s="566"/>
      <c r="H58" s="322"/>
      <c r="I58" s="455"/>
      <c r="J58" s="455"/>
      <c r="K58" s="455"/>
      <c r="L58" s="455"/>
      <c r="M58" s="455"/>
      <c r="N58" s="455"/>
      <c r="O58" s="455"/>
      <c r="P58" s="322"/>
      <c r="Q58" s="455"/>
      <c r="R58" s="347"/>
      <c r="S58" s="248"/>
      <c r="T58" s="96"/>
      <c r="U58" s="192"/>
      <c r="V58" s="192"/>
      <c r="W58" s="3"/>
      <c r="X58" s="3"/>
      <c r="Y58" s="3"/>
      <c r="Z58" s="3"/>
      <c r="AA58" s="3"/>
      <c r="AB58" s="3"/>
      <c r="AC58" s="3"/>
    </row>
    <row r="59" spans="1:29" x14ac:dyDescent="0.2">
      <c r="A59" s="3"/>
      <c r="B59" s="631" t="str">
        <f>'WK4 - PGI summary'!C49</f>
        <v xml:space="preserve">     plus</v>
      </c>
      <c r="C59" s="619" t="str">
        <f>'WK4 - PGI summary'!D49</f>
        <v>rate peg increase</v>
      </c>
      <c r="D59" s="3"/>
      <c r="E59" s="565"/>
      <c r="F59" s="77"/>
      <c r="G59" s="566"/>
      <c r="H59" s="322"/>
      <c r="I59" s="324">
        <f>'WK4 - PGI summary'!G49</f>
        <v>2807934.0211935351</v>
      </c>
      <c r="J59" s="324">
        <f>'WK4 - PGI summary'!H49</f>
        <v>2058519.197969585</v>
      </c>
      <c r="K59" s="324">
        <f>'WK4 - PGI summary'!I49</f>
        <v>2212908.1378173041</v>
      </c>
      <c r="L59" s="324">
        <f>'WK4 - PGI summary'!J49</f>
        <v>2356747.1667754287</v>
      </c>
      <c r="M59" s="324">
        <f>'WK4 - PGI summary'!K49</f>
        <v>2486368.2609480773</v>
      </c>
      <c r="N59" s="324">
        <f>'WK4 - PGI summary'!L49</f>
        <v>2548527.4674717793</v>
      </c>
      <c r="O59" s="324">
        <f>'WK4 - PGI summary'!M49</f>
        <v>2612240.6541585736</v>
      </c>
      <c r="P59" s="322"/>
      <c r="Q59" s="455"/>
      <c r="R59" s="347"/>
      <c r="S59" s="248"/>
      <c r="T59" s="96"/>
      <c r="U59" s="192"/>
      <c r="V59" s="192"/>
      <c r="W59" s="3"/>
      <c r="X59" s="3"/>
      <c r="Y59" s="3"/>
      <c r="Z59" s="3"/>
      <c r="AA59" s="3"/>
      <c r="AB59" s="3"/>
      <c r="AC59" s="3"/>
    </row>
    <row r="60" spans="1:29" x14ac:dyDescent="0.2">
      <c r="A60" s="3"/>
      <c r="B60" s="631" t="str">
        <f>'WK4 - PGI summary'!C50</f>
        <v xml:space="preserve">     plus</v>
      </c>
      <c r="C60" s="619" t="str">
        <f>'WK4 - PGI summary'!D50</f>
        <v>na</v>
      </c>
      <c r="D60" s="3"/>
      <c r="E60" s="565"/>
      <c r="F60" s="77"/>
      <c r="G60" s="566"/>
      <c r="H60" s="322"/>
      <c r="I60" s="324">
        <f>'WK4 - PGI summary'!G50</f>
        <v>0</v>
      </c>
      <c r="J60" s="324">
        <f>'WK4 - PGI summary'!H50</f>
        <v>0</v>
      </c>
      <c r="K60" s="324">
        <f>'WK4 - PGI summary'!I50</f>
        <v>0</v>
      </c>
      <c r="L60" s="324">
        <f>'WK4 - PGI summary'!J50</f>
        <v>0</v>
      </c>
      <c r="M60" s="324">
        <f>'WK4 - PGI summary'!K50</f>
        <v>0</v>
      </c>
      <c r="N60" s="324">
        <f>'WK4 - PGI summary'!L50</f>
        <v>0</v>
      </c>
      <c r="O60" s="324">
        <f>'WK4 - PGI summary'!M50</f>
        <v>0</v>
      </c>
      <c r="P60" s="322"/>
      <c r="Q60" s="455"/>
      <c r="R60" s="347"/>
      <c r="S60" s="248"/>
      <c r="T60" s="96"/>
      <c r="U60" s="192"/>
      <c r="V60" s="192"/>
      <c r="W60" s="3"/>
      <c r="X60" s="3"/>
      <c r="Y60" s="3"/>
      <c r="Z60" s="3"/>
      <c r="AA60" s="3"/>
      <c r="AB60" s="3"/>
      <c r="AC60" s="3"/>
    </row>
    <row r="61" spans="1:29" x14ac:dyDescent="0.2">
      <c r="A61" s="3"/>
      <c r="B61" s="631" t="str">
        <f>'WK4 - PGI summary'!C51</f>
        <v xml:space="preserve">     plus</v>
      </c>
      <c r="C61" s="619" t="str">
        <f>'WK4 - PGI summary'!D51</f>
        <v>additional increase</v>
      </c>
      <c r="D61" s="3"/>
      <c r="E61" s="565"/>
      <c r="F61" s="77"/>
      <c r="G61" s="566"/>
      <c r="H61" s="322"/>
      <c r="I61" s="324">
        <f>'WK4 - PGI summary'!G51</f>
        <v>3642725.2166835051</v>
      </c>
      <c r="J61" s="324">
        <f>'WK4 - PGI summary'!H51</f>
        <v>4117038.3959391695</v>
      </c>
      <c r="K61" s="324">
        <f>'WK4 - PGI summary'!I51</f>
        <v>3540653.0205076863</v>
      </c>
      <c r="L61" s="324">
        <f>'WK4 - PGI summary'!J51</f>
        <v>2828096.6001305142</v>
      </c>
      <c r="M61" s="324">
        <f>'WK4 - PGI summary'!K51</f>
        <v>0</v>
      </c>
      <c r="N61" s="324">
        <f>'WK4 - PGI summary'!L51</f>
        <v>0</v>
      </c>
      <c r="O61" s="324">
        <f>'WK4 - PGI summary'!M51</f>
        <v>0</v>
      </c>
      <c r="P61" s="322"/>
      <c r="Q61" s="455"/>
      <c r="R61" s="347"/>
      <c r="S61" s="248"/>
      <c r="T61" s="96"/>
      <c r="U61" s="192"/>
      <c r="V61" s="192"/>
      <c r="W61" s="3"/>
      <c r="X61" s="3"/>
      <c r="Y61" s="3"/>
      <c r="Z61" s="3"/>
      <c r="AA61" s="3"/>
      <c r="AB61" s="3"/>
      <c r="AC61" s="3"/>
    </row>
    <row r="62" spans="1:29" x14ac:dyDescent="0.2">
      <c r="A62" s="3"/>
      <c r="B62" s="631" t="str">
        <f>'WK4 - PGI summary'!C52</f>
        <v xml:space="preserve">     plus</v>
      </c>
      <c r="C62" s="619" t="str">
        <f>'WK4 - PGI summary'!D52</f>
        <v>na</v>
      </c>
      <c r="D62" s="3"/>
      <c r="E62" s="565"/>
      <c r="F62" s="77"/>
      <c r="G62" s="566"/>
      <c r="H62" s="322"/>
      <c r="I62" s="324">
        <f>'WK4 - PGI summary'!G52</f>
        <v>0</v>
      </c>
      <c r="J62" s="324">
        <f>'WK4 - PGI summary'!H52</f>
        <v>0</v>
      </c>
      <c r="K62" s="324">
        <f>'WK4 - PGI summary'!I52</f>
        <v>0</v>
      </c>
      <c r="L62" s="324">
        <f>'WK4 - PGI summary'!J52</f>
        <v>0</v>
      </c>
      <c r="M62" s="324">
        <f>'WK4 - PGI summary'!K52</f>
        <v>0</v>
      </c>
      <c r="N62" s="324">
        <f>'WK4 - PGI summary'!L52</f>
        <v>0</v>
      </c>
      <c r="O62" s="324">
        <f>'WK4 - PGI summary'!M52</f>
        <v>0</v>
      </c>
      <c r="P62" s="322"/>
      <c r="Q62" s="455"/>
      <c r="R62" s="347"/>
      <c r="S62" s="248"/>
      <c r="T62" s="96"/>
      <c r="U62" s="192"/>
      <c r="V62" s="192"/>
      <c r="W62" s="3"/>
      <c r="X62" s="3"/>
      <c r="Y62" s="3"/>
      <c r="Z62" s="3"/>
      <c r="AA62" s="3"/>
      <c r="AB62" s="3"/>
      <c r="AC62" s="3"/>
    </row>
    <row r="63" spans="1:29" x14ac:dyDescent="0.2">
      <c r="A63" s="3"/>
      <c r="B63" s="631" t="str">
        <f>'WK4 - PGI summary'!C53</f>
        <v xml:space="preserve">     plus</v>
      </c>
      <c r="C63" s="619" t="str">
        <f>'WK4 - PGI summary'!D53</f>
        <v>Crown Land adjustment</v>
      </c>
      <c r="D63" s="3"/>
      <c r="E63" s="565"/>
      <c r="F63" s="77"/>
      <c r="G63" s="566"/>
      <c r="H63" s="322"/>
      <c r="I63" s="324">
        <f>'WK4 - PGI summary'!G53</f>
        <v>0</v>
      </c>
      <c r="J63" s="324">
        <f>'WK4 - PGI summary'!H53</f>
        <v>0</v>
      </c>
      <c r="K63" s="324">
        <f>'WK4 - PGI summary'!I53</f>
        <v>0</v>
      </c>
      <c r="L63" s="324">
        <f>'WK4 - PGI summary'!J53</f>
        <v>0</v>
      </c>
      <c r="M63" s="324">
        <f>'WK4 - PGI summary'!K53</f>
        <v>0</v>
      </c>
      <c r="N63" s="324">
        <f>'WK4 - PGI summary'!L53</f>
        <v>0</v>
      </c>
      <c r="O63" s="324">
        <f>'WK4 - PGI summary'!M53</f>
        <v>0</v>
      </c>
      <c r="P63" s="322"/>
      <c r="Q63" s="455"/>
      <c r="R63" s="347"/>
      <c r="S63" s="248"/>
      <c r="T63" s="96"/>
      <c r="U63" s="192"/>
      <c r="V63" s="192"/>
      <c r="W63" s="3"/>
      <c r="X63" s="3"/>
      <c r="Y63" s="3"/>
      <c r="Z63" s="3"/>
      <c r="AA63" s="3"/>
      <c r="AB63" s="3"/>
      <c r="AC63" s="3"/>
    </row>
    <row r="64" spans="1:29" ht="12" x14ac:dyDescent="0.25">
      <c r="A64" s="3"/>
      <c r="B64" s="632" t="str">
        <f>'WK4 - PGI summary'!C54</f>
        <v>Total proposed SV</v>
      </c>
      <c r="C64" s="3"/>
      <c r="D64" s="3"/>
      <c r="E64" s="565"/>
      <c r="F64" s="77"/>
      <c r="G64" s="566"/>
      <c r="H64" s="322"/>
      <c r="I64" s="344">
        <f>'WK4 - PGI summary'!G54</f>
        <v>6450659.2378770402</v>
      </c>
      <c r="J64" s="344">
        <f>'WK4 - PGI summary'!H54</f>
        <v>6175557.5939087542</v>
      </c>
      <c r="K64" s="344">
        <f>'WK4 - PGI summary'!I54</f>
        <v>5753561.1583249904</v>
      </c>
      <c r="L64" s="344">
        <f>'WK4 - PGI summary'!J54</f>
        <v>5184843.7669059429</v>
      </c>
      <c r="M64" s="344">
        <f>'WK4 - PGI summary'!K54</f>
        <v>2486368.2609480773</v>
      </c>
      <c r="N64" s="344">
        <f>'WK4 - PGI summary'!L54</f>
        <v>2548527.4674717793</v>
      </c>
      <c r="O64" s="344">
        <f>'WK4 - PGI summary'!M54</f>
        <v>2612240.6541585736</v>
      </c>
      <c r="P64" s="322"/>
      <c r="Q64" s="455"/>
      <c r="R64" s="347"/>
      <c r="S64" s="248"/>
      <c r="T64" s="96"/>
      <c r="U64" s="192"/>
      <c r="V64" s="192"/>
      <c r="W64" s="3"/>
      <c r="X64" s="3"/>
      <c r="Y64" s="3"/>
      <c r="Z64" s="3"/>
      <c r="AA64" s="3"/>
      <c r="AB64" s="3"/>
      <c r="AC64" s="3"/>
    </row>
    <row r="65" spans="1:29" x14ac:dyDescent="0.2">
      <c r="A65" s="3"/>
      <c r="B65" s="495"/>
      <c r="C65" s="3"/>
      <c r="D65" s="3"/>
      <c r="E65" s="565"/>
      <c r="F65" s="77"/>
      <c r="G65" s="566"/>
      <c r="H65" s="322"/>
      <c r="I65" s="455"/>
      <c r="J65" s="455"/>
      <c r="K65" s="455"/>
      <c r="L65" s="455"/>
      <c r="M65" s="455"/>
      <c r="N65" s="455"/>
      <c r="O65" s="455"/>
      <c r="P65" s="322"/>
      <c r="Q65" s="455"/>
      <c r="R65" s="347"/>
      <c r="S65" s="248"/>
      <c r="T65" s="96"/>
      <c r="U65" s="192"/>
      <c r="V65" s="192"/>
      <c r="W65" s="3"/>
      <c r="X65" s="3"/>
      <c r="Y65" s="3"/>
      <c r="Z65" s="3"/>
      <c r="AA65" s="3"/>
      <c r="AB65" s="3"/>
      <c r="AC65" s="3"/>
    </row>
    <row r="66" spans="1:29" x14ac:dyDescent="0.2">
      <c r="A66" s="3"/>
      <c r="B66" s="630" t="str">
        <f>'WK4 - PGI summary'!C56</f>
        <v>Notional General Income after SV applied</v>
      </c>
      <c r="C66" s="3"/>
      <c r="D66" s="3"/>
      <c r="E66" s="565"/>
      <c r="F66" s="77"/>
      <c r="G66" s="566"/>
      <c r="H66" s="322"/>
      <c r="I66" s="324">
        <f>'WK4 - PGI summary'!G56</f>
        <v>82340767.918783396</v>
      </c>
      <c r="J66" s="324">
        <f>'WK4 - PGI summary'!H56</f>
        <v>88516325.512692153</v>
      </c>
      <c r="K66" s="324">
        <f>'WK4 - PGI summary'!I56</f>
        <v>94269886.67101714</v>
      </c>
      <c r="L66" s="324">
        <f>'WK4 - PGI summary'!J56</f>
        <v>99454730.437923089</v>
      </c>
      <c r="M66" s="324">
        <f>'WK4 - PGI summary'!K56</f>
        <v>101941098.69887117</v>
      </c>
      <c r="N66" s="324">
        <f>'WK4 - PGI summary'!L56</f>
        <v>104489626.16634294</v>
      </c>
      <c r="O66" s="324">
        <f>'WK4 - PGI summary'!M56</f>
        <v>107101866.82050152</v>
      </c>
      <c r="P66" s="322"/>
      <c r="Q66" s="455"/>
      <c r="R66" s="347"/>
      <c r="S66" s="248"/>
      <c r="T66" s="96"/>
      <c r="U66" s="192"/>
      <c r="V66" s="192"/>
      <c r="W66" s="3"/>
      <c r="X66" s="3"/>
      <c r="Y66" s="3"/>
      <c r="Z66" s="3"/>
      <c r="AA66" s="3"/>
      <c r="AB66" s="3"/>
      <c r="AC66" s="3"/>
    </row>
    <row r="67" spans="1:29" x14ac:dyDescent="0.2">
      <c r="A67" s="3"/>
      <c r="B67" s="631" t="str">
        <f>'WK4 - PGI summary'!C57</f>
        <v xml:space="preserve">     plus</v>
      </c>
      <c r="C67" s="619" t="str">
        <f>'WK4 - PGI summary'!D57</f>
        <v>other 1st-year adjustments</v>
      </c>
      <c r="D67" s="3"/>
      <c r="E67" s="565"/>
      <c r="F67" s="77"/>
      <c r="G67" s="566"/>
      <c r="H67" s="322"/>
      <c r="I67" s="324">
        <f>'WK4 - PGI summary'!G57</f>
        <v>0</v>
      </c>
      <c r="J67" s="324">
        <f>'WK4 - PGI summary'!H57</f>
        <v>0</v>
      </c>
      <c r="K67" s="324">
        <f>'WK4 - PGI summary'!I57</f>
        <v>0</v>
      </c>
      <c r="L67" s="324">
        <f>'WK4 - PGI summary'!J57</f>
        <v>0</v>
      </c>
      <c r="M67" s="324">
        <f>'WK4 - PGI summary'!K57</f>
        <v>0</v>
      </c>
      <c r="N67" s="324">
        <f>'WK4 - PGI summary'!L57</f>
        <v>0</v>
      </c>
      <c r="O67" s="324">
        <f>'WK4 - PGI summary'!M57</f>
        <v>0</v>
      </c>
      <c r="P67" s="322"/>
      <c r="Q67" s="455"/>
      <c r="R67" s="347"/>
      <c r="S67" s="248"/>
      <c r="T67" s="96"/>
      <c r="U67" s="192"/>
      <c r="V67" s="192"/>
      <c r="W67" s="3"/>
      <c r="X67" s="3"/>
      <c r="Y67" s="3"/>
      <c r="Z67" s="3"/>
      <c r="AA67" s="3"/>
      <c r="AB67" s="3"/>
      <c r="AC67" s="3"/>
    </row>
    <row r="68" spans="1:29" ht="12" x14ac:dyDescent="0.25">
      <c r="A68" s="3"/>
      <c r="B68" s="632" t="str">
        <f>'WK4 - PGI summary'!C58</f>
        <v>PGI with proposed SV</v>
      </c>
      <c r="C68" s="3"/>
      <c r="D68" s="3"/>
      <c r="E68" s="565"/>
      <c r="F68" s="77"/>
      <c r="G68" s="566"/>
      <c r="H68" s="331">
        <f>'WK4 - PGI summary'!F58</f>
        <v>75890108.680906355</v>
      </c>
      <c r="I68" s="344">
        <f>'WK4 - PGI summary'!G58</f>
        <v>82340767.918783396</v>
      </c>
      <c r="J68" s="344">
        <f>'WK4 - PGI summary'!H58</f>
        <v>88516325.512692153</v>
      </c>
      <c r="K68" s="344">
        <f>'WK4 - PGI summary'!I58</f>
        <v>94269886.67101714</v>
      </c>
      <c r="L68" s="344">
        <f>'WK4 - PGI summary'!J58</f>
        <v>99454730.437923089</v>
      </c>
      <c r="M68" s="344">
        <f>'WK4 - PGI summary'!K58</f>
        <v>101941098.69887117</v>
      </c>
      <c r="N68" s="344">
        <f>'WK4 - PGI summary'!L58</f>
        <v>104489626.16634294</v>
      </c>
      <c r="O68" s="344">
        <f>'WK4 - PGI summary'!M58</f>
        <v>107101866.82050152</v>
      </c>
      <c r="P68" s="322"/>
      <c r="Q68" s="455"/>
      <c r="R68" s="347"/>
      <c r="S68" s="633">
        <f>'WK4 - PGI summary'!N58</f>
        <v>23564621.757016733</v>
      </c>
      <c r="T68" s="634">
        <f>'WK4 - PGI summary'!O58</f>
        <v>0.31050979062500006</v>
      </c>
      <c r="U68" s="192"/>
      <c r="V68" s="192"/>
      <c r="W68" s="3"/>
      <c r="X68" s="3"/>
      <c r="Y68" s="3"/>
      <c r="Z68" s="3"/>
      <c r="AA68" s="3"/>
      <c r="AB68" s="3"/>
      <c r="AC68" s="3"/>
    </row>
    <row r="69" spans="1:29" ht="12" x14ac:dyDescent="0.25">
      <c r="A69" s="3"/>
      <c r="B69" s="502" t="s">
        <v>127</v>
      </c>
      <c r="C69" s="3"/>
      <c r="D69" s="3"/>
      <c r="E69" s="565"/>
      <c r="F69" s="77"/>
      <c r="G69" s="566"/>
      <c r="H69" s="322"/>
      <c r="I69" s="635">
        <f>I55-I56+SUM(I59:I63)+I67-I68</f>
        <v>0</v>
      </c>
      <c r="J69" s="635">
        <f t="shared" ref="J69:O69" si="1">J55-J56+SUM(J59:J63)+J67-J68</f>
        <v>0</v>
      </c>
      <c r="K69" s="635">
        <f t="shared" si="1"/>
        <v>0</v>
      </c>
      <c r="L69" s="635">
        <f t="shared" si="1"/>
        <v>0</v>
      </c>
      <c r="M69" s="635">
        <f t="shared" si="1"/>
        <v>0</v>
      </c>
      <c r="N69" s="635">
        <f t="shared" si="1"/>
        <v>0</v>
      </c>
      <c r="O69" s="635">
        <f t="shared" si="1"/>
        <v>0</v>
      </c>
      <c r="P69" s="322"/>
      <c r="Q69" s="455"/>
      <c r="R69" s="347"/>
      <c r="S69" s="813">
        <f>INDEX(H68:O68,1,$D$9+1)-H68-S68</f>
        <v>0</v>
      </c>
      <c r="T69" s="546"/>
      <c r="U69" s="192"/>
      <c r="V69" s="192"/>
      <c r="W69" s="3"/>
      <c r="X69" s="3"/>
      <c r="Y69" s="3"/>
      <c r="Z69" s="3"/>
      <c r="AA69" s="3"/>
      <c r="AB69" s="3"/>
      <c r="AC69" s="3"/>
    </row>
    <row r="70" spans="1:29" ht="12" x14ac:dyDescent="0.25">
      <c r="A70" s="3"/>
      <c r="B70" s="882"/>
      <c r="C70" s="883"/>
      <c r="D70" s="883"/>
      <c r="E70" s="884"/>
      <c r="F70" s="885"/>
      <c r="G70" s="886"/>
      <c r="H70" s="887"/>
      <c r="I70" s="888"/>
      <c r="J70" s="888"/>
      <c r="K70" s="888"/>
      <c r="L70" s="888"/>
      <c r="M70" s="888"/>
      <c r="N70" s="888"/>
      <c r="O70" s="888"/>
      <c r="P70" s="887"/>
      <c r="Q70" s="889"/>
      <c r="R70" s="890"/>
      <c r="S70" s="891"/>
      <c r="T70" s="892"/>
      <c r="U70" s="192"/>
      <c r="V70" s="192"/>
      <c r="W70" s="3"/>
      <c r="X70" s="3"/>
      <c r="Y70" s="3"/>
      <c r="Z70" s="3"/>
      <c r="AA70" s="3"/>
      <c r="AB70" s="3"/>
      <c r="AC70" s="3"/>
    </row>
    <row r="71" spans="1:29" ht="12" x14ac:dyDescent="0.25">
      <c r="A71" s="3"/>
      <c r="B71" s="629" t="str">
        <f>'WK4 - PGI summary'!C61</f>
        <v>PGI if only the rate peg applied</v>
      </c>
      <c r="C71" s="3"/>
      <c r="D71" s="3"/>
      <c r="E71" s="565"/>
      <c r="F71" s="77"/>
      <c r="G71" s="566"/>
      <c r="H71" s="322"/>
      <c r="I71" s="455"/>
      <c r="J71" s="455"/>
      <c r="K71" s="455"/>
      <c r="L71" s="455"/>
      <c r="M71" s="455"/>
      <c r="N71" s="455"/>
      <c r="O71" s="455"/>
      <c r="P71" s="322"/>
      <c r="Q71" s="455"/>
      <c r="R71" s="347"/>
      <c r="S71" s="135"/>
      <c r="T71" s="546"/>
      <c r="U71" s="192"/>
      <c r="V71" s="192"/>
      <c r="W71" s="3"/>
      <c r="X71" s="3"/>
      <c r="Y71" s="3"/>
      <c r="Z71" s="3"/>
      <c r="AA71" s="3"/>
      <c r="AB71" s="3"/>
      <c r="AC71" s="3"/>
    </row>
    <row r="72" spans="1:29" ht="12" x14ac:dyDescent="0.25">
      <c r="A72" s="3"/>
      <c r="B72" s="630" t="str">
        <f>'WK4 - PGI summary'!C62</f>
        <v>Prior year Notional General Income (NGI)</v>
      </c>
      <c r="C72" s="3"/>
      <c r="D72" s="3"/>
      <c r="E72" s="565"/>
      <c r="F72" s="77"/>
      <c r="G72" s="566"/>
      <c r="H72" s="322"/>
      <c r="I72" s="324">
        <f>'WK4 - PGI summary'!G62</f>
        <v>75890108.680906355</v>
      </c>
      <c r="J72" s="324">
        <f>'WK4 - PGI summary'!H62</f>
        <v>78698042.70209989</v>
      </c>
      <c r="K72" s="324">
        <f>'WK4 - PGI summary'!I62</f>
        <v>80665493.769652382</v>
      </c>
      <c r="L72" s="324">
        <f>'WK4 - PGI summary'!J62</f>
        <v>82682131.113893688</v>
      </c>
      <c r="M72" s="324">
        <f>'WK4 - PGI summary'!K62</f>
        <v>84749184.391741037</v>
      </c>
      <c r="N72" s="324">
        <f>'WK4 - PGI summary'!L62</f>
        <v>86867914.001534566</v>
      </c>
      <c r="O72" s="324">
        <f>'WK4 - PGI summary'!M62</f>
        <v>89039611.851572931</v>
      </c>
      <c r="P72" s="322"/>
      <c r="Q72" s="455"/>
      <c r="R72" s="347"/>
      <c r="S72" s="545"/>
      <c r="T72" s="547"/>
      <c r="U72" s="192"/>
      <c r="V72" s="192"/>
      <c r="W72" s="3"/>
      <c r="X72" s="3"/>
      <c r="Y72" s="3"/>
      <c r="Z72" s="3"/>
      <c r="AA72" s="3"/>
      <c r="AB72" s="3"/>
      <c r="AC72" s="3"/>
    </row>
    <row r="73" spans="1:29" ht="12" x14ac:dyDescent="0.25">
      <c r="A73" s="3"/>
      <c r="B73" s="631" t="str">
        <f>'WK4 - PGI summary'!C63</f>
        <v xml:space="preserve">  less</v>
      </c>
      <c r="C73" s="619" t="str">
        <f>'WK4 - PGI summary'!D63</f>
        <v>expiry of a prior special variation</v>
      </c>
      <c r="D73" s="3"/>
      <c r="E73" s="565"/>
      <c r="F73" s="77"/>
      <c r="G73" s="566"/>
      <c r="H73" s="322"/>
      <c r="I73" s="324">
        <f>'WK4 - PGI summary'!G63</f>
        <v>0</v>
      </c>
      <c r="J73" s="324">
        <f>'WK4 - PGI summary'!H63</f>
        <v>0</v>
      </c>
      <c r="K73" s="324">
        <f>'WK4 - PGI summary'!I63</f>
        <v>0</v>
      </c>
      <c r="L73" s="324">
        <f>'WK4 - PGI summary'!J63</f>
        <v>0</v>
      </c>
      <c r="M73" s="324">
        <f>'WK4 - PGI summary'!K63</f>
        <v>0</v>
      </c>
      <c r="N73" s="324">
        <f>'WK4 - PGI summary'!L63</f>
        <v>0</v>
      </c>
      <c r="O73" s="324">
        <f>'WK4 - PGI summary'!M63</f>
        <v>0</v>
      </c>
      <c r="P73" s="322"/>
      <c r="Q73" s="455"/>
      <c r="R73" s="347"/>
      <c r="S73" s="545"/>
      <c r="T73" s="547"/>
      <c r="U73" s="192"/>
      <c r="V73" s="192"/>
      <c r="W73" s="3"/>
      <c r="X73" s="3"/>
      <c r="Y73" s="3"/>
      <c r="Z73" s="3"/>
      <c r="AA73" s="3"/>
      <c r="AB73" s="3"/>
      <c r="AC73" s="3"/>
    </row>
    <row r="74" spans="1:29" ht="12" x14ac:dyDescent="0.25">
      <c r="A74" s="3"/>
      <c r="B74" s="630" t="str">
        <f>'WK4 - PGI summary'!C64</f>
        <v>Adjusted Notional General income</v>
      </c>
      <c r="C74" s="3"/>
      <c r="D74" s="3"/>
      <c r="E74" s="565"/>
      <c r="F74" s="77"/>
      <c r="G74" s="566"/>
      <c r="H74" s="322"/>
      <c r="I74" s="324">
        <f>'WK4 - PGI summary'!G64</f>
        <v>75890108.680906355</v>
      </c>
      <c r="J74" s="324">
        <f>'WK4 - PGI summary'!H64</f>
        <v>78698042.70209989</v>
      </c>
      <c r="K74" s="324">
        <f>'WK4 - PGI summary'!I64</f>
        <v>80665493.769652382</v>
      </c>
      <c r="L74" s="324">
        <f>'WK4 - PGI summary'!J64</f>
        <v>82682131.113893688</v>
      </c>
      <c r="M74" s="324">
        <f>'WK4 - PGI summary'!K64</f>
        <v>84749184.391741037</v>
      </c>
      <c r="N74" s="324">
        <f>'WK4 - PGI summary'!L64</f>
        <v>86867914.001534566</v>
      </c>
      <c r="O74" s="324">
        <f>'WK4 - PGI summary'!M64</f>
        <v>89039611.851572931</v>
      </c>
      <c r="P74" s="322"/>
      <c r="Q74" s="455"/>
      <c r="R74" s="347"/>
      <c r="S74" s="545"/>
      <c r="T74" s="547"/>
      <c r="U74" s="192"/>
      <c r="V74" s="192"/>
      <c r="W74" s="3"/>
      <c r="X74" s="3"/>
      <c r="Y74" s="3"/>
      <c r="Z74" s="3"/>
      <c r="AA74" s="3"/>
      <c r="AB74" s="3"/>
      <c r="AC74" s="3"/>
    </row>
    <row r="75" spans="1:29" ht="12" x14ac:dyDescent="0.25">
      <c r="A75" s="3"/>
      <c r="B75" s="631" t="str">
        <f>'WK4 - PGI summary'!C65</f>
        <v xml:space="preserve">     plus</v>
      </c>
      <c r="C75" s="619" t="str">
        <f>'WK4 - PGI summary'!D65</f>
        <v>rate peg increase</v>
      </c>
      <c r="D75" s="3"/>
      <c r="E75" s="565"/>
      <c r="F75" s="77"/>
      <c r="G75" s="566"/>
      <c r="H75" s="322"/>
      <c r="I75" s="324">
        <f>'WK4 - PGI summary'!G65</f>
        <v>2807934.0211935351</v>
      </c>
      <c r="J75" s="324">
        <f>'WK4 - PGI summary'!H65</f>
        <v>1967451.0675524974</v>
      </c>
      <c r="K75" s="324">
        <f>'WK4 - PGI summary'!I65</f>
        <v>2016637.3442413097</v>
      </c>
      <c r="L75" s="324">
        <f>'WK4 - PGI summary'!J65</f>
        <v>2067053.2778473422</v>
      </c>
      <c r="M75" s="324">
        <f>'WK4 - PGI summary'!K65</f>
        <v>2118729.6097935261</v>
      </c>
      <c r="N75" s="324">
        <f>'WK4 - PGI summary'!L65</f>
        <v>2171697.8500383641</v>
      </c>
      <c r="O75" s="324">
        <f>'WK4 - PGI summary'!M65</f>
        <v>2225990.2962893234</v>
      </c>
      <c r="P75" s="322"/>
      <c r="Q75" s="455"/>
      <c r="R75" s="347"/>
      <c r="S75" s="545"/>
      <c r="T75" s="547"/>
      <c r="U75" s="192"/>
      <c r="V75" s="192"/>
      <c r="W75" s="3"/>
      <c r="X75" s="3"/>
      <c r="Y75" s="3"/>
      <c r="Z75" s="3"/>
      <c r="AA75" s="3"/>
      <c r="AB75" s="3"/>
      <c r="AC75" s="3"/>
    </row>
    <row r="76" spans="1:29" ht="12" x14ac:dyDescent="0.25">
      <c r="A76" s="3"/>
      <c r="B76" s="631" t="str">
        <f>'WK4 - PGI summary'!C66</f>
        <v xml:space="preserve">     plus</v>
      </c>
      <c r="C76" s="619" t="str">
        <f>'WK4 - PGI summary'!D66</f>
        <v>na</v>
      </c>
      <c r="D76" s="3"/>
      <c r="E76" s="565"/>
      <c r="F76" s="77"/>
      <c r="G76" s="566"/>
      <c r="H76" s="322"/>
      <c r="I76" s="324">
        <f>'WK4 - PGI summary'!G66</f>
        <v>0</v>
      </c>
      <c r="J76" s="324">
        <f>'WK4 - PGI summary'!H66</f>
        <v>0</v>
      </c>
      <c r="K76" s="324">
        <f>'WK4 - PGI summary'!I66</f>
        <v>0</v>
      </c>
      <c r="L76" s="324">
        <f>'WK4 - PGI summary'!J66</f>
        <v>0</v>
      </c>
      <c r="M76" s="324">
        <f>'WK4 - PGI summary'!K66</f>
        <v>0</v>
      </c>
      <c r="N76" s="324">
        <f>'WK4 - PGI summary'!L66</f>
        <v>0</v>
      </c>
      <c r="O76" s="324">
        <f>'WK4 - PGI summary'!M66</f>
        <v>0</v>
      </c>
      <c r="P76" s="322"/>
      <c r="Q76" s="455"/>
      <c r="R76" s="347"/>
      <c r="S76" s="545"/>
      <c r="T76" s="547"/>
      <c r="U76" s="192"/>
      <c r="V76" s="192"/>
      <c r="W76" s="3"/>
      <c r="X76" s="3"/>
      <c r="Y76" s="3"/>
      <c r="Z76" s="3"/>
      <c r="AA76" s="3"/>
      <c r="AB76" s="3"/>
      <c r="AC76" s="3"/>
    </row>
    <row r="77" spans="1:29" ht="12" x14ac:dyDescent="0.25">
      <c r="A77" s="3"/>
      <c r="B77" s="631" t="str">
        <f>'WK4 - PGI summary'!C67</f>
        <v xml:space="preserve">     plus</v>
      </c>
      <c r="C77" s="619" t="str">
        <f>'WK4 - PGI summary'!D67</f>
        <v>other 1st-year adjustments</v>
      </c>
      <c r="D77" s="3"/>
      <c r="E77" s="565"/>
      <c r="F77" s="77"/>
      <c r="G77" s="566"/>
      <c r="H77" s="322"/>
      <c r="I77" s="324">
        <f>'WK4 - PGI summary'!G67</f>
        <v>0</v>
      </c>
      <c r="J77" s="324">
        <f>'WK4 - PGI summary'!H67</f>
        <v>0</v>
      </c>
      <c r="K77" s="324">
        <f>'WK4 - PGI summary'!I67</f>
        <v>0</v>
      </c>
      <c r="L77" s="324">
        <f>'WK4 - PGI summary'!J67</f>
        <v>0</v>
      </c>
      <c r="M77" s="324">
        <f>'WK4 - PGI summary'!K67</f>
        <v>0</v>
      </c>
      <c r="N77" s="324">
        <f>'WK4 - PGI summary'!L67</f>
        <v>0</v>
      </c>
      <c r="O77" s="324">
        <f>'WK4 - PGI summary'!M67</f>
        <v>0</v>
      </c>
      <c r="P77" s="322"/>
      <c r="Q77" s="455"/>
      <c r="R77" s="347"/>
      <c r="S77" s="545"/>
      <c r="T77" s="547"/>
      <c r="U77" s="192"/>
      <c r="V77" s="192"/>
      <c r="W77" s="3"/>
      <c r="X77" s="3"/>
      <c r="Y77" s="3"/>
      <c r="Z77" s="3"/>
      <c r="AA77" s="3"/>
      <c r="AB77" s="3"/>
      <c r="AC77" s="3"/>
    </row>
    <row r="78" spans="1:29" ht="12" x14ac:dyDescent="0.25">
      <c r="A78" s="3"/>
      <c r="B78" s="632" t="str">
        <f>'WK4 - PGI summary'!C68</f>
        <v>PGI if only the rate peg applied</v>
      </c>
      <c r="C78" s="3"/>
      <c r="D78" s="3"/>
      <c r="E78" s="565"/>
      <c r="F78" s="77"/>
      <c r="G78" s="566"/>
      <c r="H78" s="331">
        <f>'WK4 - PGI summary'!F68</f>
        <v>75890108.680906355</v>
      </c>
      <c r="I78" s="344">
        <f>'WK4 - PGI summary'!G68</f>
        <v>78698042.70209989</v>
      </c>
      <c r="J78" s="344">
        <f>'WK4 - PGI summary'!H68</f>
        <v>80665493.769652382</v>
      </c>
      <c r="K78" s="344">
        <f>'WK4 - PGI summary'!I68</f>
        <v>82682131.113893688</v>
      </c>
      <c r="L78" s="324">
        <f>'WK4 - PGI summary'!J68</f>
        <v>84749184.391741037</v>
      </c>
      <c r="M78" s="324">
        <f>'WK4 - PGI summary'!K68</f>
        <v>86867914.001534566</v>
      </c>
      <c r="N78" s="324">
        <f>'WK4 - PGI summary'!L68</f>
        <v>89039611.851572931</v>
      </c>
      <c r="O78" s="324">
        <f>'WK4 - PGI summary'!M68</f>
        <v>91265602.147862256</v>
      </c>
      <c r="P78" s="322"/>
      <c r="Q78" s="455"/>
      <c r="R78" s="347"/>
      <c r="S78" s="636">
        <f>'WK4 - PGI summary'!N68</f>
        <v>8859075.710834682</v>
      </c>
      <c r="T78" s="637">
        <f>'WK4 - PGI summary'!O68</f>
        <v>0.11673557812499996</v>
      </c>
      <c r="U78" s="192"/>
      <c r="V78" s="192"/>
      <c r="W78" s="3"/>
      <c r="X78" s="3"/>
      <c r="Y78" s="3"/>
      <c r="Z78" s="3"/>
      <c r="AA78" s="3"/>
      <c r="AB78" s="3"/>
      <c r="AC78" s="3"/>
    </row>
    <row r="79" spans="1:29" ht="12" x14ac:dyDescent="0.25">
      <c r="A79" s="3"/>
      <c r="B79" s="502" t="s">
        <v>127</v>
      </c>
      <c r="C79" s="3"/>
      <c r="D79" s="3"/>
      <c r="E79" s="565"/>
      <c r="F79" s="77"/>
      <c r="G79" s="566"/>
      <c r="H79" s="322"/>
      <c r="I79" s="635">
        <f>I72-I73+SUM(I75:I77)-I78</f>
        <v>0</v>
      </c>
      <c r="J79" s="635">
        <f t="shared" ref="J79:O79" si="2">J72-J73+SUM(J75:J77)-J78</f>
        <v>0</v>
      </c>
      <c r="K79" s="635">
        <f t="shared" si="2"/>
        <v>0</v>
      </c>
      <c r="L79" s="635">
        <f t="shared" si="2"/>
        <v>0</v>
      </c>
      <c r="M79" s="635">
        <f t="shared" si="2"/>
        <v>0</v>
      </c>
      <c r="N79" s="635">
        <f t="shared" si="2"/>
        <v>0</v>
      </c>
      <c r="O79" s="635">
        <f t="shared" si="2"/>
        <v>0</v>
      </c>
      <c r="P79" s="322"/>
      <c r="Q79" s="455"/>
      <c r="R79" s="347"/>
      <c r="S79" s="813">
        <f>INDEX(H78:O78,1,$D$9+1)-H78-S78</f>
        <v>0</v>
      </c>
      <c r="T79" s="546"/>
      <c r="U79" s="192"/>
      <c r="V79" s="192"/>
      <c r="W79" s="3"/>
      <c r="X79" s="3"/>
      <c r="Y79" s="3"/>
      <c r="Z79" s="3"/>
      <c r="AA79" s="3"/>
      <c r="AB79" s="3"/>
      <c r="AC79" s="3"/>
    </row>
    <row r="80" spans="1:29" ht="12" x14ac:dyDescent="0.25">
      <c r="A80" s="3"/>
      <c r="B80" s="882"/>
      <c r="C80" s="883"/>
      <c r="D80" s="883"/>
      <c r="E80" s="884"/>
      <c r="F80" s="885"/>
      <c r="G80" s="886"/>
      <c r="H80" s="887"/>
      <c r="I80" s="888"/>
      <c r="J80" s="888"/>
      <c r="K80" s="888"/>
      <c r="L80" s="888"/>
      <c r="M80" s="888"/>
      <c r="N80" s="888"/>
      <c r="O80" s="888"/>
      <c r="P80" s="887"/>
      <c r="Q80" s="889"/>
      <c r="R80" s="890"/>
      <c r="S80" s="891"/>
      <c r="T80" s="892"/>
      <c r="U80" s="192"/>
      <c r="V80" s="192"/>
      <c r="W80" s="3"/>
      <c r="X80" s="3"/>
      <c r="Y80" s="3"/>
      <c r="Z80" s="3"/>
      <c r="AA80" s="3"/>
      <c r="AB80" s="3"/>
      <c r="AC80" s="3"/>
    </row>
    <row r="81" spans="1:29" ht="12" x14ac:dyDescent="0.25">
      <c r="A81" s="3"/>
      <c r="B81" s="629" t="str">
        <f>'WK4 - PGI summary'!C71</f>
        <v>PGI if expiring SV renewed and only rate peg applied</v>
      </c>
      <c r="C81" s="3"/>
      <c r="D81" s="3"/>
      <c r="E81" s="565"/>
      <c r="F81" s="77"/>
      <c r="G81" s="566"/>
      <c r="H81" s="322"/>
      <c r="I81" s="455"/>
      <c r="J81" s="455"/>
      <c r="K81" s="455"/>
      <c r="L81" s="455"/>
      <c r="M81" s="455"/>
      <c r="N81" s="455"/>
      <c r="O81" s="455"/>
      <c r="P81" s="322"/>
      <c r="Q81" s="455"/>
      <c r="R81" s="347"/>
      <c r="S81" s="545"/>
      <c r="T81" s="546"/>
      <c r="U81" s="192"/>
      <c r="V81" s="192"/>
      <c r="W81" s="3"/>
      <c r="X81" s="3"/>
      <c r="Y81" s="3"/>
      <c r="Z81" s="3"/>
      <c r="AA81" s="3"/>
      <c r="AB81" s="3"/>
      <c r="AC81" s="3"/>
    </row>
    <row r="82" spans="1:29" ht="12" x14ac:dyDescent="0.25">
      <c r="A82" s="3"/>
      <c r="B82" s="630" t="str">
        <f>'WK4 - PGI summary'!C72</f>
        <v>Prior year Notional General Income (NGI)</v>
      </c>
      <c r="C82" s="3"/>
      <c r="D82" s="3"/>
      <c r="E82" s="565"/>
      <c r="F82" s="77"/>
      <c r="G82" s="566"/>
      <c r="H82" s="322"/>
      <c r="I82" s="324">
        <f>'WK4 - PGI summary'!G72</f>
        <v>75890108.680906355</v>
      </c>
      <c r="J82" s="324">
        <f>'WK4 - PGI summary'!H72</f>
        <v>78698042.70209989</v>
      </c>
      <c r="K82" s="324">
        <f>'WK4 - PGI summary'!I72</f>
        <v>80665493.769652382</v>
      </c>
      <c r="L82" s="324">
        <f>'WK4 - PGI summary'!J72</f>
        <v>82682131.113893688</v>
      </c>
      <c r="M82" s="324">
        <f>'WK4 - PGI summary'!K72</f>
        <v>84749184.391741037</v>
      </c>
      <c r="N82" s="324">
        <f>'WK4 - PGI summary'!L72</f>
        <v>86867914.001534566</v>
      </c>
      <c r="O82" s="324">
        <f>'WK4 - PGI summary'!M72</f>
        <v>89039611.851572931</v>
      </c>
      <c r="P82" s="322"/>
      <c r="Q82" s="455"/>
      <c r="R82" s="347"/>
      <c r="S82" s="545"/>
      <c r="T82" s="546"/>
      <c r="U82" s="192"/>
      <c r="V82" s="192"/>
      <c r="W82" s="3"/>
      <c r="X82" s="3"/>
      <c r="Y82" s="3"/>
      <c r="Z82" s="3"/>
      <c r="AA82" s="3"/>
      <c r="AB82" s="3"/>
      <c r="AC82" s="3"/>
    </row>
    <row r="83" spans="1:29" ht="12" x14ac:dyDescent="0.25">
      <c r="A83" s="3"/>
      <c r="B83" s="631" t="str">
        <f>'WK4 - PGI summary'!C73</f>
        <v xml:space="preserve">     plus</v>
      </c>
      <c r="C83" s="619" t="str">
        <f>'WK4 - PGI summary'!D73</f>
        <v>rate peg increase</v>
      </c>
      <c r="D83" s="3"/>
      <c r="E83" s="565"/>
      <c r="F83" s="77"/>
      <c r="G83" s="566"/>
      <c r="H83" s="322"/>
      <c r="I83" s="324">
        <f>'WK4 - PGI summary'!G73</f>
        <v>2807934.0211935351</v>
      </c>
      <c r="J83" s="324">
        <f>'WK4 - PGI summary'!H73</f>
        <v>1967451.0675524974</v>
      </c>
      <c r="K83" s="324">
        <f>'WK4 - PGI summary'!I73</f>
        <v>2016637.3442413097</v>
      </c>
      <c r="L83" s="324">
        <f>'WK4 - PGI summary'!J73</f>
        <v>2067053.2778473422</v>
      </c>
      <c r="M83" s="324">
        <f>'WK4 - PGI summary'!K73</f>
        <v>2118729.6097935261</v>
      </c>
      <c r="N83" s="324">
        <f>'WK4 - PGI summary'!L73</f>
        <v>2171697.8500383641</v>
      </c>
      <c r="O83" s="324">
        <f>'WK4 - PGI summary'!M73</f>
        <v>2225990.2962893234</v>
      </c>
      <c r="P83" s="322"/>
      <c r="Q83" s="455"/>
      <c r="R83" s="347"/>
      <c r="S83" s="545"/>
      <c r="T83" s="546"/>
      <c r="U83" s="192"/>
      <c r="V83" s="192"/>
      <c r="W83" s="3"/>
      <c r="X83" s="3"/>
      <c r="Y83" s="3"/>
      <c r="Z83" s="3"/>
      <c r="AA83" s="3"/>
      <c r="AB83" s="3"/>
      <c r="AC83" s="3"/>
    </row>
    <row r="84" spans="1:29" ht="12" x14ac:dyDescent="0.25">
      <c r="A84" s="3"/>
      <c r="B84" s="631" t="str">
        <f>'WK4 - PGI summary'!C74</f>
        <v xml:space="preserve">     plus</v>
      </c>
      <c r="C84" s="619" t="str">
        <f>'WK4 - PGI summary'!D74</f>
        <v>na</v>
      </c>
      <c r="D84" s="3"/>
      <c r="E84" s="565"/>
      <c r="F84" s="77"/>
      <c r="G84" s="566"/>
      <c r="H84" s="322"/>
      <c r="I84" s="324">
        <f>'WK4 - PGI summary'!G74</f>
        <v>0</v>
      </c>
      <c r="J84" s="324">
        <f>'WK4 - PGI summary'!H74</f>
        <v>0</v>
      </c>
      <c r="K84" s="324">
        <f>'WK4 - PGI summary'!I74</f>
        <v>0</v>
      </c>
      <c r="L84" s="324">
        <f>'WK4 - PGI summary'!J74</f>
        <v>0</v>
      </c>
      <c r="M84" s="324">
        <f>'WK4 - PGI summary'!K74</f>
        <v>0</v>
      </c>
      <c r="N84" s="324">
        <f>'WK4 - PGI summary'!L74</f>
        <v>0</v>
      </c>
      <c r="O84" s="324">
        <f>'WK4 - PGI summary'!M74</f>
        <v>0</v>
      </c>
      <c r="P84" s="322"/>
      <c r="Q84" s="455"/>
      <c r="R84" s="347"/>
      <c r="S84" s="545"/>
      <c r="T84" s="546"/>
      <c r="U84" s="192"/>
      <c r="V84" s="192"/>
      <c r="W84" s="3"/>
      <c r="X84" s="3"/>
      <c r="Y84" s="3"/>
      <c r="Z84" s="3"/>
      <c r="AA84" s="3"/>
      <c r="AB84" s="3"/>
      <c r="AC84" s="3"/>
    </row>
    <row r="85" spans="1:29" ht="12" x14ac:dyDescent="0.25">
      <c r="A85" s="3"/>
      <c r="B85" s="631" t="str">
        <f>'WK4 - PGI summary'!C75</f>
        <v xml:space="preserve">     plus</v>
      </c>
      <c r="C85" s="619" t="str">
        <f>'WK4 - PGI summary'!D75</f>
        <v>other 1st-year adjustments</v>
      </c>
      <c r="D85" s="3"/>
      <c r="E85" s="565"/>
      <c r="F85" s="77"/>
      <c r="G85" s="566"/>
      <c r="H85" s="322"/>
      <c r="I85" s="324">
        <f>'WK4 - PGI summary'!G75</f>
        <v>0</v>
      </c>
      <c r="J85" s="324">
        <f>'WK4 - PGI summary'!H75</f>
        <v>0</v>
      </c>
      <c r="K85" s="324">
        <f>'WK4 - PGI summary'!I75</f>
        <v>0</v>
      </c>
      <c r="L85" s="324">
        <f>'WK4 - PGI summary'!J75</f>
        <v>0</v>
      </c>
      <c r="M85" s="324">
        <f>'WK4 - PGI summary'!K75</f>
        <v>0</v>
      </c>
      <c r="N85" s="324">
        <f>'WK4 - PGI summary'!L75</f>
        <v>0</v>
      </c>
      <c r="O85" s="324">
        <f>'WK4 - PGI summary'!M75</f>
        <v>0</v>
      </c>
      <c r="P85" s="322"/>
      <c r="Q85" s="455"/>
      <c r="R85" s="347"/>
      <c r="S85" s="545"/>
      <c r="T85" s="546"/>
      <c r="U85" s="192"/>
      <c r="V85" s="192"/>
      <c r="W85" s="3"/>
      <c r="X85" s="3"/>
      <c r="Y85" s="3"/>
      <c r="Z85" s="3"/>
      <c r="AA85" s="3"/>
      <c r="AB85" s="3"/>
      <c r="AC85" s="3"/>
    </row>
    <row r="86" spans="1:29" ht="12" x14ac:dyDescent="0.25">
      <c r="A86" s="3"/>
      <c r="B86" s="632" t="str">
        <f>'WK4 - PGI summary'!C76</f>
        <v>PGI if expiring SV renewed and only rate peg applied</v>
      </c>
      <c r="C86" s="3"/>
      <c r="D86" s="3"/>
      <c r="E86" s="565"/>
      <c r="F86" s="77"/>
      <c r="G86" s="566"/>
      <c r="H86" s="331">
        <f>'WK4 - PGI summary'!F76</f>
        <v>75890108.680906355</v>
      </c>
      <c r="I86" s="344">
        <f>'WK4 - PGI summary'!G76</f>
        <v>78698042.70209989</v>
      </c>
      <c r="J86" s="344">
        <f>'WK4 - PGI summary'!H76</f>
        <v>80665493.769652382</v>
      </c>
      <c r="K86" s="344">
        <f>'WK4 - PGI summary'!I76</f>
        <v>82682131.113893688</v>
      </c>
      <c r="L86" s="344">
        <f>'WK4 - PGI summary'!J76</f>
        <v>84749184.391741037</v>
      </c>
      <c r="M86" s="344">
        <f>'WK4 - PGI summary'!K76</f>
        <v>86867914.001534566</v>
      </c>
      <c r="N86" s="344">
        <f>'WK4 - PGI summary'!L76</f>
        <v>89039611.851572931</v>
      </c>
      <c r="O86" s="344">
        <f>'WK4 - PGI summary'!M76</f>
        <v>91265602.147862256</v>
      </c>
      <c r="P86" s="322"/>
      <c r="Q86" s="455"/>
      <c r="R86" s="347"/>
      <c r="S86" s="636">
        <f>'WK4 - PGI summary'!N76</f>
        <v>8859075.710834682</v>
      </c>
      <c r="T86" s="637">
        <f>'WK4 - PGI summary'!O76</f>
        <v>0.11673557812499996</v>
      </c>
      <c r="U86" s="192"/>
      <c r="V86" s="192"/>
      <c r="W86" s="3"/>
      <c r="X86" s="3"/>
      <c r="Y86" s="3"/>
      <c r="Z86" s="3"/>
      <c r="AA86" s="3"/>
      <c r="AB86" s="3"/>
      <c r="AC86" s="3"/>
    </row>
    <row r="87" spans="1:29" x14ac:dyDescent="0.2">
      <c r="A87" s="3"/>
      <c r="B87" s="577" t="s">
        <v>127</v>
      </c>
      <c r="C87" s="93"/>
      <c r="D87" s="93"/>
      <c r="E87" s="97"/>
      <c r="F87" s="93"/>
      <c r="G87" s="98"/>
      <c r="H87" s="97"/>
      <c r="I87" s="638">
        <f>I82+SUM(I83:I85)-I86</f>
        <v>0</v>
      </c>
      <c r="J87" s="638">
        <f t="shared" ref="J87:O87" si="3">J82+SUM(J83:J85)-J86</f>
        <v>0</v>
      </c>
      <c r="K87" s="638">
        <f t="shared" si="3"/>
        <v>0</v>
      </c>
      <c r="L87" s="638">
        <f t="shared" si="3"/>
        <v>0</v>
      </c>
      <c r="M87" s="638">
        <f t="shared" si="3"/>
        <v>0</v>
      </c>
      <c r="N87" s="638">
        <f t="shared" si="3"/>
        <v>0</v>
      </c>
      <c r="O87" s="638">
        <f t="shared" si="3"/>
        <v>0</v>
      </c>
      <c r="P87" s="97"/>
      <c r="Q87" s="93"/>
      <c r="R87" s="98"/>
      <c r="S87" s="814">
        <f>INDEX(H86:O86,1,$D$9+1)-H86-S86</f>
        <v>0</v>
      </c>
      <c r="T87" s="98"/>
      <c r="U87" s="192"/>
      <c r="V87" s="3"/>
      <c r="W87" s="3"/>
      <c r="X87" s="3"/>
      <c r="Y87" s="3"/>
      <c r="Z87" s="3"/>
      <c r="AA87" s="3"/>
      <c r="AB87" s="3"/>
      <c r="AC87" s="3"/>
    </row>
    <row r="88" spans="1:29" x14ac:dyDescent="0.2">
      <c r="A88" s="3"/>
      <c r="B88" s="3"/>
      <c r="C88" s="3"/>
      <c r="D88" s="3"/>
      <c r="E88" s="3"/>
      <c r="F88" s="3"/>
      <c r="G88" s="3"/>
      <c r="H88" s="3"/>
      <c r="I88" s="3"/>
      <c r="J88" s="3"/>
      <c r="K88" s="3"/>
      <c r="L88" s="3"/>
      <c r="M88" s="3"/>
      <c r="N88" s="3"/>
      <c r="O88" s="3"/>
      <c r="P88" s="3"/>
      <c r="Q88" s="3"/>
      <c r="R88" s="3"/>
      <c r="S88" s="3"/>
      <c r="T88" s="3"/>
      <c r="U88" s="192"/>
      <c r="V88" s="3"/>
      <c r="W88" s="3"/>
      <c r="X88" s="3"/>
      <c r="Y88" s="3"/>
      <c r="Z88" s="3"/>
      <c r="AA88" s="3"/>
      <c r="AB88" s="3"/>
      <c r="AC88" s="3"/>
    </row>
    <row r="89" spans="1:29" x14ac:dyDescent="0.2">
      <c r="A89" s="3"/>
      <c r="B89" s="3"/>
      <c r="C89" s="3"/>
      <c r="D89" s="3"/>
      <c r="E89" s="3"/>
      <c r="F89" s="3"/>
      <c r="G89" s="3"/>
      <c r="H89" s="3"/>
      <c r="I89" s="3"/>
      <c r="J89" s="3"/>
      <c r="K89" s="3"/>
      <c r="L89" s="3"/>
      <c r="M89" s="3"/>
      <c r="N89" s="3"/>
      <c r="O89" s="3"/>
      <c r="P89" s="3"/>
      <c r="Q89" s="3"/>
      <c r="R89" s="3"/>
      <c r="S89" s="3"/>
      <c r="T89" s="3"/>
      <c r="U89" s="192"/>
      <c r="V89" s="3"/>
      <c r="W89" s="3"/>
      <c r="X89" s="3"/>
      <c r="Y89" s="3"/>
      <c r="Z89" s="3"/>
      <c r="AA89" s="3"/>
      <c r="AB89" s="3"/>
      <c r="AC89" s="3"/>
    </row>
    <row r="90" spans="1:29"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x14ac:dyDescent="0.2">
      <c r="A91" s="3"/>
      <c r="B91" s="619" t="str">
        <f>'WK4 - PGI summary'!$E$5</f>
        <v>WORKSHEET 4</v>
      </c>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ht="12" x14ac:dyDescent="0.25">
      <c r="A92" s="3"/>
      <c r="B92" s="620" t="str">
        <f>'WK4 - PGI summary'!B81</f>
        <v>INCREASES IN PERMISSABLE GENERAL INCOME (PGI) OVER PROPOSED SV PERIOD (nominal)</v>
      </c>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x14ac:dyDescent="0.2">
      <c r="A93" s="3"/>
      <c r="B93" s="1198" t="str">
        <f>B$51</f>
        <v>Year number</v>
      </c>
      <c r="C93" s="815"/>
      <c r="D93" s="918"/>
      <c r="E93" s="1201" t="str">
        <f t="shared" ref="E93:R93" si="4">E$51</f>
        <v>Hist yr 3</v>
      </c>
      <c r="F93" s="919" t="str">
        <f t="shared" si="4"/>
        <v>Hist yr 2</v>
      </c>
      <c r="G93" s="919" t="str">
        <f t="shared" si="4"/>
        <v>Hist yr 1</v>
      </c>
      <c r="H93" s="920" t="str">
        <f t="shared" si="4"/>
        <v>Year 0</v>
      </c>
      <c r="I93" s="872" t="str">
        <f t="shared" si="4"/>
        <v>Year 1</v>
      </c>
      <c r="J93" s="872" t="str">
        <f t="shared" si="4"/>
        <v>Year 2</v>
      </c>
      <c r="K93" s="872" t="str">
        <f t="shared" si="4"/>
        <v>Year 3</v>
      </c>
      <c r="L93" s="872" t="str">
        <f t="shared" si="4"/>
        <v>Year 4</v>
      </c>
      <c r="M93" s="872" t="str">
        <f t="shared" si="4"/>
        <v>Year 5</v>
      </c>
      <c r="N93" s="872" t="str">
        <f t="shared" si="4"/>
        <v>Year 6</v>
      </c>
      <c r="O93" s="922" t="str">
        <f t="shared" si="4"/>
        <v>Year 7</v>
      </c>
      <c r="P93" s="919" t="str">
        <f t="shared" si="4"/>
        <v>Year 8</v>
      </c>
      <c r="Q93" s="919" t="str">
        <f t="shared" si="4"/>
        <v>Year 9</v>
      </c>
      <c r="R93" s="920" t="str">
        <f t="shared" si="4"/>
        <v>Year 10</v>
      </c>
      <c r="S93" s="639" t="str">
        <f>'WK4 - PGI summary'!N83</f>
        <v>Total</v>
      </c>
      <c r="T93" s="921" t="str">
        <f>'WK4 - PGI summary'!O83</f>
        <v>increase</v>
      </c>
      <c r="U93" s="3"/>
      <c r="V93" s="3"/>
      <c r="W93" s="3"/>
      <c r="X93" s="3"/>
      <c r="Y93" s="3"/>
      <c r="Z93" s="3"/>
      <c r="AA93" s="3"/>
      <c r="AB93" s="3"/>
      <c r="AC93" s="3"/>
    </row>
    <row r="94" spans="1:29" ht="12" x14ac:dyDescent="0.25">
      <c r="A94" s="3"/>
      <c r="B94" s="621" t="str">
        <f>B$52</f>
        <v>Financial year</v>
      </c>
      <c r="C94" s="93"/>
      <c r="D94" s="98"/>
      <c r="E94" s="622" t="str">
        <f t="shared" ref="E94:R94" si="5">E$52</f>
        <v>2019-20</v>
      </c>
      <c r="F94" s="623" t="str">
        <f t="shared" si="5"/>
        <v>2020-21</v>
      </c>
      <c r="G94" s="623" t="str">
        <f t="shared" si="5"/>
        <v>2021-22</v>
      </c>
      <c r="H94" s="624" t="str">
        <f t="shared" si="5"/>
        <v>2022-23</v>
      </c>
      <c r="I94" s="626" t="str">
        <f t="shared" si="5"/>
        <v>2023-24</v>
      </c>
      <c r="J94" s="626" t="str">
        <f t="shared" si="5"/>
        <v>2024-25</v>
      </c>
      <c r="K94" s="626" t="str">
        <f t="shared" si="5"/>
        <v>2025-26</v>
      </c>
      <c r="L94" s="626" t="str">
        <f t="shared" si="5"/>
        <v>2026-27</v>
      </c>
      <c r="M94" s="626" t="str">
        <f t="shared" si="5"/>
        <v>2027-28</v>
      </c>
      <c r="N94" s="626" t="str">
        <f t="shared" si="5"/>
        <v>2028-29</v>
      </c>
      <c r="O94" s="640" t="str">
        <f t="shared" si="5"/>
        <v>2029-30</v>
      </c>
      <c r="P94" s="623" t="str">
        <f t="shared" si="5"/>
        <v>2030-31</v>
      </c>
      <c r="Q94" s="623" t="str">
        <f t="shared" si="5"/>
        <v>2031-32</v>
      </c>
      <c r="R94" s="624" t="str">
        <f t="shared" si="5"/>
        <v>2032-33</v>
      </c>
      <c r="S94" s="641" t="str">
        <f>'WK4 - PGI summary'!N84</f>
        <v>$ nominal</v>
      </c>
      <c r="T94" s="628" t="str">
        <f>'WK4 - PGI summary'!O84</f>
        <v>%</v>
      </c>
      <c r="U94" s="3"/>
      <c r="V94" s="3"/>
      <c r="W94" s="3"/>
      <c r="X94" s="3"/>
      <c r="Y94" s="3"/>
      <c r="Z94" s="3"/>
      <c r="AA94" s="3"/>
      <c r="AB94" s="3"/>
      <c r="AC94" s="3"/>
    </row>
    <row r="95" spans="1:29" x14ac:dyDescent="0.2">
      <c r="A95" s="3"/>
      <c r="B95" s="135"/>
      <c r="C95" s="3"/>
      <c r="D95" s="3"/>
      <c r="E95" s="135"/>
      <c r="F95" s="3"/>
      <c r="G95" s="3"/>
      <c r="H95" s="96"/>
      <c r="I95" s="3"/>
      <c r="J95" s="3"/>
      <c r="K95" s="3"/>
      <c r="L95" s="3"/>
      <c r="M95" s="3"/>
      <c r="N95" s="3"/>
      <c r="O95" s="96"/>
      <c r="P95" s="3"/>
      <c r="Q95" s="3"/>
      <c r="R95" s="3"/>
      <c r="S95" s="397"/>
      <c r="T95" s="918"/>
      <c r="U95" s="3"/>
      <c r="V95" s="3"/>
      <c r="W95" s="3"/>
      <c r="X95" s="3"/>
      <c r="Y95" s="3"/>
      <c r="Z95" s="3"/>
      <c r="AA95" s="3"/>
      <c r="AB95" s="3"/>
      <c r="AC95" s="3"/>
    </row>
    <row r="96" spans="1:29" ht="12" x14ac:dyDescent="0.25">
      <c r="A96" s="3"/>
      <c r="B96" s="629" t="str">
        <f>'WK4 - PGI summary'!C86</f>
        <v>Annual % increase in PGI</v>
      </c>
      <c r="C96" s="3"/>
      <c r="D96" s="3"/>
      <c r="E96" s="135"/>
      <c r="F96" s="3"/>
      <c r="G96" s="3"/>
      <c r="H96" s="96"/>
      <c r="I96" s="3"/>
      <c r="J96" s="3"/>
      <c r="K96" s="3"/>
      <c r="L96" s="3"/>
      <c r="M96" s="3"/>
      <c r="N96" s="3"/>
      <c r="O96" s="96"/>
      <c r="P96" s="3"/>
      <c r="Q96" s="3"/>
      <c r="R96" s="3"/>
      <c r="S96" s="385"/>
      <c r="T96" s="96"/>
      <c r="U96" s="3"/>
      <c r="V96" s="3"/>
      <c r="W96" s="3"/>
      <c r="X96" s="3"/>
      <c r="Y96" s="3"/>
      <c r="Z96" s="3"/>
      <c r="AA96" s="3"/>
      <c r="AB96" s="3"/>
      <c r="AC96" s="3"/>
    </row>
    <row r="97" spans="1:29" x14ac:dyDescent="0.2">
      <c r="A97" s="3"/>
      <c r="B97" s="630" t="str">
        <f>'WK4 - PGI summary'!C87</f>
        <v>PGI with proposed SV</v>
      </c>
      <c r="C97" s="3"/>
      <c r="D97" s="619" t="str">
        <f>'WK4 - PGI summary'!E87</f>
        <v>%</v>
      </c>
      <c r="E97" s="135"/>
      <c r="F97" s="3"/>
      <c r="G97" s="3"/>
      <c r="H97" s="96"/>
      <c r="I97" s="642">
        <f>'WK4 - PGI summary'!G87</f>
        <v>8.5000000000000006E-2</v>
      </c>
      <c r="J97" s="642">
        <f>'WK4 - PGI summary'!H87</f>
        <v>7.5000000000000025E-2</v>
      </c>
      <c r="K97" s="642">
        <f>'WK4 - PGI summary'!I87</f>
        <v>6.4999999999999961E-2</v>
      </c>
      <c r="L97" s="642">
        <f>'WK4 - PGI summary'!J87</f>
        <v>5.5000000000000063E-2</v>
      </c>
      <c r="M97" s="642">
        <f>'WK4 - PGI summary'!K87</f>
        <v>2.4999999999999998E-2</v>
      </c>
      <c r="N97" s="642">
        <f>'WK4 - PGI summary'!L87</f>
        <v>2.4999999999999991E-2</v>
      </c>
      <c r="O97" s="643">
        <f>'WK4 - PGI summary'!M87</f>
        <v>2.5000000000000036E-2</v>
      </c>
      <c r="P97" s="3"/>
      <c r="Q97" s="454"/>
      <c r="R97" s="454"/>
      <c r="S97" s="398"/>
      <c r="T97" s="644">
        <f>'WK4 - PGI summary'!O87</f>
        <v>0.31050979062500006</v>
      </c>
      <c r="U97" s="3"/>
      <c r="V97" s="3"/>
      <c r="W97" s="3"/>
      <c r="X97" s="3"/>
      <c r="Y97" s="3"/>
      <c r="Z97" s="3"/>
      <c r="AA97" s="3"/>
      <c r="AB97" s="3"/>
      <c r="AC97" s="3"/>
    </row>
    <row r="98" spans="1:29" x14ac:dyDescent="0.2">
      <c r="A98" s="3"/>
      <c r="B98" s="630" t="str">
        <f>'WK4 - PGI summary'!C88</f>
        <v>PGI if only the rate peg applied</v>
      </c>
      <c r="C98" s="3"/>
      <c r="D98" s="619" t="str">
        <f>'WK4 - PGI summary'!E88</f>
        <v>%</v>
      </c>
      <c r="E98" s="135"/>
      <c r="F98" s="3"/>
      <c r="G98" s="3"/>
      <c r="H98" s="96"/>
      <c r="I98" s="642">
        <f>'WK4 - PGI summary'!G88</f>
        <v>3.6999999999999984E-2</v>
      </c>
      <c r="J98" s="642">
        <f>'WK4 - PGI summary'!H88</f>
        <v>2.4999999999999932E-2</v>
      </c>
      <c r="K98" s="642">
        <f>'WK4 - PGI summary'!I88</f>
        <v>2.499999999999996E-2</v>
      </c>
      <c r="L98" s="642">
        <f>'WK4 - PGI summary'!J88</f>
        <v>2.5000000000000092E-2</v>
      </c>
      <c r="M98" s="642">
        <f>'WK4 - PGI summary'!K88</f>
        <v>2.5000000000000036E-2</v>
      </c>
      <c r="N98" s="642">
        <f>'WK4 - PGI summary'!L88</f>
        <v>2.5000000000000005E-2</v>
      </c>
      <c r="O98" s="643">
        <f>'WK4 - PGI summary'!M88</f>
        <v>2.5000000000000015E-2</v>
      </c>
      <c r="P98" s="3"/>
      <c r="Q98" s="454"/>
      <c r="R98" s="454"/>
      <c r="S98" s="398"/>
      <c r="T98" s="644">
        <f>'WK4 - PGI summary'!O88</f>
        <v>0.11673557812499996</v>
      </c>
      <c r="U98" s="3"/>
      <c r="V98" s="3"/>
      <c r="W98" s="3"/>
      <c r="X98" s="3"/>
      <c r="Y98" s="3"/>
      <c r="Z98" s="3"/>
      <c r="AA98" s="3"/>
      <c r="AB98" s="3"/>
      <c r="AC98" s="3"/>
    </row>
    <row r="99" spans="1:29" x14ac:dyDescent="0.2">
      <c r="A99" s="3"/>
      <c r="B99" s="630" t="str">
        <f>'WK4 - PGI summary'!C89</f>
        <v>PGI if expiring SV renewed and only rate peg applied</v>
      </c>
      <c r="C99" s="3"/>
      <c r="D99" s="619" t="str">
        <f>'WK4 - PGI summary'!E89</f>
        <v>%</v>
      </c>
      <c r="E99" s="135"/>
      <c r="F99" s="3"/>
      <c r="G99" s="3"/>
      <c r="H99" s="96"/>
      <c r="I99" s="642">
        <f>'WK4 - PGI summary'!G89</f>
        <v>3.6999999999999984E-2</v>
      </c>
      <c r="J99" s="642">
        <f>'WK4 - PGI summary'!H89</f>
        <v>2.4999999999999932E-2</v>
      </c>
      <c r="K99" s="642">
        <f>'WK4 - PGI summary'!I89</f>
        <v>2.499999999999996E-2</v>
      </c>
      <c r="L99" s="642">
        <f>'WK4 - PGI summary'!J89</f>
        <v>2.5000000000000092E-2</v>
      </c>
      <c r="M99" s="642">
        <f>'WK4 - PGI summary'!K89</f>
        <v>2.5000000000000036E-2</v>
      </c>
      <c r="N99" s="642">
        <f>'WK4 - PGI summary'!L89</f>
        <v>2.5000000000000005E-2</v>
      </c>
      <c r="O99" s="643">
        <f>'WK4 - PGI summary'!M89</f>
        <v>2.5000000000000015E-2</v>
      </c>
      <c r="P99" s="3"/>
      <c r="Q99" s="454"/>
      <c r="R99" s="454"/>
      <c r="S99" s="392"/>
      <c r="T99" s="644">
        <f>'WK4 - PGI summary'!O89</f>
        <v>0.11673557812499996</v>
      </c>
      <c r="U99" s="3"/>
      <c r="V99" s="3"/>
      <c r="W99" s="3"/>
      <c r="X99" s="3"/>
      <c r="Y99" s="3"/>
      <c r="Z99" s="3"/>
      <c r="AA99" s="3"/>
      <c r="AB99" s="3"/>
      <c r="AC99" s="3"/>
    </row>
    <row r="100" spans="1:29" ht="12" x14ac:dyDescent="0.25">
      <c r="A100" s="3"/>
      <c r="B100" s="253"/>
      <c r="C100" s="3"/>
      <c r="D100" s="3"/>
      <c r="E100" s="135"/>
      <c r="F100" s="3"/>
      <c r="G100" s="3"/>
      <c r="H100" s="96"/>
      <c r="I100" s="455"/>
      <c r="J100" s="77"/>
      <c r="K100" s="455"/>
      <c r="L100" s="455"/>
      <c r="M100" s="77"/>
      <c r="N100" s="77"/>
      <c r="O100" s="347"/>
      <c r="P100" s="3"/>
      <c r="Q100" s="77"/>
      <c r="R100" s="77"/>
      <c r="S100" s="385"/>
      <c r="T100" s="96"/>
      <c r="U100" s="3"/>
      <c r="V100" s="3"/>
      <c r="W100" s="3"/>
      <c r="X100" s="3"/>
      <c r="Y100" s="3"/>
      <c r="Z100" s="3"/>
      <c r="AA100" s="3"/>
      <c r="AB100" s="3"/>
      <c r="AC100" s="3"/>
    </row>
    <row r="101" spans="1:29" ht="12" x14ac:dyDescent="0.25">
      <c r="A101" s="3"/>
      <c r="B101" s="629" t="str">
        <f>'WK4 - PGI summary'!C91</f>
        <v>Annual $ increase in PGI</v>
      </c>
      <c r="C101" s="3"/>
      <c r="D101" s="3"/>
      <c r="E101" s="135"/>
      <c r="F101" s="3"/>
      <c r="G101" s="3"/>
      <c r="H101" s="96"/>
      <c r="I101" s="455"/>
      <c r="J101" s="77"/>
      <c r="K101" s="455"/>
      <c r="L101" s="455"/>
      <c r="M101" s="77"/>
      <c r="N101" s="77"/>
      <c r="O101" s="347"/>
      <c r="P101" s="3"/>
      <c r="Q101" s="77"/>
      <c r="R101" s="77"/>
      <c r="S101" s="385"/>
      <c r="T101" s="96"/>
      <c r="U101" s="3"/>
      <c r="V101" s="3"/>
      <c r="W101" s="3"/>
      <c r="X101" s="3"/>
      <c r="Y101" s="3"/>
      <c r="Z101" s="3"/>
      <c r="AA101" s="3"/>
      <c r="AB101" s="3"/>
      <c r="AC101" s="3"/>
    </row>
    <row r="102" spans="1:29" ht="12" x14ac:dyDescent="0.25">
      <c r="A102" s="3"/>
      <c r="B102" s="630" t="str">
        <f>'WK4 - PGI summary'!C92</f>
        <v>PGI with proposed SV</v>
      </c>
      <c r="C102" s="3"/>
      <c r="D102" s="619" t="str">
        <f>'WK4 - PGI summary'!E92</f>
        <v>$ nominal</v>
      </c>
      <c r="E102" s="135"/>
      <c r="F102" s="3"/>
      <c r="G102" s="3"/>
      <c r="H102" s="96"/>
      <c r="I102" s="324">
        <f>'WK4 - PGI summary'!G92</f>
        <v>6450659.2378770411</v>
      </c>
      <c r="J102" s="324">
        <f>'WK4 - PGI summary'!H92</f>
        <v>6175557.593908757</v>
      </c>
      <c r="K102" s="324">
        <f>'WK4 - PGI summary'!I92</f>
        <v>5753561.1583249867</v>
      </c>
      <c r="L102" s="324">
        <f>'WK4 - PGI summary'!J92</f>
        <v>5184843.7669059485</v>
      </c>
      <c r="M102" s="324">
        <f>'WK4 - PGI summary'!K92</f>
        <v>2486368.2609480768</v>
      </c>
      <c r="N102" s="324">
        <f>'WK4 - PGI summary'!L92</f>
        <v>2548527.4674717784</v>
      </c>
      <c r="O102" s="645">
        <f>'WK4 - PGI summary'!M92</f>
        <v>2612240.6541585773</v>
      </c>
      <c r="P102" s="3"/>
      <c r="Q102" s="455"/>
      <c r="R102" s="455"/>
      <c r="S102" s="646">
        <f>'WK4 - PGI summary'!N92</f>
        <v>23564621.757016733</v>
      </c>
      <c r="T102" s="647">
        <f>'WK4 - PGI summary'!O92</f>
        <v>0.31050979062500006</v>
      </c>
      <c r="U102" s="3"/>
      <c r="V102" s="3"/>
      <c r="W102" s="3"/>
      <c r="X102" s="3"/>
      <c r="Y102" s="3"/>
      <c r="Z102" s="3"/>
      <c r="AA102" s="3"/>
      <c r="AB102" s="3"/>
      <c r="AC102" s="3"/>
    </row>
    <row r="103" spans="1:29" x14ac:dyDescent="0.2">
      <c r="A103" s="3"/>
      <c r="B103" s="630" t="str">
        <f>'WK4 - PGI summary'!C93</f>
        <v>PGI if only the rate peg applied</v>
      </c>
      <c r="C103" s="3"/>
      <c r="D103" s="619" t="str">
        <f>'WK4 - PGI summary'!E93</f>
        <v>$ nominal</v>
      </c>
      <c r="E103" s="135"/>
      <c r="F103" s="3"/>
      <c r="G103" s="3"/>
      <c r="H103" s="96"/>
      <c r="I103" s="648">
        <f>'WK4 - PGI summary'!G93</f>
        <v>2807934.0211935341</v>
      </c>
      <c r="J103" s="648">
        <f>'WK4 - PGI summary'!H93</f>
        <v>1967451.067552492</v>
      </c>
      <c r="K103" s="648">
        <f>'WK4 - PGI summary'!I93</f>
        <v>2016637.3442413062</v>
      </c>
      <c r="L103" s="648">
        <f>'WK4 - PGI summary'!J93</f>
        <v>2067053.2778473496</v>
      </c>
      <c r="M103" s="648">
        <f>'WK4 - PGI summary'!K93</f>
        <v>2118729.6097935289</v>
      </c>
      <c r="N103" s="648">
        <f>'WK4 - PGI summary'!L93</f>
        <v>2171697.8500383645</v>
      </c>
      <c r="O103" s="649">
        <f>'WK4 - PGI summary'!M93</f>
        <v>2225990.2962893248</v>
      </c>
      <c r="P103" s="3"/>
      <c r="Q103" s="456"/>
      <c r="R103" s="456"/>
      <c r="S103" s="650">
        <f>'WK4 - PGI summary'!N93</f>
        <v>8859075.710834682</v>
      </c>
      <c r="T103" s="651">
        <f>'WK4 - PGI summary'!O93</f>
        <v>0.11673557812499996</v>
      </c>
      <c r="U103" s="3"/>
      <c r="V103" s="3"/>
      <c r="W103" s="3"/>
      <c r="X103" s="3"/>
      <c r="Y103" s="3"/>
      <c r="Z103" s="3"/>
      <c r="AA103" s="3"/>
      <c r="AB103" s="3"/>
      <c r="AC103" s="3"/>
    </row>
    <row r="104" spans="1:29" x14ac:dyDescent="0.2">
      <c r="A104" s="3"/>
      <c r="B104" s="630" t="str">
        <f>'WK4 - PGI summary'!C94</f>
        <v>PGI if expiring SV renewed and only rate peg applied</v>
      </c>
      <c r="C104" s="3"/>
      <c r="D104" s="619" t="str">
        <f>'WK4 - PGI summary'!E94</f>
        <v>$ nominal</v>
      </c>
      <c r="E104" s="135"/>
      <c r="F104" s="3"/>
      <c r="G104" s="3"/>
      <c r="H104" s="96"/>
      <c r="I104" s="648">
        <f>'WK4 - PGI summary'!G94</f>
        <v>2807934.0211935341</v>
      </c>
      <c r="J104" s="648">
        <f>'WK4 - PGI summary'!H94</f>
        <v>1967451.067552492</v>
      </c>
      <c r="K104" s="648">
        <f>'WK4 - PGI summary'!I94</f>
        <v>2016637.3442413062</v>
      </c>
      <c r="L104" s="648">
        <f>'WK4 - PGI summary'!J94</f>
        <v>2067053.2778473496</v>
      </c>
      <c r="M104" s="648">
        <f>'WK4 - PGI summary'!K94</f>
        <v>2118729.6097935289</v>
      </c>
      <c r="N104" s="648">
        <f>'WK4 - PGI summary'!L94</f>
        <v>2171697.8500383645</v>
      </c>
      <c r="O104" s="649">
        <f>'WK4 - PGI summary'!M94</f>
        <v>2225990.2962893248</v>
      </c>
      <c r="P104" s="3"/>
      <c r="Q104" s="456"/>
      <c r="R104" s="456"/>
      <c r="S104" s="650">
        <f>'WK4 - PGI summary'!N94</f>
        <v>8859075.710834682</v>
      </c>
      <c r="T104" s="651">
        <f>'WK4 - PGI summary'!O94</f>
        <v>0.11673557812499996</v>
      </c>
      <c r="U104" s="3"/>
      <c r="V104" s="3"/>
      <c r="W104" s="3"/>
      <c r="X104" s="3"/>
      <c r="Y104" s="3"/>
      <c r="Z104" s="3"/>
      <c r="AA104" s="3"/>
      <c r="AB104" s="3"/>
      <c r="AC104" s="3"/>
    </row>
    <row r="105" spans="1:29" x14ac:dyDescent="0.2">
      <c r="A105" s="3"/>
      <c r="B105" s="135"/>
      <c r="C105" s="3"/>
      <c r="D105" s="3"/>
      <c r="E105" s="135"/>
      <c r="F105" s="3"/>
      <c r="G105" s="3"/>
      <c r="H105" s="96"/>
      <c r="I105" s="456"/>
      <c r="J105" s="456"/>
      <c r="K105" s="456"/>
      <c r="L105" s="456"/>
      <c r="M105" s="456"/>
      <c r="N105" s="456"/>
      <c r="O105" s="551"/>
      <c r="P105" s="3"/>
      <c r="Q105" s="456"/>
      <c r="R105" s="456"/>
      <c r="S105" s="392"/>
      <c r="T105" s="547"/>
      <c r="U105" s="3"/>
      <c r="V105" s="3"/>
      <c r="W105" s="3"/>
      <c r="X105" s="3"/>
      <c r="Y105" s="3"/>
      <c r="Z105" s="3"/>
      <c r="AA105" s="3"/>
      <c r="AB105" s="3"/>
      <c r="AC105" s="3"/>
    </row>
    <row r="106" spans="1:29" ht="12" x14ac:dyDescent="0.25">
      <c r="A106" s="3"/>
      <c r="B106" s="629" t="str">
        <f>'WK4 - PGI summary'!C96</f>
        <v>Annual $ increase in PGI with proposed SV more than:</v>
      </c>
      <c r="C106" s="3"/>
      <c r="D106" s="3"/>
      <c r="E106" s="135"/>
      <c r="F106" s="3"/>
      <c r="G106" s="3"/>
      <c r="H106" s="96"/>
      <c r="I106" s="648"/>
      <c r="J106" s="648"/>
      <c r="K106" s="648"/>
      <c r="L106" s="648"/>
      <c r="M106" s="648"/>
      <c r="N106" s="648"/>
      <c r="O106" s="649"/>
      <c r="P106" s="3"/>
      <c r="Q106" s="456"/>
      <c r="R106" s="456"/>
      <c r="S106" s="650"/>
      <c r="T106" s="637"/>
      <c r="U106" s="3"/>
      <c r="V106" s="3"/>
      <c r="W106" s="3"/>
      <c r="X106" s="3"/>
      <c r="Y106" s="3"/>
      <c r="Z106" s="3"/>
      <c r="AA106" s="3"/>
      <c r="AB106" s="3"/>
      <c r="AC106" s="3"/>
    </row>
    <row r="107" spans="1:29" x14ac:dyDescent="0.2">
      <c r="A107" s="3"/>
      <c r="B107" s="630" t="str">
        <f>'WK4 - PGI summary'!C97</f>
        <v>PGI if only the rate peg applied</v>
      </c>
      <c r="C107" s="3"/>
      <c r="D107" s="619" t="str">
        <f>'WK4 - PGI summary'!E97</f>
        <v>$ nominal</v>
      </c>
      <c r="E107" s="135"/>
      <c r="F107" s="3"/>
      <c r="G107" s="3"/>
      <c r="H107" s="96"/>
      <c r="I107" s="324">
        <f>'WK4 - PGI summary'!G97</f>
        <v>3642725.216683507</v>
      </c>
      <c r="J107" s="324">
        <f>'WK4 - PGI summary'!H97</f>
        <v>4208106.5263562649</v>
      </c>
      <c r="K107" s="324">
        <f>'WK4 - PGI summary'!I97</f>
        <v>3736923.8140836805</v>
      </c>
      <c r="L107" s="324">
        <f>'WK4 - PGI summary'!J97</f>
        <v>3117790.4890585989</v>
      </c>
      <c r="M107" s="324">
        <f>'WK4 - PGI summary'!K97</f>
        <v>367638.65115454793</v>
      </c>
      <c r="N107" s="324">
        <f>'WK4 - PGI summary'!L97</f>
        <v>376829.61743341386</v>
      </c>
      <c r="O107" s="645">
        <f>'WK4 - PGI summary'!M97</f>
        <v>386250.35786925256</v>
      </c>
      <c r="P107" s="3"/>
      <c r="Q107" s="455"/>
      <c r="R107" s="455"/>
      <c r="S107" s="650">
        <f>'WK4 - PGI summary'!N97</f>
        <v>14705546.046182051</v>
      </c>
      <c r="T107" s="644">
        <f>'WK4 - PGI summary'!O97</f>
        <v>0.1937742125000001</v>
      </c>
      <c r="U107" s="3"/>
      <c r="V107" s="3"/>
      <c r="W107" s="3"/>
      <c r="X107" s="3"/>
      <c r="Y107" s="3"/>
      <c r="Z107" s="3"/>
      <c r="AA107" s="3"/>
      <c r="AB107" s="3"/>
      <c r="AC107" s="3"/>
    </row>
    <row r="108" spans="1:29" x14ac:dyDescent="0.2">
      <c r="A108" s="3"/>
      <c r="B108" s="630" t="str">
        <f>'WK4 - PGI summary'!C98</f>
        <v>PGI if expiring SV renewed and only rate peg applied</v>
      </c>
      <c r="C108" s="3"/>
      <c r="D108" s="619" t="str">
        <f>'WK4 - PGI summary'!E98</f>
        <v>$ nominal</v>
      </c>
      <c r="E108" s="135"/>
      <c r="F108" s="3"/>
      <c r="G108" s="3"/>
      <c r="H108" s="96"/>
      <c r="I108" s="324">
        <f>'WK4 - PGI summary'!G98</f>
        <v>3642725.216683507</v>
      </c>
      <c r="J108" s="324">
        <f>'WK4 - PGI summary'!H98</f>
        <v>4208106.5263562649</v>
      </c>
      <c r="K108" s="324">
        <f>'WK4 - PGI summary'!I98</f>
        <v>3736923.8140836805</v>
      </c>
      <c r="L108" s="324">
        <f>'WK4 - PGI summary'!J98</f>
        <v>3117790.4890585989</v>
      </c>
      <c r="M108" s="324">
        <f>'WK4 - PGI summary'!K98</f>
        <v>367638.65115454793</v>
      </c>
      <c r="N108" s="324">
        <f>'WK4 - PGI summary'!L98</f>
        <v>376829.61743341386</v>
      </c>
      <c r="O108" s="645">
        <f>'WK4 - PGI summary'!M98</f>
        <v>386250.35786925256</v>
      </c>
      <c r="P108" s="3"/>
      <c r="Q108" s="455"/>
      <c r="R108" s="455"/>
      <c r="S108" s="650">
        <f>'WK4 - PGI summary'!N98</f>
        <v>14705546.046182051</v>
      </c>
      <c r="T108" s="644">
        <f>'WK4 - PGI summary'!O98</f>
        <v>0.1937742125000001</v>
      </c>
      <c r="U108" s="3"/>
      <c r="V108" s="3"/>
      <c r="W108" s="3"/>
      <c r="X108" s="3"/>
      <c r="Y108" s="3"/>
      <c r="Z108" s="3"/>
      <c r="AA108" s="3"/>
      <c r="AB108" s="3"/>
      <c r="AC108" s="3"/>
    </row>
    <row r="109" spans="1:29" x14ac:dyDescent="0.2">
      <c r="A109" s="3"/>
      <c r="B109" s="135"/>
      <c r="C109" s="3"/>
      <c r="D109" s="3"/>
      <c r="E109" s="135"/>
      <c r="F109" s="3"/>
      <c r="G109" s="3"/>
      <c r="H109" s="96"/>
      <c r="I109" s="454"/>
      <c r="J109" s="454"/>
      <c r="K109" s="454"/>
      <c r="L109" s="454"/>
      <c r="M109" s="454"/>
      <c r="N109" s="454"/>
      <c r="O109" s="550"/>
      <c r="P109" s="3"/>
      <c r="Q109" s="454"/>
      <c r="R109" s="454"/>
      <c r="S109" s="392"/>
      <c r="T109" s="96"/>
      <c r="U109" s="3"/>
      <c r="V109" s="3"/>
      <c r="W109" s="3"/>
      <c r="X109" s="3"/>
      <c r="Y109" s="3"/>
      <c r="Z109" s="3"/>
      <c r="AA109" s="3"/>
      <c r="AB109" s="3"/>
      <c r="AC109" s="3"/>
    </row>
    <row r="110" spans="1:29" ht="12" x14ac:dyDescent="0.25">
      <c r="A110" s="3"/>
      <c r="B110" s="629" t="str">
        <f>'WK4 - PGI summary'!C100</f>
        <v>Cumulative PGI</v>
      </c>
      <c r="C110" s="3"/>
      <c r="D110" s="3"/>
      <c r="E110" s="135"/>
      <c r="F110" s="3"/>
      <c r="G110" s="3"/>
      <c r="H110" s="96"/>
      <c r="I110" s="642"/>
      <c r="J110" s="642"/>
      <c r="K110" s="642"/>
      <c r="L110" s="642"/>
      <c r="M110" s="642"/>
      <c r="N110" s="642"/>
      <c r="O110" s="643"/>
      <c r="P110" s="3"/>
      <c r="Q110" s="454"/>
      <c r="R110" s="454"/>
      <c r="S110" s="650"/>
      <c r="T110" s="644"/>
      <c r="U110" s="3"/>
      <c r="V110" s="3"/>
      <c r="W110" s="3"/>
      <c r="X110" s="3"/>
      <c r="Y110" s="3"/>
      <c r="Z110" s="3"/>
      <c r="AA110" s="3"/>
      <c r="AB110" s="3"/>
      <c r="AC110" s="3"/>
    </row>
    <row r="111" spans="1:29" x14ac:dyDescent="0.2">
      <c r="A111" s="3"/>
      <c r="B111" s="630" t="str">
        <f>'WK4 - PGI summary'!C101</f>
        <v>PGI with proposed SV</v>
      </c>
      <c r="C111" s="3"/>
      <c r="D111" s="619" t="str">
        <f>'WK4 - PGI summary'!E101</f>
        <v>$ nominal</v>
      </c>
      <c r="E111" s="135"/>
      <c r="F111" s="3"/>
      <c r="G111" s="3"/>
      <c r="H111" s="96"/>
      <c r="I111" s="324">
        <f>'WK4 - PGI summary'!G101</f>
        <v>82340767.918783396</v>
      </c>
      <c r="J111" s="324">
        <f>'WK4 - PGI summary'!H101</f>
        <v>170857093.43147555</v>
      </c>
      <c r="K111" s="324">
        <f>'WK4 - PGI summary'!I101</f>
        <v>265126980.10249269</v>
      </c>
      <c r="L111" s="324">
        <f>'WK4 - PGI summary'!J101</f>
        <v>364581710.54041576</v>
      </c>
      <c r="M111" s="324">
        <f>'WK4 - PGI summary'!K101</f>
        <v>466522809.2392869</v>
      </c>
      <c r="N111" s="324">
        <f>'WK4 - PGI summary'!L101</f>
        <v>571012435.40562987</v>
      </c>
      <c r="O111" s="645">
        <f>'WK4 - PGI summary'!M101</f>
        <v>678114302.22613144</v>
      </c>
      <c r="P111" s="3"/>
      <c r="Q111" s="455"/>
      <c r="R111" s="455"/>
      <c r="S111" s="650">
        <f>'WK4 - PGI summary'!N101</f>
        <v>882906551.9931674</v>
      </c>
      <c r="T111" s="644">
        <f>'WK4 - PGI summary'!O101</f>
        <v>0</v>
      </c>
      <c r="U111" s="3"/>
      <c r="V111" s="3"/>
      <c r="W111" s="3"/>
      <c r="X111" s="3"/>
      <c r="Y111" s="3"/>
      <c r="Z111" s="3"/>
      <c r="AA111" s="3"/>
      <c r="AB111" s="3"/>
      <c r="AC111" s="3"/>
    </row>
    <row r="112" spans="1:29" x14ac:dyDescent="0.2">
      <c r="A112" s="3"/>
      <c r="B112" s="630" t="str">
        <f>'WK4 - PGI summary'!C102</f>
        <v>PGI if only the rate peg applied</v>
      </c>
      <c r="C112" s="3"/>
      <c r="D112" s="619" t="str">
        <f>'WK4 - PGI summary'!E102</f>
        <v>$ nominal</v>
      </c>
      <c r="E112" s="135"/>
      <c r="F112" s="3"/>
      <c r="G112" s="3"/>
      <c r="H112" s="96"/>
      <c r="I112" s="324">
        <f>'WK4 - PGI summary'!G102</f>
        <v>78698042.70209989</v>
      </c>
      <c r="J112" s="324">
        <f>'WK4 - PGI summary'!H102</f>
        <v>159363536.47175229</v>
      </c>
      <c r="K112" s="324">
        <f>'WK4 - PGI summary'!I102</f>
        <v>242045667.58564597</v>
      </c>
      <c r="L112" s="324">
        <f>'WK4 - PGI summary'!J102</f>
        <v>326794851.97738701</v>
      </c>
      <c r="M112" s="324">
        <f>'WK4 - PGI summary'!K102</f>
        <v>413662765.97892159</v>
      </c>
      <c r="N112" s="324">
        <f>'WK4 - PGI summary'!L102</f>
        <v>502702377.83049452</v>
      </c>
      <c r="O112" s="645">
        <f>'WK4 - PGI summary'!M102</f>
        <v>593967979.97835684</v>
      </c>
      <c r="P112" s="3"/>
      <c r="Q112" s="455"/>
      <c r="R112" s="455"/>
      <c r="S112" s="650">
        <f>'WK4 - PGI summary'!N102</f>
        <v>806902098.73688507</v>
      </c>
      <c r="T112" s="644">
        <f>'WK4 - PGI summary'!O102</f>
        <v>0</v>
      </c>
      <c r="U112" s="3"/>
      <c r="V112" s="3"/>
      <c r="W112" s="3"/>
      <c r="X112" s="3"/>
      <c r="Y112" s="3"/>
      <c r="Z112" s="3"/>
      <c r="AA112" s="3"/>
      <c r="AB112" s="3"/>
      <c r="AC112" s="3"/>
    </row>
    <row r="113" spans="1:29" x14ac:dyDescent="0.2">
      <c r="A113" s="3"/>
      <c r="B113" s="97"/>
      <c r="C113" s="93"/>
      <c r="D113" s="93"/>
      <c r="E113" s="97"/>
      <c r="F113" s="93"/>
      <c r="G113" s="93"/>
      <c r="H113" s="98"/>
      <c r="I113" s="345"/>
      <c r="J113" s="345"/>
      <c r="K113" s="345"/>
      <c r="L113" s="345"/>
      <c r="M113" s="345"/>
      <c r="N113" s="345"/>
      <c r="O113" s="340"/>
      <c r="P113" s="345"/>
      <c r="Q113" s="345"/>
      <c r="R113" s="345"/>
      <c r="S113" s="548"/>
      <c r="T113" s="549"/>
      <c r="U113" s="3"/>
      <c r="V113" s="3"/>
      <c r="W113" s="3"/>
      <c r="X113" s="3"/>
      <c r="Y113" s="3"/>
      <c r="Z113" s="3"/>
      <c r="AA113" s="3"/>
      <c r="AB113" s="3"/>
      <c r="AC113" s="3"/>
    </row>
    <row r="114" spans="1:29" x14ac:dyDescent="0.2">
      <c r="A114" s="3"/>
      <c r="B114" s="3"/>
      <c r="C114" s="3"/>
      <c r="D114" s="3"/>
      <c r="E114" s="3"/>
      <c r="F114" s="3"/>
      <c r="G114" s="3"/>
      <c r="H114" s="3"/>
      <c r="I114" s="454"/>
      <c r="J114" s="454"/>
      <c r="K114" s="454"/>
      <c r="L114" s="454"/>
      <c r="M114" s="454"/>
      <c r="N114" s="454"/>
      <c r="O114" s="454"/>
      <c r="P114" s="454"/>
      <c r="Q114" s="454"/>
      <c r="R114" s="454"/>
      <c r="S114" s="454"/>
      <c r="T114" s="454"/>
      <c r="U114" s="454"/>
      <c r="V114" s="3"/>
      <c r="W114" s="3"/>
      <c r="X114" s="3"/>
      <c r="Y114" s="3"/>
      <c r="Z114" s="3"/>
      <c r="AA114" s="3"/>
      <c r="AB114" s="3"/>
      <c r="AC114" s="3"/>
    </row>
    <row r="115" spans="1:29" x14ac:dyDescent="0.2">
      <c r="A115" s="3"/>
      <c r="B115" s="3"/>
      <c r="C115" s="3"/>
      <c r="D115" s="3"/>
      <c r="E115" s="3"/>
      <c r="F115" s="3"/>
      <c r="G115" s="3"/>
      <c r="H115" s="3"/>
      <c r="I115" s="454"/>
      <c r="J115" s="454"/>
      <c r="K115" s="454"/>
      <c r="L115" s="454"/>
      <c r="M115" s="454"/>
      <c r="N115" s="454"/>
      <c r="O115" s="454"/>
      <c r="P115" s="454"/>
      <c r="Q115" s="454"/>
      <c r="R115" s="454"/>
      <c r="S115" s="454"/>
      <c r="T115" s="454"/>
      <c r="U115" s="454"/>
      <c r="V115" s="3"/>
      <c r="W115" s="3"/>
      <c r="X115" s="3"/>
      <c r="Y115" s="3"/>
      <c r="Z115" s="3"/>
      <c r="AA115" s="3"/>
      <c r="AB115" s="3"/>
      <c r="AC115" s="3"/>
    </row>
    <row r="116" spans="1:29" ht="12" x14ac:dyDescent="0.25">
      <c r="A116" s="3"/>
      <c r="B116" s="122"/>
      <c r="C116" s="3"/>
      <c r="D116" s="3"/>
      <c r="E116" s="3"/>
      <c r="F116" s="3"/>
      <c r="G116" s="3"/>
      <c r="H116" s="3"/>
      <c r="I116" s="454"/>
      <c r="J116" s="454"/>
      <c r="K116" s="454"/>
      <c r="L116" s="454"/>
      <c r="M116" s="454"/>
      <c r="N116" s="454"/>
      <c r="O116" s="454"/>
      <c r="P116" s="454"/>
      <c r="Q116" s="454"/>
      <c r="R116" s="454"/>
      <c r="S116" s="454"/>
      <c r="T116" s="454"/>
      <c r="U116" s="454"/>
      <c r="V116" s="3"/>
      <c r="W116" s="3"/>
      <c r="X116" s="3"/>
      <c r="Y116" s="3"/>
      <c r="Z116" s="3"/>
      <c r="AA116" s="3"/>
      <c r="AB116" s="3"/>
      <c r="AC116" s="3"/>
    </row>
    <row r="117" spans="1:29" x14ac:dyDescent="0.2">
      <c r="A117" s="3"/>
      <c r="B117" s="619" t="str">
        <f>'WK5a - Impact on Rates'!$F$5</f>
        <v>WORKSHEET 5a</v>
      </c>
      <c r="C117" s="3"/>
      <c r="D117" s="3"/>
      <c r="E117" s="3"/>
      <c r="F117" s="3"/>
      <c r="G117" s="3"/>
      <c r="H117" s="3"/>
      <c r="I117" s="455"/>
      <c r="J117" s="455"/>
      <c r="K117" s="455"/>
      <c r="L117" s="455"/>
      <c r="M117" s="455"/>
      <c r="N117" s="455"/>
      <c r="O117" s="455"/>
      <c r="P117" s="455"/>
      <c r="Q117" s="455"/>
      <c r="R117" s="455"/>
      <c r="S117" s="455"/>
      <c r="T117" s="455"/>
      <c r="U117" s="455"/>
      <c r="V117" s="3"/>
      <c r="W117" s="3"/>
      <c r="X117" s="3"/>
      <c r="Y117" s="3"/>
      <c r="Z117" s="3"/>
      <c r="AA117" s="3"/>
      <c r="AB117" s="3"/>
      <c r="AC117" s="3"/>
    </row>
    <row r="118" spans="1:29" ht="12" x14ac:dyDescent="0.25">
      <c r="A118" s="3"/>
      <c r="B118" s="2" t="s">
        <v>128</v>
      </c>
      <c r="C118" s="3"/>
      <c r="D118" s="620" t="str">
        <f>'WK5a - Impact on Rates'!H21</f>
        <v>$ nominal per year</v>
      </c>
      <c r="E118" s="3"/>
      <c r="F118" s="3"/>
      <c r="G118" s="3"/>
      <c r="H118" s="3"/>
      <c r="I118" s="455"/>
      <c r="J118" s="455"/>
      <c r="K118" s="455"/>
      <c r="L118" s="455"/>
      <c r="M118" s="455"/>
      <c r="N118" s="455"/>
      <c r="O118" s="455"/>
      <c r="P118" s="455"/>
      <c r="Q118" s="455"/>
      <c r="R118" s="455"/>
      <c r="S118" s="455"/>
      <c r="T118" s="455"/>
      <c r="U118" s="455"/>
      <c r="V118" s="3"/>
      <c r="W118" s="3"/>
      <c r="X118" s="3"/>
      <c r="Y118" s="3"/>
      <c r="Z118" s="3"/>
      <c r="AA118" s="3"/>
      <c r="AB118" s="3"/>
      <c r="AC118" s="3"/>
    </row>
    <row r="119" spans="1:29" x14ac:dyDescent="0.2">
      <c r="A119" s="3"/>
      <c r="B119" s="1198" t="str">
        <f>B$51</f>
        <v>Year number</v>
      </c>
      <c r="C119" s="815"/>
      <c r="D119" s="918"/>
      <c r="E119" s="1201" t="str">
        <f t="shared" ref="E119:R119" si="6">E$51</f>
        <v>Hist yr 3</v>
      </c>
      <c r="F119" s="919" t="str">
        <f t="shared" si="6"/>
        <v>Hist yr 2</v>
      </c>
      <c r="G119" s="920" t="str">
        <f t="shared" si="6"/>
        <v>Hist yr 1</v>
      </c>
      <c r="H119" s="1200" t="str">
        <f t="shared" si="6"/>
        <v>Year 0</v>
      </c>
      <c r="I119" s="872" t="str">
        <f t="shared" si="6"/>
        <v>Year 1</v>
      </c>
      <c r="J119" s="872" t="str">
        <f t="shared" si="6"/>
        <v>Year 2</v>
      </c>
      <c r="K119" s="872" t="str">
        <f t="shared" si="6"/>
        <v>Year 3</v>
      </c>
      <c r="L119" s="872" t="str">
        <f t="shared" si="6"/>
        <v>Year 4</v>
      </c>
      <c r="M119" s="872" t="str">
        <f t="shared" si="6"/>
        <v>Year 5</v>
      </c>
      <c r="N119" s="872" t="str">
        <f t="shared" si="6"/>
        <v>Year 6</v>
      </c>
      <c r="O119" s="872" t="str">
        <f t="shared" si="6"/>
        <v>Year 7</v>
      </c>
      <c r="P119" s="1201" t="str">
        <f t="shared" si="6"/>
        <v>Year 8</v>
      </c>
      <c r="Q119" s="919" t="str">
        <f t="shared" si="6"/>
        <v>Year 9</v>
      </c>
      <c r="R119" s="920" t="str">
        <f t="shared" si="6"/>
        <v>Year 10</v>
      </c>
      <c r="S119" s="455"/>
      <c r="T119" s="455"/>
      <c r="U119" s="3"/>
      <c r="V119" s="3"/>
      <c r="W119" s="3"/>
      <c r="X119" s="3"/>
      <c r="Y119" s="3"/>
      <c r="Z119" s="3"/>
      <c r="AA119" s="3"/>
      <c r="AB119" s="3"/>
      <c r="AC119" s="3"/>
    </row>
    <row r="120" spans="1:29" ht="12" x14ac:dyDescent="0.25">
      <c r="A120" s="3"/>
      <c r="B120" s="621" t="str">
        <f>B$52</f>
        <v>Financial year</v>
      </c>
      <c r="C120" s="93"/>
      <c r="D120" s="98"/>
      <c r="E120" s="622" t="str">
        <f t="shared" ref="E120:R120" si="7">E$52</f>
        <v>2019-20</v>
      </c>
      <c r="F120" s="623" t="str">
        <f t="shared" si="7"/>
        <v>2020-21</v>
      </c>
      <c r="G120" s="624" t="str">
        <f t="shared" si="7"/>
        <v>2021-22</v>
      </c>
      <c r="H120" s="625" t="str">
        <f t="shared" si="7"/>
        <v>2022-23</v>
      </c>
      <c r="I120" s="626" t="str">
        <f t="shared" si="7"/>
        <v>2023-24</v>
      </c>
      <c r="J120" s="626" t="str">
        <f t="shared" si="7"/>
        <v>2024-25</v>
      </c>
      <c r="K120" s="626" t="str">
        <f t="shared" si="7"/>
        <v>2025-26</v>
      </c>
      <c r="L120" s="626" t="str">
        <f t="shared" si="7"/>
        <v>2026-27</v>
      </c>
      <c r="M120" s="626" t="str">
        <f t="shared" si="7"/>
        <v>2027-28</v>
      </c>
      <c r="N120" s="626" t="str">
        <f t="shared" si="7"/>
        <v>2028-29</v>
      </c>
      <c r="O120" s="626" t="str">
        <f t="shared" si="7"/>
        <v>2029-30</v>
      </c>
      <c r="P120" s="622" t="str">
        <f t="shared" si="7"/>
        <v>2030-31</v>
      </c>
      <c r="Q120" s="623" t="str">
        <f t="shared" si="7"/>
        <v>2031-32</v>
      </c>
      <c r="R120" s="624" t="str">
        <f t="shared" si="7"/>
        <v>2032-33</v>
      </c>
      <c r="S120" s="455"/>
      <c r="T120" s="455"/>
      <c r="U120" s="3"/>
      <c r="V120" s="3"/>
      <c r="W120" s="3"/>
      <c r="X120" s="3"/>
      <c r="Y120" s="3"/>
      <c r="Z120" s="3"/>
      <c r="AA120" s="3"/>
      <c r="AB120" s="3"/>
      <c r="AC120" s="3"/>
    </row>
    <row r="121" spans="1:29" x14ac:dyDescent="0.2">
      <c r="A121" s="3"/>
      <c r="B121" s="135"/>
      <c r="C121" s="3"/>
      <c r="D121" s="3"/>
      <c r="E121" s="135"/>
      <c r="F121" s="3"/>
      <c r="G121" s="96"/>
      <c r="H121" s="135"/>
      <c r="I121" s="3"/>
      <c r="J121" s="3"/>
      <c r="K121" s="3"/>
      <c r="L121" s="3"/>
      <c r="M121" s="3"/>
      <c r="N121" s="3"/>
      <c r="O121" s="3"/>
      <c r="P121" s="135"/>
      <c r="Q121" s="3"/>
      <c r="R121" s="96"/>
      <c r="S121" s="455"/>
      <c r="T121" s="455"/>
      <c r="U121" s="3"/>
      <c r="V121" s="3"/>
      <c r="W121" s="3"/>
      <c r="X121" s="3"/>
      <c r="Y121" s="3"/>
      <c r="Z121" s="3"/>
      <c r="AA121" s="3"/>
      <c r="AB121" s="3"/>
      <c r="AC121" s="3"/>
    </row>
    <row r="122" spans="1:29" ht="12" x14ac:dyDescent="0.25">
      <c r="A122" s="3"/>
      <c r="B122" s="632" t="str">
        <f>'WK5a - Impact on Rates'!C21</f>
        <v>Minimum Rates - with proposed special variation</v>
      </c>
      <c r="C122" s="3"/>
      <c r="D122" s="3"/>
      <c r="E122" s="135"/>
      <c r="F122" s="3"/>
      <c r="G122" s="96"/>
      <c r="H122" s="135"/>
      <c r="I122" s="3"/>
      <c r="J122" s="3"/>
      <c r="K122" s="3"/>
      <c r="L122" s="3"/>
      <c r="M122" s="3"/>
      <c r="N122" s="3"/>
      <c r="O122" s="3"/>
      <c r="P122" s="135"/>
      <c r="Q122" s="3"/>
      <c r="R122" s="96"/>
      <c r="S122" s="455"/>
      <c r="T122" s="455"/>
      <c r="U122" s="3"/>
      <c r="V122" s="3"/>
      <c r="W122" s="3"/>
      <c r="X122" s="3"/>
      <c r="Y122" s="3"/>
      <c r="Z122" s="3"/>
      <c r="AA122" s="3"/>
      <c r="AB122" s="3"/>
      <c r="AC122" s="3"/>
    </row>
    <row r="123" spans="1:29" x14ac:dyDescent="0.2">
      <c r="A123" s="3"/>
      <c r="B123" s="662" t="str">
        <f>'WK5a - Impact on Rates'!C24</f>
        <v>Residential</v>
      </c>
      <c r="C123" s="692" t="str">
        <f>'WK5a - Impact on Rates'!D24</f>
        <v>Residential</v>
      </c>
      <c r="D123" s="3"/>
      <c r="E123" s="135"/>
      <c r="F123" s="3"/>
      <c r="G123" s="96"/>
      <c r="H123" s="662">
        <f>'WK5a - Impact on Rates'!E24</f>
        <v>0</v>
      </c>
      <c r="I123" s="898">
        <f>'WK5a - Impact on Rates'!F24</f>
        <v>0</v>
      </c>
      <c r="J123" s="898">
        <f>'WK5a - Impact on Rates'!G24</f>
        <v>0</v>
      </c>
      <c r="K123" s="898">
        <f>'WK5a - Impact on Rates'!H24</f>
        <v>0</v>
      </c>
      <c r="L123" s="898">
        <f>'WK5a - Impact on Rates'!I24</f>
        <v>0</v>
      </c>
      <c r="M123" s="898">
        <f>'WK5a - Impact on Rates'!J24</f>
        <v>0</v>
      </c>
      <c r="N123" s="898">
        <f>'WK5a - Impact on Rates'!K24</f>
        <v>0</v>
      </c>
      <c r="O123" s="898">
        <f>'WK5a - Impact on Rates'!L24</f>
        <v>0</v>
      </c>
      <c r="P123" s="135"/>
      <c r="Q123" s="3"/>
      <c r="R123" s="96"/>
      <c r="S123" s="455"/>
      <c r="T123" s="455"/>
      <c r="U123" s="3"/>
      <c r="V123" s="3"/>
      <c r="W123" s="3"/>
      <c r="X123" s="3"/>
      <c r="Y123" s="3"/>
      <c r="Z123" s="3"/>
      <c r="AA123" s="3"/>
      <c r="AB123" s="3"/>
      <c r="AC123" s="3"/>
    </row>
    <row r="124" spans="1:29" x14ac:dyDescent="0.2">
      <c r="A124" s="3"/>
      <c r="B124" s="662" t="str">
        <f>'WK5a - Impact on Rates'!C25</f>
        <v>Residential</v>
      </c>
      <c r="C124" s="692" t="str">
        <f>'WK5a - Impact on Rates'!D25</f>
        <v/>
      </c>
      <c r="D124" s="3"/>
      <c r="E124" s="135"/>
      <c r="F124" s="3"/>
      <c r="G124" s="96"/>
      <c r="H124" s="662">
        <f>'WK5a - Impact on Rates'!E25</f>
        <v>0</v>
      </c>
      <c r="I124" s="898">
        <f>'WK5a - Impact on Rates'!F25</f>
        <v>0</v>
      </c>
      <c r="J124" s="898">
        <f>'WK5a - Impact on Rates'!G25</f>
        <v>0</v>
      </c>
      <c r="K124" s="898">
        <f>'WK5a - Impact on Rates'!H25</f>
        <v>0</v>
      </c>
      <c r="L124" s="898">
        <f>'WK5a - Impact on Rates'!I25</f>
        <v>0</v>
      </c>
      <c r="M124" s="898">
        <f>'WK5a - Impact on Rates'!J25</f>
        <v>0</v>
      </c>
      <c r="N124" s="898">
        <f>'WK5a - Impact on Rates'!K25</f>
        <v>0</v>
      </c>
      <c r="O124" s="898">
        <f>'WK5a - Impact on Rates'!L25</f>
        <v>0</v>
      </c>
      <c r="P124" s="135"/>
      <c r="Q124" s="3"/>
      <c r="R124" s="96"/>
      <c r="S124" s="455"/>
      <c r="T124" s="455"/>
      <c r="U124" s="3"/>
      <c r="V124" s="3"/>
      <c r="W124" s="3"/>
      <c r="X124" s="3"/>
      <c r="Y124" s="3"/>
      <c r="Z124" s="3"/>
      <c r="AA124" s="3"/>
      <c r="AB124" s="3"/>
      <c r="AC124" s="3"/>
    </row>
    <row r="125" spans="1:29" outlineLevel="1" x14ac:dyDescent="0.2">
      <c r="A125" s="3"/>
      <c r="B125" s="662" t="str">
        <f>'WK5a - Impact on Rates'!C26</f>
        <v>Residential</v>
      </c>
      <c r="C125" s="692" t="str">
        <f>'WK5a - Impact on Rates'!D26</f>
        <v/>
      </c>
      <c r="D125" s="3"/>
      <c r="E125" s="135"/>
      <c r="F125" s="3"/>
      <c r="G125" s="96"/>
      <c r="H125" s="662">
        <f>'WK5a - Impact on Rates'!E26</f>
        <v>0</v>
      </c>
      <c r="I125" s="898">
        <f>'WK5a - Impact on Rates'!F26</f>
        <v>0</v>
      </c>
      <c r="J125" s="898">
        <f>'WK5a - Impact on Rates'!G26</f>
        <v>0</v>
      </c>
      <c r="K125" s="898">
        <f>'WK5a - Impact on Rates'!H26</f>
        <v>0</v>
      </c>
      <c r="L125" s="898">
        <f>'WK5a - Impact on Rates'!I26</f>
        <v>0</v>
      </c>
      <c r="M125" s="898">
        <f>'WK5a - Impact on Rates'!J26</f>
        <v>0</v>
      </c>
      <c r="N125" s="898">
        <f>'WK5a - Impact on Rates'!K26</f>
        <v>0</v>
      </c>
      <c r="O125" s="898">
        <f>'WK5a - Impact on Rates'!L26</f>
        <v>0</v>
      </c>
      <c r="P125" s="135"/>
      <c r="Q125" s="3"/>
      <c r="R125" s="96"/>
      <c r="S125" s="455"/>
      <c r="T125" s="455"/>
      <c r="U125" s="3"/>
      <c r="V125" s="3"/>
      <c r="W125" s="3"/>
      <c r="X125" s="3"/>
      <c r="Y125" s="3"/>
      <c r="Z125" s="3"/>
      <c r="AA125" s="3"/>
      <c r="AB125" s="3"/>
      <c r="AC125" s="3"/>
    </row>
    <row r="126" spans="1:29" outlineLevel="1" x14ac:dyDescent="0.2">
      <c r="A126" s="3"/>
      <c r="B126" s="662" t="str">
        <f>'WK5a - Impact on Rates'!C27</f>
        <v>Residential</v>
      </c>
      <c r="C126" s="692" t="str">
        <f>'WK5a - Impact on Rates'!D27</f>
        <v/>
      </c>
      <c r="D126" s="3"/>
      <c r="E126" s="135"/>
      <c r="F126" s="3"/>
      <c r="G126" s="96"/>
      <c r="H126" s="662">
        <f>'WK5a - Impact on Rates'!E27</f>
        <v>0</v>
      </c>
      <c r="I126" s="898">
        <f>'WK5a - Impact on Rates'!F27</f>
        <v>0</v>
      </c>
      <c r="J126" s="898">
        <f>'WK5a - Impact on Rates'!G27</f>
        <v>0</v>
      </c>
      <c r="K126" s="898">
        <f>'WK5a - Impact on Rates'!H27</f>
        <v>0</v>
      </c>
      <c r="L126" s="898">
        <f>'WK5a - Impact on Rates'!I27</f>
        <v>0</v>
      </c>
      <c r="M126" s="898">
        <f>'WK5a - Impact on Rates'!J27</f>
        <v>0</v>
      </c>
      <c r="N126" s="898">
        <f>'WK5a - Impact on Rates'!K27</f>
        <v>0</v>
      </c>
      <c r="O126" s="898">
        <f>'WK5a - Impact on Rates'!L27</f>
        <v>0</v>
      </c>
      <c r="P126" s="135"/>
      <c r="Q126" s="3"/>
      <c r="R126" s="96"/>
      <c r="S126" s="455"/>
      <c r="T126" s="455"/>
      <c r="U126" s="3"/>
      <c r="V126" s="3"/>
      <c r="W126" s="3"/>
      <c r="X126" s="3"/>
      <c r="Y126" s="3"/>
      <c r="Z126" s="3"/>
      <c r="AA126" s="3"/>
      <c r="AB126" s="3"/>
      <c r="AC126" s="3"/>
    </row>
    <row r="127" spans="1:29" outlineLevel="1" x14ac:dyDescent="0.2">
      <c r="A127" s="3"/>
      <c r="B127" s="662" t="str">
        <f>'WK5a - Impact on Rates'!C28</f>
        <v>Residential</v>
      </c>
      <c r="C127" s="692" t="str">
        <f>'WK5a - Impact on Rates'!D28</f>
        <v/>
      </c>
      <c r="D127" s="3"/>
      <c r="E127" s="135"/>
      <c r="F127" s="3"/>
      <c r="G127" s="96"/>
      <c r="H127" s="662">
        <f>'WK5a - Impact on Rates'!E28</f>
        <v>0</v>
      </c>
      <c r="I127" s="898">
        <f>'WK5a - Impact on Rates'!F28</f>
        <v>0</v>
      </c>
      <c r="J127" s="898">
        <f>'WK5a - Impact on Rates'!G28</f>
        <v>0</v>
      </c>
      <c r="K127" s="898">
        <f>'WK5a - Impact on Rates'!H28</f>
        <v>0</v>
      </c>
      <c r="L127" s="898">
        <f>'WK5a - Impact on Rates'!I28</f>
        <v>0</v>
      </c>
      <c r="M127" s="898">
        <f>'WK5a - Impact on Rates'!J28</f>
        <v>0</v>
      </c>
      <c r="N127" s="898">
        <f>'WK5a - Impact on Rates'!K28</f>
        <v>0</v>
      </c>
      <c r="O127" s="898">
        <f>'WK5a - Impact on Rates'!L28</f>
        <v>0</v>
      </c>
      <c r="P127" s="135"/>
      <c r="Q127" s="3"/>
      <c r="R127" s="96"/>
      <c r="S127" s="455"/>
      <c r="T127" s="455"/>
      <c r="U127" s="3"/>
      <c r="V127" s="3"/>
      <c r="W127" s="3"/>
      <c r="X127" s="3"/>
      <c r="Y127" s="3"/>
      <c r="Z127" s="3"/>
      <c r="AA127" s="3"/>
      <c r="AB127" s="3"/>
      <c r="AC127" s="3"/>
    </row>
    <row r="128" spans="1:29" outlineLevel="1" x14ac:dyDescent="0.2">
      <c r="A128" s="3"/>
      <c r="B128" s="662" t="str">
        <f>'WK5a - Impact on Rates'!C29</f>
        <v>Residential</v>
      </c>
      <c r="C128" s="692" t="str">
        <f>'WK5a - Impact on Rates'!D29</f>
        <v/>
      </c>
      <c r="D128" s="3"/>
      <c r="E128" s="135"/>
      <c r="F128" s="3"/>
      <c r="G128" s="96"/>
      <c r="H128" s="662">
        <f>'WK5a - Impact on Rates'!E29</f>
        <v>0</v>
      </c>
      <c r="I128" s="898">
        <f>'WK5a - Impact on Rates'!F29</f>
        <v>0</v>
      </c>
      <c r="J128" s="898">
        <f>'WK5a - Impact on Rates'!G29</f>
        <v>0</v>
      </c>
      <c r="K128" s="898">
        <f>'WK5a - Impact on Rates'!H29</f>
        <v>0</v>
      </c>
      <c r="L128" s="898">
        <f>'WK5a - Impact on Rates'!I29</f>
        <v>0</v>
      </c>
      <c r="M128" s="898">
        <f>'WK5a - Impact on Rates'!J29</f>
        <v>0</v>
      </c>
      <c r="N128" s="898">
        <f>'WK5a - Impact on Rates'!K29</f>
        <v>0</v>
      </c>
      <c r="O128" s="898">
        <f>'WK5a - Impact on Rates'!L29</f>
        <v>0</v>
      </c>
      <c r="P128" s="135"/>
      <c r="Q128" s="3"/>
      <c r="R128" s="96"/>
      <c r="S128" s="455"/>
      <c r="T128" s="455"/>
      <c r="U128" s="3"/>
      <c r="V128" s="3"/>
      <c r="W128" s="3"/>
      <c r="X128" s="3"/>
      <c r="Y128" s="3"/>
      <c r="Z128" s="3"/>
      <c r="AA128" s="3"/>
      <c r="AB128" s="3"/>
      <c r="AC128" s="3"/>
    </row>
    <row r="129" spans="1:29" outlineLevel="1" x14ac:dyDescent="0.2">
      <c r="A129" s="3"/>
      <c r="B129" s="662" t="str">
        <f>'WK5a - Impact on Rates'!C30</f>
        <v>Residential</v>
      </c>
      <c r="C129" s="692" t="str">
        <f>'WK5a - Impact on Rates'!D30</f>
        <v/>
      </c>
      <c r="D129" s="3"/>
      <c r="E129" s="135"/>
      <c r="F129" s="3"/>
      <c r="G129" s="96"/>
      <c r="H129" s="662">
        <f>'WK5a - Impact on Rates'!E30</f>
        <v>0</v>
      </c>
      <c r="I129" s="898">
        <f>'WK5a - Impact on Rates'!F30</f>
        <v>0</v>
      </c>
      <c r="J129" s="898">
        <f>'WK5a - Impact on Rates'!G30</f>
        <v>0</v>
      </c>
      <c r="K129" s="898">
        <f>'WK5a - Impact on Rates'!H30</f>
        <v>0</v>
      </c>
      <c r="L129" s="898">
        <f>'WK5a - Impact on Rates'!I30</f>
        <v>0</v>
      </c>
      <c r="M129" s="898">
        <f>'WK5a - Impact on Rates'!J30</f>
        <v>0</v>
      </c>
      <c r="N129" s="898">
        <f>'WK5a - Impact on Rates'!K30</f>
        <v>0</v>
      </c>
      <c r="O129" s="898">
        <f>'WK5a - Impact on Rates'!L30</f>
        <v>0</v>
      </c>
      <c r="P129" s="135"/>
      <c r="Q129" s="3"/>
      <c r="R129" s="96"/>
      <c r="S129" s="455"/>
      <c r="T129" s="455"/>
      <c r="U129" s="3"/>
      <c r="V129" s="3"/>
      <c r="W129" s="3"/>
      <c r="X129" s="3"/>
      <c r="Y129" s="3"/>
      <c r="Z129" s="3"/>
      <c r="AA129" s="3"/>
      <c r="AB129" s="3"/>
      <c r="AC129" s="3"/>
    </row>
    <row r="130" spans="1:29" outlineLevel="1" x14ac:dyDescent="0.2">
      <c r="A130" s="3"/>
      <c r="B130" s="662" t="str">
        <f>'WK5a - Impact on Rates'!C31</f>
        <v>Residential</v>
      </c>
      <c r="C130" s="692" t="str">
        <f>'WK5a - Impact on Rates'!D31</f>
        <v/>
      </c>
      <c r="D130" s="3"/>
      <c r="E130" s="135"/>
      <c r="F130" s="3"/>
      <c r="G130" s="96"/>
      <c r="H130" s="662">
        <f>'WK5a - Impact on Rates'!E31</f>
        <v>0</v>
      </c>
      <c r="I130" s="898">
        <f>'WK5a - Impact on Rates'!F31</f>
        <v>0</v>
      </c>
      <c r="J130" s="898">
        <f>'WK5a - Impact on Rates'!G31</f>
        <v>0</v>
      </c>
      <c r="K130" s="898">
        <f>'WK5a - Impact on Rates'!H31</f>
        <v>0</v>
      </c>
      <c r="L130" s="898">
        <f>'WK5a - Impact on Rates'!I31</f>
        <v>0</v>
      </c>
      <c r="M130" s="898">
        <f>'WK5a - Impact on Rates'!J31</f>
        <v>0</v>
      </c>
      <c r="N130" s="898">
        <f>'WK5a - Impact on Rates'!K31</f>
        <v>0</v>
      </c>
      <c r="O130" s="898">
        <f>'WK5a - Impact on Rates'!L31</f>
        <v>0</v>
      </c>
      <c r="P130" s="135"/>
      <c r="Q130" s="3"/>
      <c r="R130" s="96"/>
      <c r="S130" s="455"/>
      <c r="T130" s="455"/>
      <c r="U130" s="3"/>
      <c r="V130" s="3"/>
      <c r="W130" s="3"/>
      <c r="X130" s="3"/>
      <c r="Y130" s="3"/>
      <c r="Z130" s="3"/>
      <c r="AA130" s="3"/>
      <c r="AB130" s="3"/>
      <c r="AC130" s="3"/>
    </row>
    <row r="131" spans="1:29" outlineLevel="1" x14ac:dyDescent="0.2">
      <c r="A131" s="3"/>
      <c r="B131" s="662" t="str">
        <f>'WK5a - Impact on Rates'!C32</f>
        <v>Residential</v>
      </c>
      <c r="C131" s="692" t="str">
        <f>'WK5a - Impact on Rates'!D32</f>
        <v/>
      </c>
      <c r="D131" s="3"/>
      <c r="E131" s="135"/>
      <c r="F131" s="3"/>
      <c r="G131" s="96"/>
      <c r="H131" s="662">
        <f>'WK5a - Impact on Rates'!E32</f>
        <v>0</v>
      </c>
      <c r="I131" s="898">
        <f>'WK5a - Impact on Rates'!F32</f>
        <v>0</v>
      </c>
      <c r="J131" s="898">
        <f>'WK5a - Impact on Rates'!G32</f>
        <v>0</v>
      </c>
      <c r="K131" s="898">
        <f>'WK5a - Impact on Rates'!H32</f>
        <v>0</v>
      </c>
      <c r="L131" s="898">
        <f>'WK5a - Impact on Rates'!I32</f>
        <v>0</v>
      </c>
      <c r="M131" s="898">
        <f>'WK5a - Impact on Rates'!J32</f>
        <v>0</v>
      </c>
      <c r="N131" s="898">
        <f>'WK5a - Impact on Rates'!K32</f>
        <v>0</v>
      </c>
      <c r="O131" s="898">
        <f>'WK5a - Impact on Rates'!L32</f>
        <v>0</v>
      </c>
      <c r="P131" s="135"/>
      <c r="Q131" s="3"/>
      <c r="R131" s="96"/>
      <c r="S131" s="455"/>
      <c r="T131" s="455"/>
      <c r="U131" s="3"/>
      <c r="V131" s="3"/>
      <c r="W131" s="3"/>
      <c r="X131" s="3"/>
      <c r="Y131" s="3"/>
      <c r="Z131" s="3"/>
      <c r="AA131" s="3"/>
      <c r="AB131" s="3"/>
      <c r="AC131" s="3"/>
    </row>
    <row r="132" spans="1:29" outlineLevel="1" x14ac:dyDescent="0.2">
      <c r="A132" s="3"/>
      <c r="B132" s="662" t="str">
        <f>'WK5a - Impact on Rates'!C33</f>
        <v>Residential</v>
      </c>
      <c r="C132" s="692" t="str">
        <f>'WK5a - Impact on Rates'!D33</f>
        <v/>
      </c>
      <c r="D132" s="3"/>
      <c r="E132" s="135"/>
      <c r="F132" s="3"/>
      <c r="G132" s="96"/>
      <c r="H132" s="662">
        <f>'WK5a - Impact on Rates'!E33</f>
        <v>0</v>
      </c>
      <c r="I132" s="898">
        <f>'WK5a - Impact on Rates'!F33</f>
        <v>0</v>
      </c>
      <c r="J132" s="898">
        <f>'WK5a - Impact on Rates'!G33</f>
        <v>0</v>
      </c>
      <c r="K132" s="898">
        <f>'WK5a - Impact on Rates'!H33</f>
        <v>0</v>
      </c>
      <c r="L132" s="898">
        <f>'WK5a - Impact on Rates'!I33</f>
        <v>0</v>
      </c>
      <c r="M132" s="898">
        <f>'WK5a - Impact on Rates'!J33</f>
        <v>0</v>
      </c>
      <c r="N132" s="898">
        <f>'WK5a - Impact on Rates'!K33</f>
        <v>0</v>
      </c>
      <c r="O132" s="898">
        <f>'WK5a - Impact on Rates'!L33</f>
        <v>0</v>
      </c>
      <c r="P132" s="135"/>
      <c r="Q132" s="3"/>
      <c r="R132" s="96"/>
      <c r="S132" s="455"/>
      <c r="T132" s="455"/>
      <c r="U132" s="3"/>
      <c r="V132" s="3"/>
      <c r="W132" s="3"/>
      <c r="X132" s="3"/>
      <c r="Y132" s="3"/>
      <c r="Z132" s="3"/>
      <c r="AA132" s="3"/>
      <c r="AB132" s="3"/>
      <c r="AC132" s="3"/>
    </row>
    <row r="133" spans="1:29" outlineLevel="1" x14ac:dyDescent="0.2">
      <c r="A133" s="3"/>
      <c r="B133" s="662" t="str">
        <f>'WK5a - Impact on Rates'!C34</f>
        <v>Residential</v>
      </c>
      <c r="C133" s="692" t="str">
        <f>'WK5a - Impact on Rates'!D34</f>
        <v/>
      </c>
      <c r="D133" s="3"/>
      <c r="E133" s="135"/>
      <c r="F133" s="3"/>
      <c r="G133" s="96"/>
      <c r="H133" s="662">
        <f>'WK5a - Impact on Rates'!E34</f>
        <v>0</v>
      </c>
      <c r="I133" s="898">
        <f>'WK5a - Impact on Rates'!F34</f>
        <v>0</v>
      </c>
      <c r="J133" s="898">
        <f>'WK5a - Impact on Rates'!G34</f>
        <v>0</v>
      </c>
      <c r="K133" s="898">
        <f>'WK5a - Impact on Rates'!H34</f>
        <v>0</v>
      </c>
      <c r="L133" s="898">
        <f>'WK5a - Impact on Rates'!I34</f>
        <v>0</v>
      </c>
      <c r="M133" s="898">
        <f>'WK5a - Impact on Rates'!J34</f>
        <v>0</v>
      </c>
      <c r="N133" s="898">
        <f>'WK5a - Impact on Rates'!K34</f>
        <v>0</v>
      </c>
      <c r="O133" s="898">
        <f>'WK5a - Impact on Rates'!L34</f>
        <v>0</v>
      </c>
      <c r="P133" s="135"/>
      <c r="Q133" s="3"/>
      <c r="R133" s="96"/>
      <c r="S133" s="455"/>
      <c r="T133" s="455"/>
      <c r="U133" s="3"/>
      <c r="V133" s="3"/>
      <c r="W133" s="3"/>
      <c r="X133" s="3"/>
      <c r="Y133" s="3"/>
      <c r="Z133" s="3"/>
      <c r="AA133" s="3"/>
      <c r="AB133" s="3"/>
      <c r="AC133" s="3"/>
    </row>
    <row r="134" spans="1:29" outlineLevel="1" x14ac:dyDescent="0.2">
      <c r="A134" s="3"/>
      <c r="B134" s="662" t="str">
        <f>'WK5a - Impact on Rates'!C35</f>
        <v>Residential</v>
      </c>
      <c r="C134" s="692" t="str">
        <f>'WK5a - Impact on Rates'!D35</f>
        <v/>
      </c>
      <c r="D134" s="3"/>
      <c r="E134" s="135"/>
      <c r="F134" s="3"/>
      <c r="G134" s="96"/>
      <c r="H134" s="662">
        <f>'WK5a - Impact on Rates'!E35</f>
        <v>0</v>
      </c>
      <c r="I134" s="898">
        <f>'WK5a - Impact on Rates'!F35</f>
        <v>0</v>
      </c>
      <c r="J134" s="898">
        <f>'WK5a - Impact on Rates'!G35</f>
        <v>0</v>
      </c>
      <c r="K134" s="898">
        <f>'WK5a - Impact on Rates'!H35</f>
        <v>0</v>
      </c>
      <c r="L134" s="898">
        <f>'WK5a - Impact on Rates'!I35</f>
        <v>0</v>
      </c>
      <c r="M134" s="898">
        <f>'WK5a - Impact on Rates'!J35</f>
        <v>0</v>
      </c>
      <c r="N134" s="898">
        <f>'WK5a - Impact on Rates'!K35</f>
        <v>0</v>
      </c>
      <c r="O134" s="898">
        <f>'WK5a - Impact on Rates'!L35</f>
        <v>0</v>
      </c>
      <c r="P134" s="135"/>
      <c r="Q134" s="3"/>
      <c r="R134" s="96"/>
      <c r="S134" s="455"/>
      <c r="T134" s="455"/>
      <c r="U134" s="3"/>
      <c r="V134" s="3"/>
      <c r="W134" s="3"/>
      <c r="X134" s="3"/>
      <c r="Y134" s="3"/>
      <c r="Z134" s="3"/>
      <c r="AA134" s="3"/>
      <c r="AB134" s="3"/>
      <c r="AC134" s="3"/>
    </row>
    <row r="135" spans="1:29" outlineLevel="1" x14ac:dyDescent="0.2">
      <c r="A135" s="3"/>
      <c r="B135" s="662" t="str">
        <f>'WK5a - Impact on Rates'!C36</f>
        <v>Residential</v>
      </c>
      <c r="C135" s="692" t="str">
        <f>'WK5a - Impact on Rates'!D36</f>
        <v/>
      </c>
      <c r="D135" s="3"/>
      <c r="E135" s="135"/>
      <c r="F135" s="3"/>
      <c r="G135" s="96"/>
      <c r="H135" s="662">
        <f>'WK5a - Impact on Rates'!E36</f>
        <v>0</v>
      </c>
      <c r="I135" s="898">
        <f>'WK5a - Impact on Rates'!F36</f>
        <v>0</v>
      </c>
      <c r="J135" s="898">
        <f>'WK5a - Impact on Rates'!G36</f>
        <v>0</v>
      </c>
      <c r="K135" s="898">
        <f>'WK5a - Impact on Rates'!H36</f>
        <v>0</v>
      </c>
      <c r="L135" s="898">
        <f>'WK5a - Impact on Rates'!I36</f>
        <v>0</v>
      </c>
      <c r="M135" s="898">
        <f>'WK5a - Impact on Rates'!J36</f>
        <v>0</v>
      </c>
      <c r="N135" s="898">
        <f>'WK5a - Impact on Rates'!K36</f>
        <v>0</v>
      </c>
      <c r="O135" s="898">
        <f>'WK5a - Impact on Rates'!L36</f>
        <v>0</v>
      </c>
      <c r="P135" s="135"/>
      <c r="Q135" s="3"/>
      <c r="R135" s="96"/>
      <c r="S135" s="455"/>
      <c r="T135" s="455"/>
      <c r="U135" s="3"/>
      <c r="V135" s="3"/>
      <c r="W135" s="3"/>
      <c r="X135" s="3"/>
      <c r="Y135" s="3"/>
      <c r="Z135" s="3"/>
      <c r="AA135" s="3"/>
      <c r="AB135" s="3"/>
      <c r="AC135" s="3"/>
    </row>
    <row r="136" spans="1:29" outlineLevel="1" x14ac:dyDescent="0.2">
      <c r="A136" s="3"/>
      <c r="B136" s="662" t="str">
        <f>'WK5a - Impact on Rates'!C37</f>
        <v>Residential</v>
      </c>
      <c r="C136" s="692" t="str">
        <f>'WK5a - Impact on Rates'!D37</f>
        <v/>
      </c>
      <c r="D136" s="3"/>
      <c r="E136" s="135"/>
      <c r="F136" s="3"/>
      <c r="G136" s="96"/>
      <c r="H136" s="662">
        <f>'WK5a - Impact on Rates'!E37</f>
        <v>0</v>
      </c>
      <c r="I136" s="898">
        <f>'WK5a - Impact on Rates'!F37</f>
        <v>0</v>
      </c>
      <c r="J136" s="898">
        <f>'WK5a - Impact on Rates'!G37</f>
        <v>0</v>
      </c>
      <c r="K136" s="898">
        <f>'WK5a - Impact on Rates'!H37</f>
        <v>0</v>
      </c>
      <c r="L136" s="898">
        <f>'WK5a - Impact on Rates'!I37</f>
        <v>0</v>
      </c>
      <c r="M136" s="898">
        <f>'WK5a - Impact on Rates'!J37</f>
        <v>0</v>
      </c>
      <c r="N136" s="898">
        <f>'WK5a - Impact on Rates'!K37</f>
        <v>0</v>
      </c>
      <c r="O136" s="898">
        <f>'WK5a - Impact on Rates'!L37</f>
        <v>0</v>
      </c>
      <c r="P136" s="135"/>
      <c r="Q136" s="3"/>
      <c r="R136" s="96"/>
      <c r="S136" s="455"/>
      <c r="T136" s="455"/>
      <c r="U136" s="3"/>
      <c r="V136" s="3"/>
      <c r="W136" s="3"/>
      <c r="X136" s="3"/>
      <c r="Y136" s="3"/>
      <c r="Z136" s="3"/>
      <c r="AA136" s="3"/>
      <c r="AB136" s="3"/>
      <c r="AC136" s="3"/>
    </row>
    <row r="137" spans="1:29" outlineLevel="1" x14ac:dyDescent="0.2">
      <c r="A137" s="3"/>
      <c r="B137" s="662" t="str">
        <f>'WK5a - Impact on Rates'!C38</f>
        <v>Residential</v>
      </c>
      <c r="C137" s="692" t="str">
        <f>'WK5a - Impact on Rates'!D38</f>
        <v/>
      </c>
      <c r="D137" s="3"/>
      <c r="E137" s="135"/>
      <c r="F137" s="3"/>
      <c r="G137" s="96"/>
      <c r="H137" s="662">
        <f>'WK5a - Impact on Rates'!E38</f>
        <v>0</v>
      </c>
      <c r="I137" s="898">
        <f>'WK5a - Impact on Rates'!F38</f>
        <v>0</v>
      </c>
      <c r="J137" s="898">
        <f>'WK5a - Impact on Rates'!G38</f>
        <v>0</v>
      </c>
      <c r="K137" s="898">
        <f>'WK5a - Impact on Rates'!H38</f>
        <v>0</v>
      </c>
      <c r="L137" s="898">
        <f>'WK5a - Impact on Rates'!I38</f>
        <v>0</v>
      </c>
      <c r="M137" s="898">
        <f>'WK5a - Impact on Rates'!J38</f>
        <v>0</v>
      </c>
      <c r="N137" s="898">
        <f>'WK5a - Impact on Rates'!K38</f>
        <v>0</v>
      </c>
      <c r="O137" s="898">
        <f>'WK5a - Impact on Rates'!L38</f>
        <v>0</v>
      </c>
      <c r="P137" s="135"/>
      <c r="Q137" s="3"/>
      <c r="R137" s="96"/>
      <c r="S137" s="455"/>
      <c r="T137" s="455"/>
      <c r="U137" s="3"/>
      <c r="V137" s="3"/>
      <c r="W137" s="3"/>
      <c r="X137" s="3"/>
      <c r="Y137" s="3"/>
      <c r="Z137" s="3"/>
      <c r="AA137" s="3"/>
      <c r="AB137" s="3"/>
      <c r="AC137" s="3"/>
    </row>
    <row r="138" spans="1:29" outlineLevel="1" x14ac:dyDescent="0.2">
      <c r="A138" s="3"/>
      <c r="B138" s="662" t="str">
        <f>'WK5a - Impact on Rates'!C39</f>
        <v>Residential</v>
      </c>
      <c r="C138" s="692" t="str">
        <f>'WK5a - Impact on Rates'!D39</f>
        <v/>
      </c>
      <c r="D138" s="3"/>
      <c r="E138" s="135"/>
      <c r="F138" s="3"/>
      <c r="G138" s="96"/>
      <c r="H138" s="662">
        <f>'WK5a - Impact on Rates'!E39</f>
        <v>0</v>
      </c>
      <c r="I138" s="898">
        <f>'WK5a - Impact on Rates'!F39</f>
        <v>0</v>
      </c>
      <c r="J138" s="898">
        <f>'WK5a - Impact on Rates'!G39</f>
        <v>0</v>
      </c>
      <c r="K138" s="898">
        <f>'WK5a - Impact on Rates'!H39</f>
        <v>0</v>
      </c>
      <c r="L138" s="898">
        <f>'WK5a - Impact on Rates'!I39</f>
        <v>0</v>
      </c>
      <c r="M138" s="898">
        <f>'WK5a - Impact on Rates'!J39</f>
        <v>0</v>
      </c>
      <c r="N138" s="898">
        <f>'WK5a - Impact on Rates'!K39</f>
        <v>0</v>
      </c>
      <c r="O138" s="898">
        <f>'WK5a - Impact on Rates'!L39</f>
        <v>0</v>
      </c>
      <c r="P138" s="135"/>
      <c r="Q138" s="3"/>
      <c r="R138" s="96"/>
      <c r="S138" s="455"/>
      <c r="T138" s="455"/>
      <c r="U138" s="3"/>
      <c r="V138" s="3"/>
      <c r="W138" s="3"/>
      <c r="X138" s="3"/>
      <c r="Y138" s="3"/>
      <c r="Z138" s="3"/>
      <c r="AA138" s="3"/>
      <c r="AB138" s="3"/>
      <c r="AC138" s="3"/>
    </row>
    <row r="139" spans="1:29" outlineLevel="1" x14ac:dyDescent="0.2">
      <c r="A139" s="3"/>
      <c r="B139" s="662" t="str">
        <f>'WK5a - Impact on Rates'!C40</f>
        <v>Residential</v>
      </c>
      <c r="C139" s="692" t="str">
        <f>'WK5a - Impact on Rates'!D40</f>
        <v/>
      </c>
      <c r="D139" s="3"/>
      <c r="E139" s="135"/>
      <c r="F139" s="3"/>
      <c r="G139" s="96"/>
      <c r="H139" s="662">
        <f>'WK5a - Impact on Rates'!E40</f>
        <v>0</v>
      </c>
      <c r="I139" s="898">
        <f>'WK5a - Impact on Rates'!F40</f>
        <v>0</v>
      </c>
      <c r="J139" s="898">
        <f>'WK5a - Impact on Rates'!G40</f>
        <v>0</v>
      </c>
      <c r="K139" s="898">
        <f>'WK5a - Impact on Rates'!H40</f>
        <v>0</v>
      </c>
      <c r="L139" s="898">
        <f>'WK5a - Impact on Rates'!I40</f>
        <v>0</v>
      </c>
      <c r="M139" s="898">
        <f>'WK5a - Impact on Rates'!J40</f>
        <v>0</v>
      </c>
      <c r="N139" s="898">
        <f>'WK5a - Impact on Rates'!K40</f>
        <v>0</v>
      </c>
      <c r="O139" s="898">
        <f>'WK5a - Impact on Rates'!L40</f>
        <v>0</v>
      </c>
      <c r="P139" s="135"/>
      <c r="Q139" s="3"/>
      <c r="R139" s="96"/>
      <c r="S139" s="455"/>
      <c r="T139" s="455"/>
      <c r="U139" s="3"/>
      <c r="V139" s="3"/>
      <c r="W139" s="3"/>
      <c r="X139" s="3"/>
      <c r="Y139" s="3"/>
      <c r="Z139" s="3"/>
      <c r="AA139" s="3"/>
      <c r="AB139" s="3"/>
      <c r="AC139" s="3"/>
    </row>
    <row r="140" spans="1:29" outlineLevel="1" x14ac:dyDescent="0.2">
      <c r="A140" s="3"/>
      <c r="B140" s="662" t="str">
        <f>'WK5a - Impact on Rates'!C41</f>
        <v>Residential</v>
      </c>
      <c r="C140" s="692" t="str">
        <f>'WK5a - Impact on Rates'!D41</f>
        <v/>
      </c>
      <c r="D140" s="3"/>
      <c r="E140" s="135"/>
      <c r="F140" s="3"/>
      <c r="G140" s="96"/>
      <c r="H140" s="662">
        <f>'WK5a - Impact on Rates'!E41</f>
        <v>0</v>
      </c>
      <c r="I140" s="898">
        <f>'WK5a - Impact on Rates'!F41</f>
        <v>0</v>
      </c>
      <c r="J140" s="898">
        <f>'WK5a - Impact on Rates'!G41</f>
        <v>0</v>
      </c>
      <c r="K140" s="898">
        <f>'WK5a - Impact on Rates'!H41</f>
        <v>0</v>
      </c>
      <c r="L140" s="898">
        <f>'WK5a - Impact on Rates'!I41</f>
        <v>0</v>
      </c>
      <c r="M140" s="898">
        <f>'WK5a - Impact on Rates'!J41</f>
        <v>0</v>
      </c>
      <c r="N140" s="898">
        <f>'WK5a - Impact on Rates'!K41</f>
        <v>0</v>
      </c>
      <c r="O140" s="898">
        <f>'WK5a - Impact on Rates'!L41</f>
        <v>0</v>
      </c>
      <c r="P140" s="135"/>
      <c r="Q140" s="3"/>
      <c r="R140" s="96"/>
      <c r="S140" s="455"/>
      <c r="T140" s="455"/>
      <c r="U140" s="3"/>
      <c r="V140" s="3"/>
      <c r="W140" s="3"/>
      <c r="X140" s="3"/>
      <c r="Y140" s="3"/>
      <c r="Z140" s="3"/>
      <c r="AA140" s="3"/>
      <c r="AB140" s="3"/>
      <c r="AC140" s="3"/>
    </row>
    <row r="141" spans="1:29" outlineLevel="1" x14ac:dyDescent="0.2">
      <c r="A141" s="3"/>
      <c r="B141" s="662" t="str">
        <f>'WK5a - Impact on Rates'!C42</f>
        <v>Residential</v>
      </c>
      <c r="C141" s="692" t="str">
        <f>'WK5a - Impact on Rates'!D42</f>
        <v/>
      </c>
      <c r="D141" s="3"/>
      <c r="E141" s="135"/>
      <c r="F141" s="3"/>
      <c r="G141" s="96"/>
      <c r="H141" s="662">
        <f>'WK5a - Impact on Rates'!E42</f>
        <v>0</v>
      </c>
      <c r="I141" s="898">
        <f>'WK5a - Impact on Rates'!F42</f>
        <v>0</v>
      </c>
      <c r="J141" s="898">
        <f>'WK5a - Impact on Rates'!G42</f>
        <v>0</v>
      </c>
      <c r="K141" s="898">
        <f>'WK5a - Impact on Rates'!H42</f>
        <v>0</v>
      </c>
      <c r="L141" s="898">
        <f>'WK5a - Impact on Rates'!I42</f>
        <v>0</v>
      </c>
      <c r="M141" s="898">
        <f>'WK5a - Impact on Rates'!J42</f>
        <v>0</v>
      </c>
      <c r="N141" s="898">
        <f>'WK5a - Impact on Rates'!K42</f>
        <v>0</v>
      </c>
      <c r="O141" s="898">
        <f>'WK5a - Impact on Rates'!L42</f>
        <v>0</v>
      </c>
      <c r="P141" s="135"/>
      <c r="Q141" s="3"/>
      <c r="R141" s="96"/>
      <c r="S141" s="455"/>
      <c r="T141" s="455"/>
      <c r="U141" s="3"/>
      <c r="V141" s="3"/>
      <c r="W141" s="3"/>
      <c r="X141" s="3"/>
      <c r="Y141" s="3"/>
      <c r="Z141" s="3"/>
      <c r="AA141" s="3"/>
      <c r="AB141" s="3"/>
      <c r="AC141" s="3"/>
    </row>
    <row r="142" spans="1:29" ht="12" outlineLevel="1" thickBot="1" x14ac:dyDescent="0.25">
      <c r="A142" s="3"/>
      <c r="B142" s="942" t="str">
        <f>'WK5a - Impact on Rates'!C43</f>
        <v>Residential</v>
      </c>
      <c r="C142" s="943" t="str">
        <f>'WK5a - Impact on Rates'!D43</f>
        <v/>
      </c>
      <c r="D142" s="944"/>
      <c r="E142" s="135"/>
      <c r="F142" s="3"/>
      <c r="G142" s="96"/>
      <c r="H142" s="942">
        <f>'WK5a - Impact on Rates'!E43</f>
        <v>0</v>
      </c>
      <c r="I142" s="945">
        <f>'WK5a - Impact on Rates'!F43</f>
        <v>0</v>
      </c>
      <c r="J142" s="945">
        <f>'WK5a - Impact on Rates'!G43</f>
        <v>0</v>
      </c>
      <c r="K142" s="945">
        <f>'WK5a - Impact on Rates'!H43</f>
        <v>0</v>
      </c>
      <c r="L142" s="945">
        <f>'WK5a - Impact on Rates'!I43</f>
        <v>0</v>
      </c>
      <c r="M142" s="945">
        <f>'WK5a - Impact on Rates'!J43</f>
        <v>0</v>
      </c>
      <c r="N142" s="945">
        <f>'WK5a - Impact on Rates'!K43</f>
        <v>0</v>
      </c>
      <c r="O142" s="946">
        <f>'WK5a - Impact on Rates'!L43</f>
        <v>0</v>
      </c>
      <c r="P142" s="135"/>
      <c r="Q142" s="3"/>
      <c r="R142" s="96"/>
      <c r="S142" s="455"/>
      <c r="T142" s="455"/>
      <c r="U142" s="3"/>
      <c r="V142" s="3"/>
      <c r="W142" s="3"/>
      <c r="X142" s="3"/>
      <c r="Y142" s="3"/>
      <c r="Z142" s="3"/>
      <c r="AA142" s="3"/>
      <c r="AB142" s="3"/>
      <c r="AC142" s="3"/>
    </row>
    <row r="143" spans="1:29" ht="12" outlineLevel="1" thickTop="1" x14ac:dyDescent="0.2">
      <c r="A143" s="3"/>
      <c r="B143" s="662" t="str">
        <f>'WK5a - Impact on Rates'!C45</f>
        <v>Business</v>
      </c>
      <c r="C143" s="692" t="str">
        <f>'WK5a - Impact on Rates'!D45</f>
        <v>Business</v>
      </c>
      <c r="D143" s="3"/>
      <c r="E143" s="135"/>
      <c r="F143" s="3"/>
      <c r="G143" s="96"/>
      <c r="H143" s="662">
        <f>'WK5a - Impact on Rates'!E45</f>
        <v>625</v>
      </c>
      <c r="I143" s="898">
        <f>'WK5a - Impact on Rates'!F45</f>
        <v>678</v>
      </c>
      <c r="J143" s="898">
        <f>'WK5a - Impact on Rates'!G45</f>
        <v>729</v>
      </c>
      <c r="K143" s="898">
        <f>'WK5a - Impact on Rates'!H45</f>
        <v>776</v>
      </c>
      <c r="L143" s="898">
        <f>'WK5a - Impact on Rates'!I45</f>
        <v>819</v>
      </c>
      <c r="M143" s="898">
        <f>'WK5a - Impact on Rates'!J45</f>
        <v>840</v>
      </c>
      <c r="N143" s="898">
        <f>'WK5a - Impact on Rates'!K45</f>
        <v>861</v>
      </c>
      <c r="O143" s="898">
        <f>'WK5a - Impact on Rates'!L45</f>
        <v>882</v>
      </c>
      <c r="P143" s="135"/>
      <c r="Q143" s="3"/>
      <c r="R143" s="96"/>
      <c r="S143" s="455"/>
      <c r="T143" s="455"/>
      <c r="U143" s="3"/>
      <c r="V143" s="3"/>
      <c r="W143" s="3"/>
      <c r="X143" s="3"/>
      <c r="Y143" s="3"/>
      <c r="Z143" s="3"/>
      <c r="AA143" s="3"/>
      <c r="AB143" s="3"/>
      <c r="AC143" s="3"/>
    </row>
    <row r="144" spans="1:29" outlineLevel="1" x14ac:dyDescent="0.2">
      <c r="A144" s="3"/>
      <c r="B144" s="662" t="str">
        <f>'WK5a - Impact on Rates'!C46</f>
        <v>Business</v>
      </c>
      <c r="C144" s="692" t="str">
        <f>'WK5a - Impact on Rates'!D46</f>
        <v>Hornsby CBD</v>
      </c>
      <c r="D144" s="3"/>
      <c r="E144" s="135"/>
      <c r="F144" s="3"/>
      <c r="G144" s="96"/>
      <c r="H144" s="662">
        <f>'WK5a - Impact on Rates'!E46</f>
        <v>625</v>
      </c>
      <c r="I144" s="898">
        <f>'WK5a - Impact on Rates'!F46</f>
        <v>678</v>
      </c>
      <c r="J144" s="898">
        <f>'WK5a - Impact on Rates'!G46</f>
        <v>729</v>
      </c>
      <c r="K144" s="898">
        <f>'WK5a - Impact on Rates'!H46</f>
        <v>776</v>
      </c>
      <c r="L144" s="898">
        <f>'WK5a - Impact on Rates'!I46</f>
        <v>819</v>
      </c>
      <c r="M144" s="898">
        <f>'WK5a - Impact on Rates'!J46</f>
        <v>840</v>
      </c>
      <c r="N144" s="898">
        <f>'WK5a - Impact on Rates'!K46</f>
        <v>861</v>
      </c>
      <c r="O144" s="898">
        <f>'WK5a - Impact on Rates'!L46</f>
        <v>882</v>
      </c>
      <c r="P144" s="135"/>
      <c r="Q144" s="3"/>
      <c r="R144" s="96"/>
      <c r="S144" s="455"/>
      <c r="T144" s="455"/>
      <c r="U144" s="3"/>
      <c r="V144" s="3"/>
      <c r="W144" s="3"/>
      <c r="X144" s="3"/>
      <c r="Y144" s="3"/>
      <c r="Z144" s="3"/>
      <c r="AA144" s="3"/>
      <c r="AB144" s="3"/>
      <c r="AC144" s="3"/>
    </row>
    <row r="145" spans="1:29" outlineLevel="1" x14ac:dyDescent="0.2">
      <c r="A145" s="3"/>
      <c r="B145" s="662" t="str">
        <f>'WK5a - Impact on Rates'!C47</f>
        <v>Business</v>
      </c>
      <c r="C145" s="692" t="str">
        <f>'WK5a - Impact on Rates'!D47</f>
        <v>Shopping Centre</v>
      </c>
      <c r="D145" s="3"/>
      <c r="E145" s="135"/>
      <c r="F145" s="3"/>
      <c r="G145" s="96"/>
      <c r="H145" s="662">
        <f>'WK5a - Impact on Rates'!E47</f>
        <v>0</v>
      </c>
      <c r="I145" s="898">
        <f>'WK5a - Impact on Rates'!F47</f>
        <v>0</v>
      </c>
      <c r="J145" s="898">
        <f>'WK5a - Impact on Rates'!G47</f>
        <v>0</v>
      </c>
      <c r="K145" s="898">
        <f>'WK5a - Impact on Rates'!H47</f>
        <v>0</v>
      </c>
      <c r="L145" s="898">
        <f>'WK5a - Impact on Rates'!I47</f>
        <v>0</v>
      </c>
      <c r="M145" s="898">
        <f>'WK5a - Impact on Rates'!J47</f>
        <v>0</v>
      </c>
      <c r="N145" s="898">
        <f>'WK5a - Impact on Rates'!K47</f>
        <v>0</v>
      </c>
      <c r="O145" s="898">
        <f>'WK5a - Impact on Rates'!L47</f>
        <v>0</v>
      </c>
      <c r="P145" s="135"/>
      <c r="Q145" s="3"/>
      <c r="R145" s="96"/>
      <c r="S145" s="455"/>
      <c r="T145" s="455"/>
      <c r="U145" s="3"/>
      <c r="V145" s="3"/>
      <c r="W145" s="3"/>
      <c r="X145" s="3"/>
      <c r="Y145" s="3"/>
      <c r="Z145" s="3"/>
      <c r="AA145" s="3"/>
      <c r="AB145" s="3"/>
      <c r="AC145" s="3"/>
    </row>
    <row r="146" spans="1:29" outlineLevel="1" x14ac:dyDescent="0.2">
      <c r="A146" s="3"/>
      <c r="B146" s="662" t="str">
        <f>'WK5a - Impact on Rates'!C48</f>
        <v>Business</v>
      </c>
      <c r="C146" s="692" t="str">
        <f>'WK5a - Impact on Rates'!D48</f>
        <v/>
      </c>
      <c r="D146" s="3"/>
      <c r="E146" s="135"/>
      <c r="F146" s="3"/>
      <c r="G146" s="96"/>
      <c r="H146" s="662">
        <f>'WK5a - Impact on Rates'!E48</f>
        <v>0</v>
      </c>
      <c r="I146" s="898">
        <f>'WK5a - Impact on Rates'!F48</f>
        <v>0</v>
      </c>
      <c r="J146" s="898">
        <f>'WK5a - Impact on Rates'!G48</f>
        <v>0</v>
      </c>
      <c r="K146" s="898">
        <f>'WK5a - Impact on Rates'!H48</f>
        <v>0</v>
      </c>
      <c r="L146" s="898">
        <f>'WK5a - Impact on Rates'!I48</f>
        <v>0</v>
      </c>
      <c r="M146" s="898">
        <f>'WK5a - Impact on Rates'!J48</f>
        <v>0</v>
      </c>
      <c r="N146" s="898">
        <f>'WK5a - Impact on Rates'!K48</f>
        <v>0</v>
      </c>
      <c r="O146" s="898">
        <f>'WK5a - Impact on Rates'!L48</f>
        <v>0</v>
      </c>
      <c r="P146" s="135"/>
      <c r="Q146" s="3"/>
      <c r="R146" s="96"/>
      <c r="S146" s="455"/>
      <c r="T146" s="455"/>
      <c r="U146" s="3"/>
      <c r="V146" s="3"/>
      <c r="W146" s="3"/>
      <c r="X146" s="3"/>
      <c r="Y146" s="3"/>
      <c r="Z146" s="3"/>
      <c r="AA146" s="3"/>
      <c r="AB146" s="3"/>
      <c r="AC146" s="3"/>
    </row>
    <row r="147" spans="1:29" outlineLevel="1" x14ac:dyDescent="0.2">
      <c r="A147" s="3"/>
      <c r="B147" s="662" t="str">
        <f>'WK5a - Impact on Rates'!C49</f>
        <v>Business</v>
      </c>
      <c r="C147" s="692" t="str">
        <f>'WK5a - Impact on Rates'!D49</f>
        <v/>
      </c>
      <c r="D147" s="3"/>
      <c r="E147" s="135"/>
      <c r="F147" s="3"/>
      <c r="G147" s="96"/>
      <c r="H147" s="662">
        <f>'WK5a - Impact on Rates'!E49</f>
        <v>0</v>
      </c>
      <c r="I147" s="898">
        <f>'WK5a - Impact on Rates'!F49</f>
        <v>0</v>
      </c>
      <c r="J147" s="898">
        <f>'WK5a - Impact on Rates'!G49</f>
        <v>0</v>
      </c>
      <c r="K147" s="898">
        <f>'WK5a - Impact on Rates'!H49</f>
        <v>0</v>
      </c>
      <c r="L147" s="898">
        <f>'WK5a - Impact on Rates'!I49</f>
        <v>0</v>
      </c>
      <c r="M147" s="898">
        <f>'WK5a - Impact on Rates'!J49</f>
        <v>0</v>
      </c>
      <c r="N147" s="898">
        <f>'WK5a - Impact on Rates'!K49</f>
        <v>0</v>
      </c>
      <c r="O147" s="898">
        <f>'WK5a - Impact on Rates'!L49</f>
        <v>0</v>
      </c>
      <c r="P147" s="135"/>
      <c r="Q147" s="3"/>
      <c r="R147" s="96"/>
      <c r="S147" s="455"/>
      <c r="T147" s="455"/>
      <c r="U147" s="3"/>
      <c r="V147" s="3"/>
      <c r="W147" s="3"/>
      <c r="X147" s="3"/>
      <c r="Y147" s="3"/>
      <c r="Z147" s="3"/>
      <c r="AA147" s="3"/>
      <c r="AB147" s="3"/>
      <c r="AC147" s="3"/>
    </row>
    <row r="148" spans="1:29" outlineLevel="1" x14ac:dyDescent="0.2">
      <c r="A148" s="3"/>
      <c r="B148" s="662" t="str">
        <f>'WK5a - Impact on Rates'!C50</f>
        <v>Business</v>
      </c>
      <c r="C148" s="692" t="str">
        <f>'WK5a - Impact on Rates'!D50</f>
        <v/>
      </c>
      <c r="D148" s="3"/>
      <c r="E148" s="135"/>
      <c r="F148" s="3"/>
      <c r="G148" s="96"/>
      <c r="H148" s="662">
        <f>'WK5a - Impact on Rates'!E50</f>
        <v>0</v>
      </c>
      <c r="I148" s="898">
        <f>'WK5a - Impact on Rates'!F50</f>
        <v>0</v>
      </c>
      <c r="J148" s="898">
        <f>'WK5a - Impact on Rates'!G50</f>
        <v>0</v>
      </c>
      <c r="K148" s="898">
        <f>'WK5a - Impact on Rates'!H50</f>
        <v>0</v>
      </c>
      <c r="L148" s="898">
        <f>'WK5a - Impact on Rates'!I50</f>
        <v>0</v>
      </c>
      <c r="M148" s="898">
        <f>'WK5a - Impact on Rates'!J50</f>
        <v>0</v>
      </c>
      <c r="N148" s="898">
        <f>'WK5a - Impact on Rates'!K50</f>
        <v>0</v>
      </c>
      <c r="O148" s="898">
        <f>'WK5a - Impact on Rates'!L50</f>
        <v>0</v>
      </c>
      <c r="P148" s="135"/>
      <c r="Q148" s="3"/>
      <c r="R148" s="96"/>
      <c r="S148" s="455"/>
      <c r="T148" s="455"/>
      <c r="U148" s="3"/>
      <c r="V148" s="3"/>
      <c r="W148" s="3"/>
      <c r="X148" s="3"/>
      <c r="Y148" s="3"/>
      <c r="Z148" s="3"/>
      <c r="AA148" s="3"/>
      <c r="AB148" s="3"/>
      <c r="AC148" s="3"/>
    </row>
    <row r="149" spans="1:29" outlineLevel="1" x14ac:dyDescent="0.2">
      <c r="A149" s="3"/>
      <c r="B149" s="662" t="str">
        <f>'WK5a - Impact on Rates'!C51</f>
        <v>Business</v>
      </c>
      <c r="C149" s="692" t="str">
        <f>'WK5a - Impact on Rates'!D51</f>
        <v/>
      </c>
      <c r="D149" s="3"/>
      <c r="E149" s="135"/>
      <c r="F149" s="3"/>
      <c r="G149" s="96"/>
      <c r="H149" s="662">
        <f>'WK5a - Impact on Rates'!E51</f>
        <v>0</v>
      </c>
      <c r="I149" s="898">
        <f>'WK5a - Impact on Rates'!F51</f>
        <v>0</v>
      </c>
      <c r="J149" s="898">
        <f>'WK5a - Impact on Rates'!G51</f>
        <v>0</v>
      </c>
      <c r="K149" s="898">
        <f>'WK5a - Impact on Rates'!H51</f>
        <v>0</v>
      </c>
      <c r="L149" s="898">
        <f>'WK5a - Impact on Rates'!I51</f>
        <v>0</v>
      </c>
      <c r="M149" s="898">
        <f>'WK5a - Impact on Rates'!J51</f>
        <v>0</v>
      </c>
      <c r="N149" s="898">
        <f>'WK5a - Impact on Rates'!K51</f>
        <v>0</v>
      </c>
      <c r="O149" s="898">
        <f>'WK5a - Impact on Rates'!L51</f>
        <v>0</v>
      </c>
      <c r="P149" s="135"/>
      <c r="Q149" s="3"/>
      <c r="R149" s="96"/>
      <c r="S149" s="455"/>
      <c r="T149" s="455"/>
      <c r="U149" s="3"/>
      <c r="V149" s="3"/>
      <c r="W149" s="3"/>
      <c r="X149" s="3"/>
      <c r="Y149" s="3"/>
      <c r="Z149" s="3"/>
      <c r="AA149" s="3"/>
      <c r="AB149" s="3"/>
      <c r="AC149" s="3"/>
    </row>
    <row r="150" spans="1:29" outlineLevel="1" x14ac:dyDescent="0.2">
      <c r="A150" s="3"/>
      <c r="B150" s="662" t="str">
        <f>'WK5a - Impact on Rates'!C52</f>
        <v>Business</v>
      </c>
      <c r="C150" s="692" t="str">
        <f>'WK5a - Impact on Rates'!D52</f>
        <v/>
      </c>
      <c r="D150" s="3"/>
      <c r="E150" s="135"/>
      <c r="F150" s="3"/>
      <c r="G150" s="96"/>
      <c r="H150" s="662">
        <f>'WK5a - Impact on Rates'!E52</f>
        <v>0</v>
      </c>
      <c r="I150" s="898">
        <f>'WK5a - Impact on Rates'!F52</f>
        <v>0</v>
      </c>
      <c r="J150" s="898">
        <f>'WK5a - Impact on Rates'!G52</f>
        <v>0</v>
      </c>
      <c r="K150" s="898">
        <f>'WK5a - Impact on Rates'!H52</f>
        <v>0</v>
      </c>
      <c r="L150" s="898">
        <f>'WK5a - Impact on Rates'!I52</f>
        <v>0</v>
      </c>
      <c r="M150" s="898">
        <f>'WK5a - Impact on Rates'!J52</f>
        <v>0</v>
      </c>
      <c r="N150" s="898">
        <f>'WK5a - Impact on Rates'!K52</f>
        <v>0</v>
      </c>
      <c r="O150" s="898">
        <f>'WK5a - Impact on Rates'!L52</f>
        <v>0</v>
      </c>
      <c r="P150" s="135"/>
      <c r="Q150" s="3"/>
      <c r="R150" s="96"/>
      <c r="S150" s="455"/>
      <c r="T150" s="455"/>
      <c r="U150" s="3"/>
      <c r="V150" s="3"/>
      <c r="W150" s="3"/>
      <c r="X150" s="3"/>
      <c r="Y150" s="3"/>
      <c r="Z150" s="3"/>
      <c r="AA150" s="3"/>
      <c r="AB150" s="3"/>
      <c r="AC150" s="3"/>
    </row>
    <row r="151" spans="1:29" outlineLevel="1" x14ac:dyDescent="0.2">
      <c r="A151" s="3"/>
      <c r="B151" s="662" t="str">
        <f>'WK5a - Impact on Rates'!C53</f>
        <v>Business</v>
      </c>
      <c r="C151" s="692" t="str">
        <f>'WK5a - Impact on Rates'!D53</f>
        <v/>
      </c>
      <c r="D151" s="3"/>
      <c r="E151" s="135"/>
      <c r="F151" s="3"/>
      <c r="G151" s="96"/>
      <c r="H151" s="662">
        <f>'WK5a - Impact on Rates'!E53</f>
        <v>0</v>
      </c>
      <c r="I151" s="898">
        <f>'WK5a - Impact on Rates'!F53</f>
        <v>0</v>
      </c>
      <c r="J151" s="898">
        <f>'WK5a - Impact on Rates'!G53</f>
        <v>0</v>
      </c>
      <c r="K151" s="898">
        <f>'WK5a - Impact on Rates'!H53</f>
        <v>0</v>
      </c>
      <c r="L151" s="898">
        <f>'WK5a - Impact on Rates'!I53</f>
        <v>0</v>
      </c>
      <c r="M151" s="898">
        <f>'WK5a - Impact on Rates'!J53</f>
        <v>0</v>
      </c>
      <c r="N151" s="898">
        <f>'WK5a - Impact on Rates'!K53</f>
        <v>0</v>
      </c>
      <c r="O151" s="898">
        <f>'WK5a - Impact on Rates'!L53</f>
        <v>0</v>
      </c>
      <c r="P151" s="135"/>
      <c r="Q151" s="3"/>
      <c r="R151" s="96"/>
      <c r="S151" s="455"/>
      <c r="T151" s="455"/>
      <c r="U151" s="3"/>
      <c r="V151" s="3"/>
      <c r="W151" s="3"/>
      <c r="X151" s="3"/>
      <c r="Y151" s="3"/>
      <c r="Z151" s="3"/>
      <c r="AA151" s="3"/>
      <c r="AB151" s="3"/>
      <c r="AC151" s="3"/>
    </row>
    <row r="152" spans="1:29" outlineLevel="1" x14ac:dyDescent="0.2">
      <c r="A152" s="3"/>
      <c r="B152" s="662" t="str">
        <f>'WK5a - Impact on Rates'!C54</f>
        <v>Business</v>
      </c>
      <c r="C152" s="692" t="str">
        <f>'WK5a - Impact on Rates'!D54</f>
        <v/>
      </c>
      <c r="D152" s="3"/>
      <c r="E152" s="135"/>
      <c r="F152" s="3"/>
      <c r="G152" s="96"/>
      <c r="H152" s="662">
        <f>'WK5a - Impact on Rates'!E54</f>
        <v>0</v>
      </c>
      <c r="I152" s="898">
        <f>'WK5a - Impact on Rates'!F54</f>
        <v>0</v>
      </c>
      <c r="J152" s="898">
        <f>'WK5a - Impact on Rates'!G54</f>
        <v>0</v>
      </c>
      <c r="K152" s="898">
        <f>'WK5a - Impact on Rates'!H54</f>
        <v>0</v>
      </c>
      <c r="L152" s="898">
        <f>'WK5a - Impact on Rates'!I54</f>
        <v>0</v>
      </c>
      <c r="M152" s="898">
        <f>'WK5a - Impact on Rates'!J54</f>
        <v>0</v>
      </c>
      <c r="N152" s="898">
        <f>'WK5a - Impact on Rates'!K54</f>
        <v>0</v>
      </c>
      <c r="O152" s="898">
        <f>'WK5a - Impact on Rates'!L54</f>
        <v>0</v>
      </c>
      <c r="P152" s="135"/>
      <c r="Q152" s="3"/>
      <c r="R152" s="96"/>
      <c r="S152" s="455"/>
      <c r="T152" s="455"/>
      <c r="U152" s="3"/>
      <c r="V152" s="3"/>
      <c r="W152" s="3"/>
      <c r="X152" s="3"/>
      <c r="Y152" s="3"/>
      <c r="Z152" s="3"/>
      <c r="AA152" s="3"/>
      <c r="AB152" s="3"/>
      <c r="AC152" s="3"/>
    </row>
    <row r="153" spans="1:29" outlineLevel="1" x14ac:dyDescent="0.2">
      <c r="A153" s="3"/>
      <c r="B153" s="662" t="str">
        <f>'WK5a - Impact on Rates'!C55</f>
        <v>Business</v>
      </c>
      <c r="C153" s="692" t="str">
        <f>'WK5a - Impact on Rates'!D55</f>
        <v/>
      </c>
      <c r="D153" s="3"/>
      <c r="E153" s="135"/>
      <c r="F153" s="3"/>
      <c r="G153" s="96"/>
      <c r="H153" s="662">
        <f>'WK5a - Impact on Rates'!E55</f>
        <v>0</v>
      </c>
      <c r="I153" s="898">
        <f>'WK5a - Impact on Rates'!F55</f>
        <v>0</v>
      </c>
      <c r="J153" s="898">
        <f>'WK5a - Impact on Rates'!G55</f>
        <v>0</v>
      </c>
      <c r="K153" s="898">
        <f>'WK5a - Impact on Rates'!H55</f>
        <v>0</v>
      </c>
      <c r="L153" s="898">
        <f>'WK5a - Impact on Rates'!I55</f>
        <v>0</v>
      </c>
      <c r="M153" s="898">
        <f>'WK5a - Impact on Rates'!J55</f>
        <v>0</v>
      </c>
      <c r="N153" s="898">
        <f>'WK5a - Impact on Rates'!K55</f>
        <v>0</v>
      </c>
      <c r="O153" s="898">
        <f>'WK5a - Impact on Rates'!L55</f>
        <v>0</v>
      </c>
      <c r="P153" s="135"/>
      <c r="Q153" s="3"/>
      <c r="R153" s="96"/>
      <c r="S153" s="455"/>
      <c r="T153" s="455"/>
      <c r="U153" s="3"/>
      <c r="V153" s="3"/>
      <c r="W153" s="3"/>
      <c r="X153" s="3"/>
      <c r="Y153" s="3"/>
      <c r="Z153" s="3"/>
      <c r="AA153" s="3"/>
      <c r="AB153" s="3"/>
      <c r="AC153" s="3"/>
    </row>
    <row r="154" spans="1:29" outlineLevel="1" x14ac:dyDescent="0.2">
      <c r="A154" s="3"/>
      <c r="B154" s="662" t="str">
        <f>'WK5a - Impact on Rates'!C56</f>
        <v>Business</v>
      </c>
      <c r="C154" s="692" t="str">
        <f>'WK5a - Impact on Rates'!D56</f>
        <v/>
      </c>
      <c r="D154" s="3"/>
      <c r="E154" s="135"/>
      <c r="F154" s="3"/>
      <c r="G154" s="96"/>
      <c r="H154" s="662">
        <f>'WK5a - Impact on Rates'!E56</f>
        <v>0</v>
      </c>
      <c r="I154" s="898">
        <f>'WK5a - Impact on Rates'!F56</f>
        <v>0</v>
      </c>
      <c r="J154" s="898">
        <f>'WK5a - Impact on Rates'!G56</f>
        <v>0</v>
      </c>
      <c r="K154" s="898">
        <f>'WK5a - Impact on Rates'!H56</f>
        <v>0</v>
      </c>
      <c r="L154" s="898">
        <f>'WK5a - Impact on Rates'!I56</f>
        <v>0</v>
      </c>
      <c r="M154" s="898">
        <f>'WK5a - Impact on Rates'!J56</f>
        <v>0</v>
      </c>
      <c r="N154" s="898">
        <f>'WK5a - Impact on Rates'!K56</f>
        <v>0</v>
      </c>
      <c r="O154" s="898">
        <f>'WK5a - Impact on Rates'!L56</f>
        <v>0</v>
      </c>
      <c r="P154" s="135"/>
      <c r="Q154" s="3"/>
      <c r="R154" s="96"/>
      <c r="S154" s="455"/>
      <c r="T154" s="455"/>
      <c r="U154" s="3"/>
      <c r="V154" s="3"/>
      <c r="W154" s="3"/>
      <c r="X154" s="3"/>
      <c r="Y154" s="3"/>
      <c r="Z154" s="3"/>
      <c r="AA154" s="3"/>
      <c r="AB154" s="3"/>
      <c r="AC154" s="3"/>
    </row>
    <row r="155" spans="1:29" outlineLevel="1" x14ac:dyDescent="0.2">
      <c r="A155" s="3"/>
      <c r="B155" s="662" t="str">
        <f>'WK5a - Impact on Rates'!C57</f>
        <v>Business</v>
      </c>
      <c r="C155" s="692" t="str">
        <f>'WK5a - Impact on Rates'!D57</f>
        <v/>
      </c>
      <c r="D155" s="3"/>
      <c r="E155" s="135"/>
      <c r="F155" s="3"/>
      <c r="G155" s="96"/>
      <c r="H155" s="662">
        <f>'WK5a - Impact on Rates'!E57</f>
        <v>0</v>
      </c>
      <c r="I155" s="898">
        <f>'WK5a - Impact on Rates'!F57</f>
        <v>0</v>
      </c>
      <c r="J155" s="898">
        <f>'WK5a - Impact on Rates'!G57</f>
        <v>0</v>
      </c>
      <c r="K155" s="898">
        <f>'WK5a - Impact on Rates'!H57</f>
        <v>0</v>
      </c>
      <c r="L155" s="898">
        <f>'WK5a - Impact on Rates'!I57</f>
        <v>0</v>
      </c>
      <c r="M155" s="898">
        <f>'WK5a - Impact on Rates'!J57</f>
        <v>0</v>
      </c>
      <c r="N155" s="898">
        <f>'WK5a - Impact on Rates'!K57</f>
        <v>0</v>
      </c>
      <c r="O155" s="898">
        <f>'WK5a - Impact on Rates'!L57</f>
        <v>0</v>
      </c>
      <c r="P155" s="135"/>
      <c r="Q155" s="3"/>
      <c r="R155" s="96"/>
      <c r="S155" s="455"/>
      <c r="T155" s="455"/>
      <c r="U155" s="3"/>
      <c r="V155" s="3"/>
      <c r="W155" s="3"/>
      <c r="X155" s="3"/>
      <c r="Y155" s="3"/>
      <c r="Z155" s="3"/>
      <c r="AA155" s="3"/>
      <c r="AB155" s="3"/>
      <c r="AC155" s="3"/>
    </row>
    <row r="156" spans="1:29" outlineLevel="1" x14ac:dyDescent="0.2">
      <c r="A156" s="3"/>
      <c r="B156" s="662" t="str">
        <f>'WK5a - Impact on Rates'!C58</f>
        <v>Business</v>
      </c>
      <c r="C156" s="692" t="str">
        <f>'WK5a - Impact on Rates'!D58</f>
        <v/>
      </c>
      <c r="D156" s="3"/>
      <c r="E156" s="135"/>
      <c r="F156" s="3"/>
      <c r="G156" s="96"/>
      <c r="H156" s="662">
        <f>'WK5a - Impact on Rates'!E58</f>
        <v>0</v>
      </c>
      <c r="I156" s="898">
        <f>'WK5a - Impact on Rates'!F58</f>
        <v>0</v>
      </c>
      <c r="J156" s="898">
        <f>'WK5a - Impact on Rates'!G58</f>
        <v>0</v>
      </c>
      <c r="K156" s="898">
        <f>'WK5a - Impact on Rates'!H58</f>
        <v>0</v>
      </c>
      <c r="L156" s="898">
        <f>'WK5a - Impact on Rates'!I58</f>
        <v>0</v>
      </c>
      <c r="M156" s="898">
        <f>'WK5a - Impact on Rates'!J58</f>
        <v>0</v>
      </c>
      <c r="N156" s="898">
        <f>'WK5a - Impact on Rates'!K58</f>
        <v>0</v>
      </c>
      <c r="O156" s="898">
        <f>'WK5a - Impact on Rates'!L58</f>
        <v>0</v>
      </c>
      <c r="P156" s="135"/>
      <c r="Q156" s="3"/>
      <c r="R156" s="96"/>
      <c r="S156" s="455"/>
      <c r="T156" s="455"/>
      <c r="U156" s="3"/>
      <c r="V156" s="3"/>
      <c r="W156" s="3"/>
      <c r="X156" s="3"/>
      <c r="Y156" s="3"/>
      <c r="Z156" s="3"/>
      <c r="AA156" s="3"/>
      <c r="AB156" s="3"/>
      <c r="AC156" s="3"/>
    </row>
    <row r="157" spans="1:29" outlineLevel="1" x14ac:dyDescent="0.2">
      <c r="A157" s="3"/>
      <c r="B157" s="662" t="str">
        <f>'WK5a - Impact on Rates'!C59</f>
        <v>Business</v>
      </c>
      <c r="C157" s="692" t="str">
        <f>'WK5a - Impact on Rates'!D59</f>
        <v/>
      </c>
      <c r="D157" s="3"/>
      <c r="E157" s="135"/>
      <c r="F157" s="3"/>
      <c r="G157" s="96"/>
      <c r="H157" s="662">
        <f>'WK5a - Impact on Rates'!E59</f>
        <v>0</v>
      </c>
      <c r="I157" s="898">
        <f>'WK5a - Impact on Rates'!F59</f>
        <v>0</v>
      </c>
      <c r="J157" s="898">
        <f>'WK5a - Impact on Rates'!G59</f>
        <v>0</v>
      </c>
      <c r="K157" s="898">
        <f>'WK5a - Impact on Rates'!H59</f>
        <v>0</v>
      </c>
      <c r="L157" s="898">
        <f>'WK5a - Impact on Rates'!I59</f>
        <v>0</v>
      </c>
      <c r="M157" s="898">
        <f>'WK5a - Impact on Rates'!J59</f>
        <v>0</v>
      </c>
      <c r="N157" s="898">
        <f>'WK5a - Impact on Rates'!K59</f>
        <v>0</v>
      </c>
      <c r="O157" s="898">
        <f>'WK5a - Impact on Rates'!L59</f>
        <v>0</v>
      </c>
      <c r="P157" s="135"/>
      <c r="Q157" s="3"/>
      <c r="R157" s="96"/>
      <c r="S157" s="455"/>
      <c r="T157" s="455"/>
      <c r="U157" s="3"/>
      <c r="V157" s="3"/>
      <c r="W157" s="3"/>
      <c r="X157" s="3"/>
      <c r="Y157" s="3"/>
      <c r="Z157" s="3"/>
      <c r="AA157" s="3"/>
      <c r="AB157" s="3"/>
      <c r="AC157" s="3"/>
    </row>
    <row r="158" spans="1:29" outlineLevel="1" x14ac:dyDescent="0.2">
      <c r="A158" s="3"/>
      <c r="B158" s="662" t="str">
        <f>'WK5a - Impact on Rates'!C60</f>
        <v>Business</v>
      </c>
      <c r="C158" s="692" t="str">
        <f>'WK5a - Impact on Rates'!D60</f>
        <v/>
      </c>
      <c r="D158" s="3"/>
      <c r="E158" s="135"/>
      <c r="F158" s="3"/>
      <c r="G158" s="96"/>
      <c r="H158" s="662">
        <f>'WK5a - Impact on Rates'!E60</f>
        <v>0</v>
      </c>
      <c r="I158" s="898">
        <f>'WK5a - Impact on Rates'!F60</f>
        <v>0</v>
      </c>
      <c r="J158" s="898">
        <f>'WK5a - Impact on Rates'!G60</f>
        <v>0</v>
      </c>
      <c r="K158" s="898">
        <f>'WK5a - Impact on Rates'!H60</f>
        <v>0</v>
      </c>
      <c r="L158" s="898">
        <f>'WK5a - Impact on Rates'!I60</f>
        <v>0</v>
      </c>
      <c r="M158" s="898">
        <f>'WK5a - Impact on Rates'!J60</f>
        <v>0</v>
      </c>
      <c r="N158" s="898">
        <f>'WK5a - Impact on Rates'!K60</f>
        <v>0</v>
      </c>
      <c r="O158" s="898">
        <f>'WK5a - Impact on Rates'!L60</f>
        <v>0</v>
      </c>
      <c r="P158" s="135"/>
      <c r="Q158" s="3"/>
      <c r="R158" s="96"/>
      <c r="S158" s="455"/>
      <c r="T158" s="455"/>
      <c r="U158" s="3"/>
      <c r="V158" s="3"/>
      <c r="W158" s="3"/>
      <c r="X158" s="3"/>
      <c r="Y158" s="3"/>
      <c r="Z158" s="3"/>
      <c r="AA158" s="3"/>
      <c r="AB158" s="3"/>
      <c r="AC158" s="3"/>
    </row>
    <row r="159" spans="1:29" outlineLevel="1" x14ac:dyDescent="0.2">
      <c r="A159" s="3"/>
      <c r="B159" s="662" t="str">
        <f>'WK5a - Impact on Rates'!C61</f>
        <v>Business</v>
      </c>
      <c r="C159" s="692" t="str">
        <f>'WK5a - Impact on Rates'!D61</f>
        <v/>
      </c>
      <c r="D159" s="3"/>
      <c r="E159" s="135"/>
      <c r="F159" s="3"/>
      <c r="G159" s="96"/>
      <c r="H159" s="662">
        <f>'WK5a - Impact on Rates'!E61</f>
        <v>0</v>
      </c>
      <c r="I159" s="898">
        <f>'WK5a - Impact on Rates'!F61</f>
        <v>0</v>
      </c>
      <c r="J159" s="898">
        <f>'WK5a - Impact on Rates'!G61</f>
        <v>0</v>
      </c>
      <c r="K159" s="898">
        <f>'WK5a - Impact on Rates'!H61</f>
        <v>0</v>
      </c>
      <c r="L159" s="898">
        <f>'WK5a - Impact on Rates'!I61</f>
        <v>0</v>
      </c>
      <c r="M159" s="898">
        <f>'WK5a - Impact on Rates'!J61</f>
        <v>0</v>
      </c>
      <c r="N159" s="898">
        <f>'WK5a - Impact on Rates'!K61</f>
        <v>0</v>
      </c>
      <c r="O159" s="898">
        <f>'WK5a - Impact on Rates'!L61</f>
        <v>0</v>
      </c>
      <c r="P159" s="135"/>
      <c r="Q159" s="3"/>
      <c r="R159" s="96"/>
      <c r="S159" s="455"/>
      <c r="T159" s="455"/>
      <c r="U159" s="3"/>
      <c r="V159" s="3"/>
      <c r="W159" s="3"/>
      <c r="X159" s="3"/>
      <c r="Y159" s="3"/>
      <c r="Z159" s="3"/>
      <c r="AA159" s="3"/>
      <c r="AB159" s="3"/>
      <c r="AC159" s="3"/>
    </row>
    <row r="160" spans="1:29" outlineLevel="1" x14ac:dyDescent="0.2">
      <c r="A160" s="3"/>
      <c r="B160" s="662" t="str">
        <f>'WK5a - Impact on Rates'!C62</f>
        <v>Business</v>
      </c>
      <c r="C160" s="692" t="str">
        <f>'WK5a - Impact on Rates'!D62</f>
        <v/>
      </c>
      <c r="D160" s="3"/>
      <c r="E160" s="135"/>
      <c r="F160" s="3"/>
      <c r="G160" s="96"/>
      <c r="H160" s="662">
        <f>'WK5a - Impact on Rates'!E62</f>
        <v>0</v>
      </c>
      <c r="I160" s="898">
        <f>'WK5a - Impact on Rates'!F62</f>
        <v>0</v>
      </c>
      <c r="J160" s="898">
        <f>'WK5a - Impact on Rates'!G62</f>
        <v>0</v>
      </c>
      <c r="K160" s="898">
        <f>'WK5a - Impact on Rates'!H62</f>
        <v>0</v>
      </c>
      <c r="L160" s="898">
        <f>'WK5a - Impact on Rates'!I62</f>
        <v>0</v>
      </c>
      <c r="M160" s="898">
        <f>'WK5a - Impact on Rates'!J62</f>
        <v>0</v>
      </c>
      <c r="N160" s="898">
        <f>'WK5a - Impact on Rates'!K62</f>
        <v>0</v>
      </c>
      <c r="O160" s="898">
        <f>'WK5a - Impact on Rates'!L62</f>
        <v>0</v>
      </c>
      <c r="P160" s="135"/>
      <c r="Q160" s="3"/>
      <c r="R160" s="96"/>
      <c r="S160" s="455"/>
      <c r="T160" s="455"/>
      <c r="U160" s="3"/>
      <c r="V160" s="3"/>
      <c r="W160" s="3"/>
      <c r="X160" s="3"/>
      <c r="Y160" s="3"/>
      <c r="Z160" s="3"/>
      <c r="AA160" s="3"/>
      <c r="AB160" s="3"/>
      <c r="AC160" s="3"/>
    </row>
    <row r="161" spans="1:29" outlineLevel="1" x14ac:dyDescent="0.2">
      <c r="A161" s="3"/>
      <c r="B161" s="662" t="str">
        <f>'WK5a - Impact on Rates'!C63</f>
        <v>Business</v>
      </c>
      <c r="C161" s="692" t="str">
        <f>'WK5a - Impact on Rates'!D63</f>
        <v/>
      </c>
      <c r="D161" s="3"/>
      <c r="E161" s="135"/>
      <c r="F161" s="3"/>
      <c r="G161" s="96"/>
      <c r="H161" s="662">
        <f>'WK5a - Impact on Rates'!E63</f>
        <v>0</v>
      </c>
      <c r="I161" s="898">
        <f>'WK5a - Impact on Rates'!F63</f>
        <v>0</v>
      </c>
      <c r="J161" s="898">
        <f>'WK5a - Impact on Rates'!G63</f>
        <v>0</v>
      </c>
      <c r="K161" s="898">
        <f>'WK5a - Impact on Rates'!H63</f>
        <v>0</v>
      </c>
      <c r="L161" s="898">
        <f>'WK5a - Impact on Rates'!I63</f>
        <v>0</v>
      </c>
      <c r="M161" s="898">
        <f>'WK5a - Impact on Rates'!J63</f>
        <v>0</v>
      </c>
      <c r="N161" s="898">
        <f>'WK5a - Impact on Rates'!K63</f>
        <v>0</v>
      </c>
      <c r="O161" s="898">
        <f>'WK5a - Impact on Rates'!L63</f>
        <v>0</v>
      </c>
      <c r="P161" s="135"/>
      <c r="Q161" s="3"/>
      <c r="R161" s="96"/>
      <c r="S161" s="455"/>
      <c r="T161" s="455"/>
      <c r="U161" s="3"/>
      <c r="V161" s="3"/>
      <c r="W161" s="3"/>
      <c r="X161" s="3"/>
      <c r="Y161" s="3"/>
      <c r="Z161" s="3"/>
      <c r="AA161" s="3"/>
      <c r="AB161" s="3"/>
      <c r="AC161" s="3"/>
    </row>
    <row r="162" spans="1:29" outlineLevel="1" x14ac:dyDescent="0.2">
      <c r="A162" s="3"/>
      <c r="B162" s="662" t="str">
        <f>'WK5a - Impact on Rates'!C64</f>
        <v>Business</v>
      </c>
      <c r="C162" s="692" t="str">
        <f>'WK5a - Impact on Rates'!D64</f>
        <v/>
      </c>
      <c r="D162" s="3"/>
      <c r="E162" s="135"/>
      <c r="F162" s="3"/>
      <c r="G162" s="96"/>
      <c r="H162" s="662">
        <f>'WK5a - Impact on Rates'!E64</f>
        <v>0</v>
      </c>
      <c r="I162" s="898">
        <f>'WK5a - Impact on Rates'!F64</f>
        <v>0</v>
      </c>
      <c r="J162" s="898">
        <f>'WK5a - Impact on Rates'!G64</f>
        <v>0</v>
      </c>
      <c r="K162" s="898">
        <f>'WK5a - Impact on Rates'!H64</f>
        <v>0</v>
      </c>
      <c r="L162" s="898">
        <f>'WK5a - Impact on Rates'!I64</f>
        <v>0</v>
      </c>
      <c r="M162" s="898">
        <f>'WK5a - Impact on Rates'!J64</f>
        <v>0</v>
      </c>
      <c r="N162" s="898">
        <f>'WK5a - Impact on Rates'!K64</f>
        <v>0</v>
      </c>
      <c r="O162" s="898">
        <f>'WK5a - Impact on Rates'!L64</f>
        <v>0</v>
      </c>
      <c r="P162" s="135"/>
      <c r="Q162" s="3"/>
      <c r="R162" s="96"/>
      <c r="S162" s="455"/>
      <c r="T162" s="455"/>
      <c r="U162" s="3"/>
      <c r="V162" s="3"/>
      <c r="W162" s="3"/>
      <c r="X162" s="3"/>
      <c r="Y162" s="3"/>
      <c r="Z162" s="3"/>
      <c r="AA162" s="3"/>
      <c r="AB162" s="3"/>
      <c r="AC162" s="3"/>
    </row>
    <row r="163" spans="1:29" outlineLevel="1" x14ac:dyDescent="0.2">
      <c r="A163" s="3"/>
      <c r="B163" s="662" t="str">
        <f>'WK5a - Impact on Rates'!C65</f>
        <v>Business</v>
      </c>
      <c r="C163" s="692" t="str">
        <f>'WK5a - Impact on Rates'!D65</f>
        <v/>
      </c>
      <c r="D163" s="3"/>
      <c r="E163" s="135"/>
      <c r="F163" s="3"/>
      <c r="G163" s="96"/>
      <c r="H163" s="662">
        <f>'WK5a - Impact on Rates'!E65</f>
        <v>0</v>
      </c>
      <c r="I163" s="898">
        <f>'WK5a - Impact on Rates'!F65</f>
        <v>0</v>
      </c>
      <c r="J163" s="898">
        <f>'WK5a - Impact on Rates'!G65</f>
        <v>0</v>
      </c>
      <c r="K163" s="898">
        <f>'WK5a - Impact on Rates'!H65</f>
        <v>0</v>
      </c>
      <c r="L163" s="898">
        <f>'WK5a - Impact on Rates'!I65</f>
        <v>0</v>
      </c>
      <c r="M163" s="898">
        <f>'WK5a - Impact on Rates'!J65</f>
        <v>0</v>
      </c>
      <c r="N163" s="898">
        <f>'WK5a - Impact on Rates'!K65</f>
        <v>0</v>
      </c>
      <c r="O163" s="898">
        <f>'WK5a - Impact on Rates'!L65</f>
        <v>0</v>
      </c>
      <c r="P163" s="135"/>
      <c r="Q163" s="3"/>
      <c r="R163" s="96"/>
      <c r="S163" s="455"/>
      <c r="T163" s="455"/>
      <c r="U163" s="3"/>
      <c r="V163" s="3"/>
      <c r="W163" s="3"/>
      <c r="X163" s="3"/>
      <c r="Y163" s="3"/>
      <c r="Z163" s="3"/>
      <c r="AA163" s="3"/>
      <c r="AB163" s="3"/>
      <c r="AC163" s="3"/>
    </row>
    <row r="164" spans="1:29" outlineLevel="1" x14ac:dyDescent="0.2">
      <c r="A164" s="3"/>
      <c r="B164" s="662" t="str">
        <f>'WK5a - Impact on Rates'!C66</f>
        <v>Business</v>
      </c>
      <c r="C164" s="692" t="str">
        <f>'WK5a - Impact on Rates'!D66</f>
        <v/>
      </c>
      <c r="D164" s="3"/>
      <c r="E164" s="135"/>
      <c r="F164" s="3"/>
      <c r="G164" s="96"/>
      <c r="H164" s="662">
        <f>'WK5a - Impact on Rates'!E66</f>
        <v>0</v>
      </c>
      <c r="I164" s="898">
        <f>'WK5a - Impact on Rates'!F66</f>
        <v>0</v>
      </c>
      <c r="J164" s="898">
        <f>'WK5a - Impact on Rates'!G66</f>
        <v>0</v>
      </c>
      <c r="K164" s="898">
        <f>'WK5a - Impact on Rates'!H66</f>
        <v>0</v>
      </c>
      <c r="L164" s="898">
        <f>'WK5a - Impact on Rates'!I66</f>
        <v>0</v>
      </c>
      <c r="M164" s="898">
        <f>'WK5a - Impact on Rates'!J66</f>
        <v>0</v>
      </c>
      <c r="N164" s="898">
        <f>'WK5a - Impact on Rates'!K66</f>
        <v>0</v>
      </c>
      <c r="O164" s="898">
        <f>'WK5a - Impact on Rates'!L66</f>
        <v>0</v>
      </c>
      <c r="P164" s="135"/>
      <c r="Q164" s="3"/>
      <c r="R164" s="96"/>
      <c r="S164" s="455"/>
      <c r="T164" s="455"/>
      <c r="U164" s="3"/>
      <c r="V164" s="3"/>
      <c r="W164" s="3"/>
      <c r="X164" s="3"/>
      <c r="Y164" s="3"/>
      <c r="Z164" s="3"/>
      <c r="AA164" s="3"/>
      <c r="AB164" s="3"/>
      <c r="AC164" s="3"/>
    </row>
    <row r="165" spans="1:29" outlineLevel="1" x14ac:dyDescent="0.2">
      <c r="A165" s="3"/>
      <c r="B165" s="662" t="str">
        <f>'WK5a - Impact on Rates'!C67</f>
        <v>Business</v>
      </c>
      <c r="C165" s="692" t="str">
        <f>'WK5a - Impact on Rates'!D67</f>
        <v/>
      </c>
      <c r="D165" s="3"/>
      <c r="E165" s="135"/>
      <c r="F165" s="3"/>
      <c r="G165" s="96"/>
      <c r="H165" s="662">
        <f>'WK5a - Impact on Rates'!E67</f>
        <v>0</v>
      </c>
      <c r="I165" s="898">
        <f>'WK5a - Impact on Rates'!F67</f>
        <v>0</v>
      </c>
      <c r="J165" s="898">
        <f>'WK5a - Impact on Rates'!G67</f>
        <v>0</v>
      </c>
      <c r="K165" s="898">
        <f>'WK5a - Impact on Rates'!H67</f>
        <v>0</v>
      </c>
      <c r="L165" s="898">
        <f>'WK5a - Impact on Rates'!I67</f>
        <v>0</v>
      </c>
      <c r="M165" s="898">
        <f>'WK5a - Impact on Rates'!J67</f>
        <v>0</v>
      </c>
      <c r="N165" s="898">
        <f>'WK5a - Impact on Rates'!K67</f>
        <v>0</v>
      </c>
      <c r="O165" s="898">
        <f>'WK5a - Impact on Rates'!L67</f>
        <v>0</v>
      </c>
      <c r="P165" s="135"/>
      <c r="Q165" s="3"/>
      <c r="R165" s="96"/>
      <c r="S165" s="455"/>
      <c r="T165" s="455"/>
      <c r="U165" s="3"/>
      <c r="V165" s="3"/>
      <c r="W165" s="3"/>
      <c r="X165" s="3"/>
      <c r="Y165" s="3"/>
      <c r="Z165" s="3"/>
      <c r="AA165" s="3"/>
      <c r="AB165" s="3"/>
      <c r="AC165" s="3"/>
    </row>
    <row r="166" spans="1:29" outlineLevel="1" x14ac:dyDescent="0.2">
      <c r="A166" s="3"/>
      <c r="B166" s="662" t="str">
        <f>'WK5a - Impact on Rates'!C68</f>
        <v>Business</v>
      </c>
      <c r="C166" s="692" t="str">
        <f>'WK5a - Impact on Rates'!D68</f>
        <v/>
      </c>
      <c r="D166" s="3"/>
      <c r="E166" s="135"/>
      <c r="F166" s="3"/>
      <c r="G166" s="96"/>
      <c r="H166" s="662">
        <f>'WK5a - Impact on Rates'!E68</f>
        <v>0</v>
      </c>
      <c r="I166" s="898">
        <f>'WK5a - Impact on Rates'!F68</f>
        <v>0</v>
      </c>
      <c r="J166" s="898">
        <f>'WK5a - Impact on Rates'!G68</f>
        <v>0</v>
      </c>
      <c r="K166" s="898">
        <f>'WK5a - Impact on Rates'!H68</f>
        <v>0</v>
      </c>
      <c r="L166" s="898">
        <f>'WK5a - Impact on Rates'!I68</f>
        <v>0</v>
      </c>
      <c r="M166" s="898">
        <f>'WK5a - Impact on Rates'!J68</f>
        <v>0</v>
      </c>
      <c r="N166" s="898">
        <f>'WK5a - Impact on Rates'!K68</f>
        <v>0</v>
      </c>
      <c r="O166" s="898">
        <f>'WK5a - Impact on Rates'!L68</f>
        <v>0</v>
      </c>
      <c r="P166" s="135"/>
      <c r="Q166" s="3"/>
      <c r="R166" s="96"/>
      <c r="S166" s="455"/>
      <c r="T166" s="455"/>
      <c r="U166" s="3"/>
      <c r="V166" s="3"/>
      <c r="W166" s="3"/>
      <c r="X166" s="3"/>
      <c r="Y166" s="3"/>
      <c r="Z166" s="3"/>
      <c r="AA166" s="3"/>
      <c r="AB166" s="3"/>
      <c r="AC166" s="3"/>
    </row>
    <row r="167" spans="1:29" ht="12" outlineLevel="1" thickBot="1" x14ac:dyDescent="0.25">
      <c r="A167" s="3"/>
      <c r="B167" s="942" t="str">
        <f>'WK5a - Impact on Rates'!C69</f>
        <v>Business</v>
      </c>
      <c r="C167" s="943" t="str">
        <f>'WK5a - Impact on Rates'!D69</f>
        <v/>
      </c>
      <c r="D167" s="944"/>
      <c r="E167" s="135"/>
      <c r="F167" s="3"/>
      <c r="G167" s="96"/>
      <c r="H167" s="942">
        <f>'WK5a - Impact on Rates'!E69</f>
        <v>0</v>
      </c>
      <c r="I167" s="945">
        <f>'WK5a - Impact on Rates'!F69</f>
        <v>0</v>
      </c>
      <c r="J167" s="945">
        <f>'WK5a - Impact on Rates'!G69</f>
        <v>0</v>
      </c>
      <c r="K167" s="945">
        <f>'WK5a - Impact on Rates'!H69</f>
        <v>0</v>
      </c>
      <c r="L167" s="945">
        <f>'WK5a - Impact on Rates'!I69</f>
        <v>0</v>
      </c>
      <c r="M167" s="945">
        <f>'WK5a - Impact on Rates'!J69</f>
        <v>0</v>
      </c>
      <c r="N167" s="945">
        <f>'WK5a - Impact on Rates'!K69</f>
        <v>0</v>
      </c>
      <c r="O167" s="946">
        <f>'WK5a - Impact on Rates'!L69</f>
        <v>0</v>
      </c>
      <c r="P167" s="135"/>
      <c r="Q167" s="3"/>
      <c r="R167" s="96"/>
      <c r="S167" s="455"/>
      <c r="T167" s="455"/>
      <c r="U167" s="3"/>
      <c r="V167" s="3"/>
      <c r="W167" s="3"/>
      <c r="X167" s="3"/>
      <c r="Y167" s="3"/>
      <c r="Z167" s="3"/>
      <c r="AA167" s="3"/>
      <c r="AB167" s="3"/>
      <c r="AC167" s="3"/>
    </row>
    <row r="168" spans="1:29" ht="12" outlineLevel="1" thickTop="1" x14ac:dyDescent="0.2">
      <c r="A168" s="3"/>
      <c r="B168" s="662" t="str">
        <f>'WK5a - Impact on Rates'!C71</f>
        <v>Farmland</v>
      </c>
      <c r="C168" s="692" t="str">
        <f>'WK5a - Impact on Rates'!D71</f>
        <v>Farmland</v>
      </c>
      <c r="D168" s="3"/>
      <c r="E168" s="135"/>
      <c r="F168" s="3"/>
      <c r="G168" s="96"/>
      <c r="H168" s="662">
        <f>'WK5a - Impact on Rates'!E71</f>
        <v>0</v>
      </c>
      <c r="I168" s="898">
        <f>'WK5a - Impact on Rates'!F71</f>
        <v>0</v>
      </c>
      <c r="J168" s="898">
        <f>'WK5a - Impact on Rates'!G71</f>
        <v>0</v>
      </c>
      <c r="K168" s="898">
        <f>'WK5a - Impact on Rates'!H71</f>
        <v>0</v>
      </c>
      <c r="L168" s="898">
        <f>'WK5a - Impact on Rates'!I71</f>
        <v>0</v>
      </c>
      <c r="M168" s="898">
        <f>'WK5a - Impact on Rates'!J71</f>
        <v>0</v>
      </c>
      <c r="N168" s="898">
        <f>'WK5a - Impact on Rates'!K71</f>
        <v>0</v>
      </c>
      <c r="O168" s="898">
        <f>'WK5a - Impact on Rates'!L71</f>
        <v>0</v>
      </c>
      <c r="P168" s="135"/>
      <c r="Q168" s="3"/>
      <c r="R168" s="96"/>
      <c r="S168" s="455"/>
      <c r="T168" s="455"/>
      <c r="U168" s="3"/>
      <c r="V168" s="3"/>
      <c r="W168" s="3"/>
      <c r="X168" s="3"/>
      <c r="Y168" s="3"/>
      <c r="Z168" s="3"/>
      <c r="AA168" s="3"/>
      <c r="AB168" s="3"/>
      <c r="AC168" s="3"/>
    </row>
    <row r="169" spans="1:29" outlineLevel="1" x14ac:dyDescent="0.2">
      <c r="A169" s="3"/>
      <c r="B169" s="662" t="str">
        <f>'WK5a - Impact on Rates'!C72</f>
        <v>Farmland</v>
      </c>
      <c r="C169" s="692" t="str">
        <f>'WK5a - Impact on Rates'!D72</f>
        <v/>
      </c>
      <c r="D169" s="3"/>
      <c r="E169" s="135"/>
      <c r="F169" s="3"/>
      <c r="G169" s="96"/>
      <c r="H169" s="662">
        <f>'WK5a - Impact on Rates'!E72</f>
        <v>0</v>
      </c>
      <c r="I169" s="898">
        <f>'WK5a - Impact on Rates'!F72</f>
        <v>0</v>
      </c>
      <c r="J169" s="898">
        <f>'WK5a - Impact on Rates'!G72</f>
        <v>0</v>
      </c>
      <c r="K169" s="898">
        <f>'WK5a - Impact on Rates'!H72</f>
        <v>0</v>
      </c>
      <c r="L169" s="898">
        <f>'WK5a - Impact on Rates'!I72</f>
        <v>0</v>
      </c>
      <c r="M169" s="898">
        <f>'WK5a - Impact on Rates'!J72</f>
        <v>0</v>
      </c>
      <c r="N169" s="898">
        <f>'WK5a - Impact on Rates'!K72</f>
        <v>0</v>
      </c>
      <c r="O169" s="898">
        <f>'WK5a - Impact on Rates'!L72</f>
        <v>0</v>
      </c>
      <c r="P169" s="135"/>
      <c r="Q169" s="3"/>
      <c r="R169" s="96"/>
      <c r="S169" s="455"/>
      <c r="T169" s="455"/>
      <c r="U169" s="3"/>
      <c r="V169" s="3"/>
      <c r="W169" s="3"/>
      <c r="X169" s="3"/>
      <c r="Y169" s="3"/>
      <c r="Z169" s="3"/>
      <c r="AA169" s="3"/>
      <c r="AB169" s="3"/>
      <c r="AC169" s="3"/>
    </row>
    <row r="170" spans="1:29" outlineLevel="1" x14ac:dyDescent="0.2">
      <c r="A170" s="3"/>
      <c r="B170" s="662" t="str">
        <f>'WK5a - Impact on Rates'!C73</f>
        <v>Farmland</v>
      </c>
      <c r="C170" s="692" t="str">
        <f>'WK5a - Impact on Rates'!D73</f>
        <v/>
      </c>
      <c r="D170" s="3"/>
      <c r="E170" s="135"/>
      <c r="F170" s="3"/>
      <c r="G170" s="96"/>
      <c r="H170" s="662">
        <f>'WK5a - Impact on Rates'!E73</f>
        <v>0</v>
      </c>
      <c r="I170" s="898">
        <f>'WK5a - Impact on Rates'!F73</f>
        <v>0</v>
      </c>
      <c r="J170" s="898">
        <f>'WK5a - Impact on Rates'!G73</f>
        <v>0</v>
      </c>
      <c r="K170" s="898">
        <f>'WK5a - Impact on Rates'!H73</f>
        <v>0</v>
      </c>
      <c r="L170" s="898">
        <f>'WK5a - Impact on Rates'!I73</f>
        <v>0</v>
      </c>
      <c r="M170" s="898">
        <f>'WK5a - Impact on Rates'!J73</f>
        <v>0</v>
      </c>
      <c r="N170" s="898">
        <f>'WK5a - Impact on Rates'!K73</f>
        <v>0</v>
      </c>
      <c r="O170" s="898">
        <f>'WK5a - Impact on Rates'!L73</f>
        <v>0</v>
      </c>
      <c r="P170" s="135"/>
      <c r="Q170" s="3"/>
      <c r="R170" s="96"/>
      <c r="S170" s="455"/>
      <c r="T170" s="455"/>
      <c r="U170" s="3"/>
      <c r="V170" s="3"/>
      <c r="W170" s="3"/>
      <c r="X170" s="3"/>
      <c r="Y170" s="3"/>
      <c r="Z170" s="3"/>
      <c r="AA170" s="3"/>
      <c r="AB170" s="3"/>
      <c r="AC170" s="3"/>
    </row>
    <row r="171" spans="1:29" outlineLevel="1" x14ac:dyDescent="0.2">
      <c r="A171" s="3"/>
      <c r="B171" s="662" t="str">
        <f>'WK5a - Impact on Rates'!C74</f>
        <v>Farmland</v>
      </c>
      <c r="C171" s="692" t="str">
        <f>'WK5a - Impact on Rates'!D74</f>
        <v/>
      </c>
      <c r="D171" s="3"/>
      <c r="E171" s="135"/>
      <c r="F171" s="3"/>
      <c r="G171" s="96"/>
      <c r="H171" s="662">
        <f>'WK5a - Impact on Rates'!E74</f>
        <v>0</v>
      </c>
      <c r="I171" s="898">
        <f>'WK5a - Impact on Rates'!F74</f>
        <v>0</v>
      </c>
      <c r="J171" s="898">
        <f>'WK5a - Impact on Rates'!G74</f>
        <v>0</v>
      </c>
      <c r="K171" s="898">
        <f>'WK5a - Impact on Rates'!H74</f>
        <v>0</v>
      </c>
      <c r="L171" s="898">
        <f>'WK5a - Impact on Rates'!I74</f>
        <v>0</v>
      </c>
      <c r="M171" s="898">
        <f>'WK5a - Impact on Rates'!J74</f>
        <v>0</v>
      </c>
      <c r="N171" s="898">
        <f>'WK5a - Impact on Rates'!K74</f>
        <v>0</v>
      </c>
      <c r="O171" s="898">
        <f>'WK5a - Impact on Rates'!L74</f>
        <v>0</v>
      </c>
      <c r="P171" s="135"/>
      <c r="Q171" s="3"/>
      <c r="R171" s="96"/>
      <c r="S171" s="455"/>
      <c r="T171" s="455"/>
      <c r="U171" s="3"/>
      <c r="V171" s="3"/>
      <c r="W171" s="3"/>
      <c r="X171" s="3"/>
      <c r="Y171" s="3"/>
      <c r="Z171" s="3"/>
      <c r="AA171" s="3"/>
      <c r="AB171" s="3"/>
      <c r="AC171" s="3"/>
    </row>
    <row r="172" spans="1:29" outlineLevel="1" x14ac:dyDescent="0.2">
      <c r="A172" s="3"/>
      <c r="B172" s="662" t="str">
        <f>'WK5a - Impact on Rates'!C75</f>
        <v>Farmland</v>
      </c>
      <c r="C172" s="692" t="str">
        <f>'WK5a - Impact on Rates'!D75</f>
        <v/>
      </c>
      <c r="D172" s="3"/>
      <c r="E172" s="135"/>
      <c r="F172" s="3"/>
      <c r="G172" s="96"/>
      <c r="H172" s="662">
        <f>'WK5a - Impact on Rates'!E75</f>
        <v>0</v>
      </c>
      <c r="I172" s="898">
        <f>'WK5a - Impact on Rates'!F75</f>
        <v>0</v>
      </c>
      <c r="J172" s="898">
        <f>'WK5a - Impact on Rates'!G75</f>
        <v>0</v>
      </c>
      <c r="K172" s="898">
        <f>'WK5a - Impact on Rates'!H75</f>
        <v>0</v>
      </c>
      <c r="L172" s="898">
        <f>'WK5a - Impact on Rates'!I75</f>
        <v>0</v>
      </c>
      <c r="M172" s="898">
        <f>'WK5a - Impact on Rates'!J75</f>
        <v>0</v>
      </c>
      <c r="N172" s="898">
        <f>'WK5a - Impact on Rates'!K75</f>
        <v>0</v>
      </c>
      <c r="O172" s="898">
        <f>'WK5a - Impact on Rates'!L75</f>
        <v>0</v>
      </c>
      <c r="P172" s="135"/>
      <c r="Q172" s="3"/>
      <c r="R172" s="96"/>
      <c r="S172" s="455"/>
      <c r="T172" s="455"/>
      <c r="U172" s="3"/>
      <c r="V172" s="3"/>
      <c r="W172" s="3"/>
      <c r="X172" s="3"/>
      <c r="Y172" s="3"/>
      <c r="Z172" s="3"/>
      <c r="AA172" s="3"/>
      <c r="AB172" s="3"/>
      <c r="AC172" s="3"/>
    </row>
    <row r="173" spans="1:29" outlineLevel="1" x14ac:dyDescent="0.2">
      <c r="A173" s="3"/>
      <c r="B173" s="662" t="str">
        <f>'WK5a - Impact on Rates'!C76</f>
        <v>Farmland</v>
      </c>
      <c r="C173" s="692" t="str">
        <f>'WK5a - Impact on Rates'!D76</f>
        <v/>
      </c>
      <c r="D173" s="3"/>
      <c r="E173" s="135"/>
      <c r="F173" s="3"/>
      <c r="G173" s="96"/>
      <c r="H173" s="662">
        <f>'WK5a - Impact on Rates'!E76</f>
        <v>0</v>
      </c>
      <c r="I173" s="898">
        <f>'WK5a - Impact on Rates'!F76</f>
        <v>0</v>
      </c>
      <c r="J173" s="898">
        <f>'WK5a - Impact on Rates'!G76</f>
        <v>0</v>
      </c>
      <c r="K173" s="898">
        <f>'WK5a - Impact on Rates'!H76</f>
        <v>0</v>
      </c>
      <c r="L173" s="898">
        <f>'WK5a - Impact on Rates'!I76</f>
        <v>0</v>
      </c>
      <c r="M173" s="898">
        <f>'WK5a - Impact on Rates'!J76</f>
        <v>0</v>
      </c>
      <c r="N173" s="898">
        <f>'WK5a - Impact on Rates'!K76</f>
        <v>0</v>
      </c>
      <c r="O173" s="898">
        <f>'WK5a - Impact on Rates'!L76</f>
        <v>0</v>
      </c>
      <c r="P173" s="135"/>
      <c r="Q173" s="3"/>
      <c r="R173" s="96"/>
      <c r="S173" s="455"/>
      <c r="T173" s="455"/>
      <c r="U173" s="3"/>
      <c r="V173" s="3"/>
      <c r="W173" s="3"/>
      <c r="X173" s="3"/>
      <c r="Y173" s="3"/>
      <c r="Z173" s="3"/>
      <c r="AA173" s="3"/>
      <c r="AB173" s="3"/>
      <c r="AC173" s="3"/>
    </row>
    <row r="174" spans="1:29" outlineLevel="1" x14ac:dyDescent="0.2">
      <c r="A174" s="3"/>
      <c r="B174" s="662" t="str">
        <f>'WK5a - Impact on Rates'!C77</f>
        <v>Farmland</v>
      </c>
      <c r="C174" s="692" t="str">
        <f>'WK5a - Impact on Rates'!D77</f>
        <v/>
      </c>
      <c r="D174" s="3"/>
      <c r="E174" s="135"/>
      <c r="F174" s="3"/>
      <c r="G174" s="96"/>
      <c r="H174" s="662">
        <f>'WK5a - Impact on Rates'!E77</f>
        <v>0</v>
      </c>
      <c r="I174" s="898">
        <f>'WK5a - Impact on Rates'!F77</f>
        <v>0</v>
      </c>
      <c r="J174" s="898">
        <f>'WK5a - Impact on Rates'!G77</f>
        <v>0</v>
      </c>
      <c r="K174" s="898">
        <f>'WK5a - Impact on Rates'!H77</f>
        <v>0</v>
      </c>
      <c r="L174" s="898">
        <f>'WK5a - Impact on Rates'!I77</f>
        <v>0</v>
      </c>
      <c r="M174" s="898">
        <f>'WK5a - Impact on Rates'!J77</f>
        <v>0</v>
      </c>
      <c r="N174" s="898">
        <f>'WK5a - Impact on Rates'!K77</f>
        <v>0</v>
      </c>
      <c r="O174" s="898">
        <f>'WK5a - Impact on Rates'!L77</f>
        <v>0</v>
      </c>
      <c r="P174" s="135"/>
      <c r="Q174" s="3"/>
      <c r="R174" s="96"/>
      <c r="S174" s="455"/>
      <c r="T174" s="455"/>
      <c r="U174" s="3"/>
      <c r="V174" s="3"/>
      <c r="W174" s="3"/>
      <c r="X174" s="3"/>
      <c r="Y174" s="3"/>
      <c r="Z174" s="3"/>
      <c r="AA174" s="3"/>
      <c r="AB174" s="3"/>
      <c r="AC174" s="3"/>
    </row>
    <row r="175" spans="1:29" outlineLevel="1" x14ac:dyDescent="0.2">
      <c r="A175" s="3"/>
      <c r="B175" s="662" t="str">
        <f>'WK5a - Impact on Rates'!C78</f>
        <v>Farmland</v>
      </c>
      <c r="C175" s="692" t="str">
        <f>'WK5a - Impact on Rates'!D78</f>
        <v/>
      </c>
      <c r="D175" s="3"/>
      <c r="E175" s="135"/>
      <c r="F175" s="3"/>
      <c r="G175" s="96"/>
      <c r="H175" s="662">
        <f>'WK5a - Impact on Rates'!E78</f>
        <v>0</v>
      </c>
      <c r="I175" s="898">
        <f>'WK5a - Impact on Rates'!F78</f>
        <v>0</v>
      </c>
      <c r="J175" s="898">
        <f>'WK5a - Impact on Rates'!G78</f>
        <v>0</v>
      </c>
      <c r="K175" s="898">
        <f>'WK5a - Impact on Rates'!H78</f>
        <v>0</v>
      </c>
      <c r="L175" s="898">
        <f>'WK5a - Impact on Rates'!I78</f>
        <v>0</v>
      </c>
      <c r="M175" s="898">
        <f>'WK5a - Impact on Rates'!J78</f>
        <v>0</v>
      </c>
      <c r="N175" s="898">
        <f>'WK5a - Impact on Rates'!K78</f>
        <v>0</v>
      </c>
      <c r="O175" s="898">
        <f>'WK5a - Impact on Rates'!L78</f>
        <v>0</v>
      </c>
      <c r="P175" s="135"/>
      <c r="Q175" s="3"/>
      <c r="R175" s="96"/>
      <c r="S175" s="455"/>
      <c r="T175" s="455"/>
      <c r="U175" s="3"/>
      <c r="V175" s="3"/>
      <c r="W175" s="3"/>
      <c r="X175" s="3"/>
      <c r="Y175" s="3"/>
      <c r="Z175" s="3"/>
      <c r="AA175" s="3"/>
      <c r="AB175" s="3"/>
      <c r="AC175" s="3"/>
    </row>
    <row r="176" spans="1:29" outlineLevel="1" x14ac:dyDescent="0.2">
      <c r="A176" s="3"/>
      <c r="B176" s="662" t="str">
        <f>'WK5a - Impact on Rates'!C79</f>
        <v>Farmland</v>
      </c>
      <c r="C176" s="692" t="str">
        <f>'WK5a - Impact on Rates'!D79</f>
        <v/>
      </c>
      <c r="D176" s="3"/>
      <c r="E176" s="135"/>
      <c r="F176" s="3"/>
      <c r="G176" s="96"/>
      <c r="H176" s="662">
        <f>'WK5a - Impact on Rates'!E79</f>
        <v>0</v>
      </c>
      <c r="I176" s="898">
        <f>'WK5a - Impact on Rates'!F79</f>
        <v>0</v>
      </c>
      <c r="J176" s="898">
        <f>'WK5a - Impact on Rates'!G79</f>
        <v>0</v>
      </c>
      <c r="K176" s="898">
        <f>'WK5a - Impact on Rates'!H79</f>
        <v>0</v>
      </c>
      <c r="L176" s="898">
        <f>'WK5a - Impact on Rates'!I79</f>
        <v>0</v>
      </c>
      <c r="M176" s="898">
        <f>'WK5a - Impact on Rates'!J79</f>
        <v>0</v>
      </c>
      <c r="N176" s="898">
        <f>'WK5a - Impact on Rates'!K79</f>
        <v>0</v>
      </c>
      <c r="O176" s="898">
        <f>'WK5a - Impact on Rates'!L79</f>
        <v>0</v>
      </c>
      <c r="P176" s="135"/>
      <c r="Q176" s="3"/>
      <c r="R176" s="96"/>
      <c r="S176" s="455"/>
      <c r="T176" s="455"/>
      <c r="U176" s="3"/>
      <c r="V176" s="3"/>
      <c r="W176" s="3"/>
      <c r="X176" s="3"/>
      <c r="Y176" s="3"/>
      <c r="Z176" s="3"/>
      <c r="AA176" s="3"/>
      <c r="AB176" s="3"/>
      <c r="AC176" s="3"/>
    </row>
    <row r="177" spans="1:29" ht="12" outlineLevel="1" thickBot="1" x14ac:dyDescent="0.25">
      <c r="A177" s="3"/>
      <c r="B177" s="942" t="str">
        <f>'WK5a - Impact on Rates'!C80</f>
        <v>Farmland</v>
      </c>
      <c r="C177" s="943" t="str">
        <f>'WK5a - Impact on Rates'!D80</f>
        <v/>
      </c>
      <c r="D177" s="944"/>
      <c r="E177" s="135"/>
      <c r="F177" s="3"/>
      <c r="G177" s="96"/>
      <c r="H177" s="942">
        <f>'WK5a - Impact on Rates'!E80</f>
        <v>0</v>
      </c>
      <c r="I177" s="945">
        <f>'WK5a - Impact on Rates'!F80</f>
        <v>0</v>
      </c>
      <c r="J177" s="945">
        <f>'WK5a - Impact on Rates'!G80</f>
        <v>0</v>
      </c>
      <c r="K177" s="945">
        <f>'WK5a - Impact on Rates'!H80</f>
        <v>0</v>
      </c>
      <c r="L177" s="945">
        <f>'WK5a - Impact on Rates'!I80</f>
        <v>0</v>
      </c>
      <c r="M177" s="945">
        <f>'WK5a - Impact on Rates'!J80</f>
        <v>0</v>
      </c>
      <c r="N177" s="945">
        <f>'WK5a - Impact on Rates'!K80</f>
        <v>0</v>
      </c>
      <c r="O177" s="946">
        <f>'WK5a - Impact on Rates'!L80</f>
        <v>0</v>
      </c>
      <c r="P177" s="135"/>
      <c r="Q177" s="3"/>
      <c r="R177" s="96"/>
      <c r="S177" s="455"/>
      <c r="T177" s="455"/>
      <c r="U177" s="3"/>
      <c r="V177" s="3"/>
      <c r="W177" s="3"/>
      <c r="X177" s="3"/>
      <c r="Y177" s="3"/>
      <c r="Z177" s="3"/>
      <c r="AA177" s="3"/>
      <c r="AB177" s="3"/>
      <c r="AC177" s="3"/>
    </row>
    <row r="178" spans="1:29" ht="12" outlineLevel="1" thickTop="1" x14ac:dyDescent="0.2">
      <c r="A178" s="3"/>
      <c r="B178" s="662" t="str">
        <f>'WK5a - Impact on Rates'!C82</f>
        <v>Mining</v>
      </c>
      <c r="C178" s="692" t="str">
        <f>'WK5a - Impact on Rates'!D82</f>
        <v/>
      </c>
      <c r="D178" s="3"/>
      <c r="E178" s="135"/>
      <c r="F178" s="3"/>
      <c r="G178" s="96"/>
      <c r="H178" s="662">
        <f>'WK5a - Impact on Rates'!E82</f>
        <v>0</v>
      </c>
      <c r="I178" s="898">
        <f>'WK5a - Impact on Rates'!F82</f>
        <v>0</v>
      </c>
      <c r="J178" s="898">
        <f>'WK5a - Impact on Rates'!G82</f>
        <v>0</v>
      </c>
      <c r="K178" s="898">
        <f>'WK5a - Impact on Rates'!H82</f>
        <v>0</v>
      </c>
      <c r="L178" s="898">
        <f>'WK5a - Impact on Rates'!I82</f>
        <v>0</v>
      </c>
      <c r="M178" s="898">
        <f>'WK5a - Impact on Rates'!J82</f>
        <v>0</v>
      </c>
      <c r="N178" s="898">
        <f>'WK5a - Impact on Rates'!K82</f>
        <v>0</v>
      </c>
      <c r="O178" s="898">
        <f>'WK5a - Impact on Rates'!L82</f>
        <v>0</v>
      </c>
      <c r="P178" s="135"/>
      <c r="Q178" s="3"/>
      <c r="R178" s="96"/>
      <c r="S178" s="455"/>
      <c r="T178" s="455"/>
      <c r="U178" s="3"/>
      <c r="V178" s="3"/>
      <c r="W178" s="3"/>
      <c r="X178" s="3"/>
      <c r="Y178" s="3"/>
      <c r="Z178" s="3"/>
      <c r="AA178" s="3"/>
      <c r="AB178" s="3"/>
      <c r="AC178" s="3"/>
    </row>
    <row r="179" spans="1:29" outlineLevel="1" x14ac:dyDescent="0.2">
      <c r="A179" s="3"/>
      <c r="B179" s="662" t="str">
        <f>'WK5a - Impact on Rates'!C83</f>
        <v>Mining</v>
      </c>
      <c r="C179" s="692" t="str">
        <f>'WK5a - Impact on Rates'!D83</f>
        <v/>
      </c>
      <c r="D179" s="3"/>
      <c r="E179" s="135"/>
      <c r="F179" s="3"/>
      <c r="G179" s="96"/>
      <c r="H179" s="662">
        <f>'WK5a - Impact on Rates'!E83</f>
        <v>0</v>
      </c>
      <c r="I179" s="898">
        <f>'WK5a - Impact on Rates'!F83</f>
        <v>0</v>
      </c>
      <c r="J179" s="898">
        <f>'WK5a - Impact on Rates'!G83</f>
        <v>0</v>
      </c>
      <c r="K179" s="898">
        <f>'WK5a - Impact on Rates'!H83</f>
        <v>0</v>
      </c>
      <c r="L179" s="898">
        <f>'WK5a - Impact on Rates'!I83</f>
        <v>0</v>
      </c>
      <c r="M179" s="898">
        <f>'WK5a - Impact on Rates'!J83</f>
        <v>0</v>
      </c>
      <c r="N179" s="898">
        <f>'WK5a - Impact on Rates'!K83</f>
        <v>0</v>
      </c>
      <c r="O179" s="898">
        <f>'WK5a - Impact on Rates'!L83</f>
        <v>0</v>
      </c>
      <c r="P179" s="135"/>
      <c r="Q179" s="3"/>
      <c r="R179" s="96"/>
      <c r="S179" s="455"/>
      <c r="T179" s="455"/>
      <c r="U179" s="3"/>
      <c r="V179" s="3"/>
      <c r="W179" s="3"/>
      <c r="X179" s="3"/>
      <c r="Y179" s="3"/>
      <c r="Z179" s="3"/>
      <c r="AA179" s="3"/>
      <c r="AB179" s="3"/>
      <c r="AC179" s="3"/>
    </row>
    <row r="180" spans="1:29" outlineLevel="1" x14ac:dyDescent="0.2">
      <c r="A180" s="3"/>
      <c r="B180" s="662" t="str">
        <f>'WK5a - Impact on Rates'!C84</f>
        <v>Mining</v>
      </c>
      <c r="C180" s="692" t="str">
        <f>'WK5a - Impact on Rates'!D84</f>
        <v/>
      </c>
      <c r="D180" s="3"/>
      <c r="E180" s="135"/>
      <c r="F180" s="3"/>
      <c r="G180" s="96"/>
      <c r="H180" s="662">
        <f>'WK5a - Impact on Rates'!E84</f>
        <v>0</v>
      </c>
      <c r="I180" s="898">
        <f>'WK5a - Impact on Rates'!F84</f>
        <v>0</v>
      </c>
      <c r="J180" s="898">
        <f>'WK5a - Impact on Rates'!G84</f>
        <v>0</v>
      </c>
      <c r="K180" s="898">
        <f>'WK5a - Impact on Rates'!H84</f>
        <v>0</v>
      </c>
      <c r="L180" s="898">
        <f>'WK5a - Impact on Rates'!I84</f>
        <v>0</v>
      </c>
      <c r="M180" s="898">
        <f>'WK5a - Impact on Rates'!J84</f>
        <v>0</v>
      </c>
      <c r="N180" s="898">
        <f>'WK5a - Impact on Rates'!K84</f>
        <v>0</v>
      </c>
      <c r="O180" s="898">
        <f>'WK5a - Impact on Rates'!L84</f>
        <v>0</v>
      </c>
      <c r="P180" s="135"/>
      <c r="Q180" s="3"/>
      <c r="R180" s="96"/>
      <c r="S180" s="455"/>
      <c r="T180" s="455"/>
      <c r="U180" s="3"/>
      <c r="V180" s="3"/>
      <c r="W180" s="3"/>
      <c r="X180" s="3"/>
      <c r="Y180" s="3"/>
      <c r="Z180" s="3"/>
      <c r="AA180" s="3"/>
      <c r="AB180" s="3"/>
      <c r="AC180" s="3"/>
    </row>
    <row r="181" spans="1:29" outlineLevel="1" x14ac:dyDescent="0.2">
      <c r="A181" s="3"/>
      <c r="B181" s="662" t="str">
        <f>'WK5a - Impact on Rates'!C85</f>
        <v>Mining</v>
      </c>
      <c r="C181" s="692" t="str">
        <f>'WK5a - Impact on Rates'!D85</f>
        <v/>
      </c>
      <c r="D181" s="3"/>
      <c r="E181" s="135"/>
      <c r="F181" s="3"/>
      <c r="G181" s="96"/>
      <c r="H181" s="662">
        <f>'WK5a - Impact on Rates'!E85</f>
        <v>0</v>
      </c>
      <c r="I181" s="898">
        <f>'WK5a - Impact on Rates'!F85</f>
        <v>0</v>
      </c>
      <c r="J181" s="898">
        <f>'WK5a - Impact on Rates'!G85</f>
        <v>0</v>
      </c>
      <c r="K181" s="898">
        <f>'WK5a - Impact on Rates'!H85</f>
        <v>0</v>
      </c>
      <c r="L181" s="898">
        <f>'WK5a - Impact on Rates'!I85</f>
        <v>0</v>
      </c>
      <c r="M181" s="898">
        <f>'WK5a - Impact on Rates'!J85</f>
        <v>0</v>
      </c>
      <c r="N181" s="898">
        <f>'WK5a - Impact on Rates'!K85</f>
        <v>0</v>
      </c>
      <c r="O181" s="898">
        <f>'WK5a - Impact on Rates'!L85</f>
        <v>0</v>
      </c>
      <c r="P181" s="135"/>
      <c r="Q181" s="3"/>
      <c r="R181" s="96"/>
      <c r="S181" s="455"/>
      <c r="T181" s="455"/>
      <c r="U181" s="3"/>
      <c r="V181" s="3"/>
      <c r="W181" s="3"/>
      <c r="X181" s="3"/>
      <c r="Y181" s="3"/>
      <c r="Z181" s="3"/>
      <c r="AA181" s="3"/>
      <c r="AB181" s="3"/>
      <c r="AC181" s="3"/>
    </row>
    <row r="182" spans="1:29" outlineLevel="1" x14ac:dyDescent="0.2">
      <c r="A182" s="3"/>
      <c r="B182" s="662" t="str">
        <f>'WK5a - Impact on Rates'!C86</f>
        <v>Mining</v>
      </c>
      <c r="C182" s="692" t="str">
        <f>'WK5a - Impact on Rates'!D86</f>
        <v/>
      </c>
      <c r="D182" s="3"/>
      <c r="E182" s="135"/>
      <c r="F182" s="3"/>
      <c r="G182" s="96"/>
      <c r="H182" s="662">
        <f>'WK5a - Impact on Rates'!E86</f>
        <v>0</v>
      </c>
      <c r="I182" s="898">
        <f>'WK5a - Impact on Rates'!F86</f>
        <v>0</v>
      </c>
      <c r="J182" s="898">
        <f>'WK5a - Impact on Rates'!G86</f>
        <v>0</v>
      </c>
      <c r="K182" s="898">
        <f>'WK5a - Impact on Rates'!H86</f>
        <v>0</v>
      </c>
      <c r="L182" s="898">
        <f>'WK5a - Impact on Rates'!I86</f>
        <v>0</v>
      </c>
      <c r="M182" s="898">
        <f>'WK5a - Impact on Rates'!J86</f>
        <v>0</v>
      </c>
      <c r="N182" s="898">
        <f>'WK5a - Impact on Rates'!K86</f>
        <v>0</v>
      </c>
      <c r="O182" s="898">
        <f>'WK5a - Impact on Rates'!L86</f>
        <v>0</v>
      </c>
      <c r="P182" s="135"/>
      <c r="Q182" s="3"/>
      <c r="R182" s="96"/>
      <c r="S182" s="455"/>
      <c r="T182" s="455"/>
      <c r="U182" s="3"/>
      <c r="V182" s="3"/>
      <c r="W182" s="3"/>
      <c r="X182" s="3"/>
      <c r="Y182" s="3"/>
      <c r="Z182" s="3"/>
      <c r="AA182" s="3"/>
      <c r="AB182" s="3"/>
      <c r="AC182" s="3"/>
    </row>
    <row r="183" spans="1:29" outlineLevel="1" x14ac:dyDescent="0.2">
      <c r="A183" s="3"/>
      <c r="B183" s="662" t="str">
        <f>'WK5a - Impact on Rates'!C87</f>
        <v>Mining</v>
      </c>
      <c r="C183" s="692" t="str">
        <f>'WK5a - Impact on Rates'!D87</f>
        <v/>
      </c>
      <c r="D183" s="3"/>
      <c r="E183" s="135"/>
      <c r="F183" s="3"/>
      <c r="G183" s="96"/>
      <c r="H183" s="662">
        <f>'WK5a - Impact on Rates'!E87</f>
        <v>0</v>
      </c>
      <c r="I183" s="898">
        <f>'WK5a - Impact on Rates'!F87</f>
        <v>0</v>
      </c>
      <c r="J183" s="898">
        <f>'WK5a - Impact on Rates'!G87</f>
        <v>0</v>
      </c>
      <c r="K183" s="898">
        <f>'WK5a - Impact on Rates'!H87</f>
        <v>0</v>
      </c>
      <c r="L183" s="898">
        <f>'WK5a - Impact on Rates'!I87</f>
        <v>0</v>
      </c>
      <c r="M183" s="898">
        <f>'WK5a - Impact on Rates'!J87</f>
        <v>0</v>
      </c>
      <c r="N183" s="898">
        <f>'WK5a - Impact on Rates'!K87</f>
        <v>0</v>
      </c>
      <c r="O183" s="898">
        <f>'WK5a - Impact on Rates'!L87</f>
        <v>0</v>
      </c>
      <c r="P183" s="135"/>
      <c r="Q183" s="3"/>
      <c r="R183" s="96"/>
      <c r="S183" s="455"/>
      <c r="T183" s="455"/>
      <c r="U183" s="3"/>
      <c r="V183" s="3"/>
      <c r="W183" s="3"/>
      <c r="X183" s="3"/>
      <c r="Y183" s="3"/>
      <c r="Z183" s="3"/>
      <c r="AA183" s="3"/>
      <c r="AB183" s="3"/>
      <c r="AC183" s="3"/>
    </row>
    <row r="184" spans="1:29" outlineLevel="1" x14ac:dyDescent="0.2">
      <c r="A184" s="3"/>
      <c r="B184" s="662" t="str">
        <f>'WK5a - Impact on Rates'!C88</f>
        <v>Mining</v>
      </c>
      <c r="C184" s="692" t="str">
        <f>'WK5a - Impact on Rates'!D88</f>
        <v/>
      </c>
      <c r="D184" s="3"/>
      <c r="E184" s="135"/>
      <c r="F184" s="3"/>
      <c r="G184" s="96"/>
      <c r="H184" s="662">
        <f>'WK5a - Impact on Rates'!E88</f>
        <v>0</v>
      </c>
      <c r="I184" s="898">
        <f>'WK5a - Impact on Rates'!F88</f>
        <v>0</v>
      </c>
      <c r="J184" s="898">
        <f>'WK5a - Impact on Rates'!G88</f>
        <v>0</v>
      </c>
      <c r="K184" s="898">
        <f>'WK5a - Impact on Rates'!H88</f>
        <v>0</v>
      </c>
      <c r="L184" s="898">
        <f>'WK5a - Impact on Rates'!I88</f>
        <v>0</v>
      </c>
      <c r="M184" s="898">
        <f>'WK5a - Impact on Rates'!J88</f>
        <v>0</v>
      </c>
      <c r="N184" s="898">
        <f>'WK5a - Impact on Rates'!K88</f>
        <v>0</v>
      </c>
      <c r="O184" s="898">
        <f>'WK5a - Impact on Rates'!L88</f>
        <v>0</v>
      </c>
      <c r="P184" s="135"/>
      <c r="Q184" s="3"/>
      <c r="R184" s="96"/>
      <c r="S184" s="455"/>
      <c r="T184" s="455"/>
      <c r="U184" s="3"/>
      <c r="V184" s="3"/>
      <c r="W184" s="3"/>
      <c r="X184" s="3"/>
      <c r="Y184" s="3"/>
      <c r="Z184" s="3"/>
      <c r="AA184" s="3"/>
      <c r="AB184" s="3"/>
      <c r="AC184" s="3"/>
    </row>
    <row r="185" spans="1:29" outlineLevel="1" x14ac:dyDescent="0.2">
      <c r="A185" s="3"/>
      <c r="B185" s="662" t="str">
        <f>'WK5a - Impact on Rates'!C89</f>
        <v>Mining</v>
      </c>
      <c r="C185" s="692" t="str">
        <f>'WK5a - Impact on Rates'!D89</f>
        <v/>
      </c>
      <c r="D185" s="3"/>
      <c r="E185" s="135"/>
      <c r="F185" s="3"/>
      <c r="G185" s="96"/>
      <c r="H185" s="662">
        <f>'WK5a - Impact on Rates'!E89</f>
        <v>0</v>
      </c>
      <c r="I185" s="898">
        <f>'WK5a - Impact on Rates'!F89</f>
        <v>0</v>
      </c>
      <c r="J185" s="898">
        <f>'WK5a - Impact on Rates'!G89</f>
        <v>0</v>
      </c>
      <c r="K185" s="898">
        <f>'WK5a - Impact on Rates'!H89</f>
        <v>0</v>
      </c>
      <c r="L185" s="898">
        <f>'WK5a - Impact on Rates'!I89</f>
        <v>0</v>
      </c>
      <c r="M185" s="898">
        <f>'WK5a - Impact on Rates'!J89</f>
        <v>0</v>
      </c>
      <c r="N185" s="898">
        <f>'WK5a - Impact on Rates'!K89</f>
        <v>0</v>
      </c>
      <c r="O185" s="898">
        <f>'WK5a - Impact on Rates'!L89</f>
        <v>0</v>
      </c>
      <c r="P185" s="135"/>
      <c r="Q185" s="3"/>
      <c r="R185" s="96"/>
      <c r="S185" s="455"/>
      <c r="T185" s="455"/>
      <c r="U185" s="3"/>
      <c r="V185" s="3"/>
      <c r="W185" s="3"/>
      <c r="X185" s="3"/>
      <c r="Y185" s="3"/>
      <c r="Z185" s="3"/>
      <c r="AA185" s="3"/>
      <c r="AB185" s="3"/>
      <c r="AC185" s="3"/>
    </row>
    <row r="186" spans="1:29" outlineLevel="1" x14ac:dyDescent="0.2">
      <c r="A186" s="3"/>
      <c r="B186" s="662" t="str">
        <f>'WK5a - Impact on Rates'!C90</f>
        <v>Mining</v>
      </c>
      <c r="C186" s="692" t="str">
        <f>'WK5a - Impact on Rates'!D90</f>
        <v/>
      </c>
      <c r="D186" s="3"/>
      <c r="E186" s="135"/>
      <c r="F186" s="3"/>
      <c r="G186" s="96"/>
      <c r="H186" s="662">
        <f>'WK5a - Impact on Rates'!E90</f>
        <v>0</v>
      </c>
      <c r="I186" s="898">
        <f>'WK5a - Impact on Rates'!F90</f>
        <v>0</v>
      </c>
      <c r="J186" s="898">
        <f>'WK5a - Impact on Rates'!G90</f>
        <v>0</v>
      </c>
      <c r="K186" s="898">
        <f>'WK5a - Impact on Rates'!H90</f>
        <v>0</v>
      </c>
      <c r="L186" s="898">
        <f>'WK5a - Impact on Rates'!I90</f>
        <v>0</v>
      </c>
      <c r="M186" s="898">
        <f>'WK5a - Impact on Rates'!J90</f>
        <v>0</v>
      </c>
      <c r="N186" s="898">
        <f>'WK5a - Impact on Rates'!K90</f>
        <v>0</v>
      </c>
      <c r="O186" s="898">
        <f>'WK5a - Impact on Rates'!L90</f>
        <v>0</v>
      </c>
      <c r="P186" s="135"/>
      <c r="Q186" s="3"/>
      <c r="R186" s="96"/>
      <c r="S186" s="455"/>
      <c r="T186" s="455"/>
      <c r="U186" s="3"/>
      <c r="V186" s="3"/>
      <c r="W186" s="3"/>
      <c r="X186" s="3"/>
      <c r="Y186" s="3"/>
      <c r="Z186" s="3"/>
      <c r="AA186" s="3"/>
      <c r="AB186" s="3"/>
      <c r="AC186" s="3"/>
    </row>
    <row r="187" spans="1:29" outlineLevel="1" x14ac:dyDescent="0.2">
      <c r="A187" s="3"/>
      <c r="B187" s="662" t="str">
        <f>'WK5a - Impact on Rates'!C91</f>
        <v>Mining</v>
      </c>
      <c r="C187" s="692" t="str">
        <f>'WK5a - Impact on Rates'!D91</f>
        <v/>
      </c>
      <c r="D187" s="3"/>
      <c r="E187" s="135"/>
      <c r="F187" s="3"/>
      <c r="G187" s="96"/>
      <c r="H187" s="662">
        <f>'WK5a - Impact on Rates'!E91</f>
        <v>0</v>
      </c>
      <c r="I187" s="898">
        <f>'WK5a - Impact on Rates'!F91</f>
        <v>0</v>
      </c>
      <c r="J187" s="898">
        <f>'WK5a - Impact on Rates'!G91</f>
        <v>0</v>
      </c>
      <c r="K187" s="898">
        <f>'WK5a - Impact on Rates'!H91</f>
        <v>0</v>
      </c>
      <c r="L187" s="898">
        <f>'WK5a - Impact on Rates'!I91</f>
        <v>0</v>
      </c>
      <c r="M187" s="898">
        <f>'WK5a - Impact on Rates'!J91</f>
        <v>0</v>
      </c>
      <c r="N187" s="898">
        <f>'WK5a - Impact on Rates'!K91</f>
        <v>0</v>
      </c>
      <c r="O187" s="898">
        <f>'WK5a - Impact on Rates'!L91</f>
        <v>0</v>
      </c>
      <c r="P187" s="135"/>
      <c r="Q187" s="3"/>
      <c r="R187" s="96"/>
      <c r="S187" s="455"/>
      <c r="T187" s="455"/>
      <c r="U187" s="3"/>
      <c r="V187" s="3"/>
      <c r="W187" s="3"/>
      <c r="X187" s="3"/>
      <c r="Y187" s="3"/>
      <c r="Z187" s="3"/>
      <c r="AA187" s="3"/>
      <c r="AB187" s="3"/>
      <c r="AC187" s="3"/>
    </row>
    <row r="188" spans="1:29" x14ac:dyDescent="0.2">
      <c r="A188" s="3"/>
      <c r="B188" s="298"/>
      <c r="C188" s="3"/>
      <c r="D188" s="3"/>
      <c r="E188" s="135"/>
      <c r="F188" s="3"/>
      <c r="G188" s="96"/>
      <c r="H188" s="135"/>
      <c r="I188" s="3"/>
      <c r="J188" s="3"/>
      <c r="K188" s="3"/>
      <c r="L188" s="3"/>
      <c r="M188" s="3"/>
      <c r="N188" s="3"/>
      <c r="O188" s="3"/>
      <c r="P188" s="3"/>
      <c r="Q188" s="3"/>
      <c r="R188" s="96"/>
      <c r="S188" s="455"/>
      <c r="T188" s="455"/>
      <c r="U188" s="3"/>
      <c r="V188" s="3"/>
      <c r="W188" s="3"/>
      <c r="X188" s="3"/>
      <c r="Y188" s="3"/>
      <c r="Z188" s="3"/>
      <c r="AA188" s="3"/>
      <c r="AB188" s="3"/>
      <c r="AC188" s="3"/>
    </row>
    <row r="189" spans="1:29" ht="12" x14ac:dyDescent="0.25">
      <c r="A189" s="3"/>
      <c r="B189" s="632" t="str">
        <f>'WK5a - Impact on Rates'!C95</f>
        <v>Average Ordinary and Special Rates - with proposed special variation</v>
      </c>
      <c r="C189" s="3"/>
      <c r="D189" s="3"/>
      <c r="E189" s="135"/>
      <c r="F189" s="3"/>
      <c r="G189" s="96"/>
      <c r="H189" s="135"/>
      <c r="I189" s="3"/>
      <c r="J189" s="3"/>
      <c r="K189" s="3"/>
      <c r="L189" s="3"/>
      <c r="M189" s="3"/>
      <c r="N189" s="3"/>
      <c r="O189" s="96"/>
      <c r="P189" s="3"/>
      <c r="Q189" s="3"/>
      <c r="R189" s="96"/>
      <c r="S189" s="455"/>
      <c r="T189" s="455"/>
      <c r="U189" s="3"/>
      <c r="V189" s="3"/>
      <c r="W189" s="3"/>
      <c r="X189" s="3"/>
      <c r="Y189" s="3"/>
      <c r="Z189" s="3"/>
      <c r="AA189" s="3"/>
      <c r="AB189" s="3"/>
      <c r="AC189" s="3"/>
    </row>
    <row r="190" spans="1:29" x14ac:dyDescent="0.2">
      <c r="A190" s="3"/>
      <c r="B190" s="630" t="str">
        <f>'WK5a - Impact on Rates'!C98</f>
        <v>Residential</v>
      </c>
      <c r="C190" s="619" t="str">
        <f>'WK5a - Impact on Rates'!D98</f>
        <v>Residential</v>
      </c>
      <c r="D190" s="3"/>
      <c r="E190" s="135"/>
      <c r="F190" s="3"/>
      <c r="G190" s="96"/>
      <c r="H190" s="652">
        <f>'WK5a - Impact on Rates'!E98</f>
        <v>1211.0904361392554</v>
      </c>
      <c r="I190" s="653">
        <f>'WK5a - Impact on Rates'!F98</f>
        <v>1314.0809679851384</v>
      </c>
      <c r="J190" s="653">
        <f>'WK5a - Impact on Rates'!G98</f>
        <v>1412.6370405840237</v>
      </c>
      <c r="K190" s="653">
        <f>'WK5a - Impact on Rates'!H98</f>
        <v>1504.4684482219852</v>
      </c>
      <c r="L190" s="653">
        <f>'WK5a - Impact on Rates'!I98</f>
        <v>1587.2142128741943</v>
      </c>
      <c r="M190" s="653">
        <f>'WK5a - Impact on Rates'!J98</f>
        <v>1626.884568196049</v>
      </c>
      <c r="N190" s="653">
        <f>'WK5a - Impact on Rates'!K98</f>
        <v>1667.5566824009502</v>
      </c>
      <c r="O190" s="654">
        <f>'WK5a - Impact on Rates'!L98</f>
        <v>1709.2455994609738</v>
      </c>
      <c r="P190" s="3"/>
      <c r="Q190" s="3"/>
      <c r="R190" s="96"/>
      <c r="S190" s="3"/>
      <c r="T190" s="3"/>
      <c r="U190" s="3"/>
      <c r="V190" s="3"/>
      <c r="W190" s="3"/>
      <c r="X190" s="3"/>
      <c r="Y190" s="3"/>
      <c r="Z190" s="3"/>
      <c r="AA190" s="3"/>
      <c r="AB190" s="3"/>
      <c r="AC190" s="3"/>
    </row>
    <row r="191" spans="1:29" x14ac:dyDescent="0.2">
      <c r="A191" s="3"/>
      <c r="B191" s="630" t="str">
        <f>'WK5a - Impact on Rates'!C99</f>
        <v>Residential</v>
      </c>
      <c r="C191" s="619" t="str">
        <f>'WK5a - Impact on Rates'!D99</f>
        <v/>
      </c>
      <c r="D191" s="3"/>
      <c r="E191" s="135"/>
      <c r="F191" s="3"/>
      <c r="G191" s="96"/>
      <c r="H191" s="652" t="str">
        <f>'WK5a - Impact on Rates'!E99</f>
        <v>.</v>
      </c>
      <c r="I191" s="653" t="str">
        <f>'WK5a - Impact on Rates'!F99</f>
        <v>.</v>
      </c>
      <c r="J191" s="653">
        <f>'WK5a - Impact on Rates'!G99</f>
        <v>0</v>
      </c>
      <c r="K191" s="653">
        <f>'WK5a - Impact on Rates'!H99</f>
        <v>0</v>
      </c>
      <c r="L191" s="653">
        <f>'WK5a - Impact on Rates'!I99</f>
        <v>0</v>
      </c>
      <c r="M191" s="653">
        <f>'WK5a - Impact on Rates'!J99</f>
        <v>0</v>
      </c>
      <c r="N191" s="653">
        <f>'WK5a - Impact on Rates'!K99</f>
        <v>0</v>
      </c>
      <c r="O191" s="654">
        <f>'WK5a - Impact on Rates'!L99</f>
        <v>0</v>
      </c>
      <c r="P191" s="3"/>
      <c r="Q191" s="3"/>
      <c r="R191" s="96"/>
      <c r="S191" s="3"/>
      <c r="T191" s="3"/>
      <c r="U191" s="3"/>
      <c r="V191" s="3"/>
      <c r="W191" s="3"/>
      <c r="X191" s="3"/>
      <c r="Y191" s="3"/>
      <c r="Z191" s="3"/>
      <c r="AA191" s="3"/>
      <c r="AB191" s="3"/>
      <c r="AC191" s="3"/>
    </row>
    <row r="192" spans="1:29" x14ac:dyDescent="0.2">
      <c r="A192" s="3"/>
      <c r="B192" s="630" t="str">
        <f>'WK5a - Impact on Rates'!C100</f>
        <v>Residential</v>
      </c>
      <c r="C192" s="619" t="str">
        <f>'WK5a - Impact on Rates'!D100</f>
        <v/>
      </c>
      <c r="D192" s="3"/>
      <c r="E192" s="135"/>
      <c r="F192" s="3"/>
      <c r="G192" s="96"/>
      <c r="H192" s="652" t="str">
        <f>'WK5a - Impact on Rates'!E100</f>
        <v>.</v>
      </c>
      <c r="I192" s="653" t="str">
        <f>'WK5a - Impact on Rates'!F100</f>
        <v>.</v>
      </c>
      <c r="J192" s="653">
        <f>'WK5a - Impact on Rates'!G100</f>
        <v>0</v>
      </c>
      <c r="K192" s="653">
        <f>'WK5a - Impact on Rates'!H100</f>
        <v>0</v>
      </c>
      <c r="L192" s="653">
        <f>'WK5a - Impact on Rates'!I100</f>
        <v>0</v>
      </c>
      <c r="M192" s="653">
        <f>'WK5a - Impact on Rates'!J100</f>
        <v>0</v>
      </c>
      <c r="N192" s="653">
        <f>'WK5a - Impact on Rates'!K100</f>
        <v>0</v>
      </c>
      <c r="O192" s="654">
        <f>'WK5a - Impact on Rates'!L100</f>
        <v>0</v>
      </c>
      <c r="P192" s="3"/>
      <c r="Q192" s="3"/>
      <c r="R192" s="96"/>
      <c r="S192" s="3"/>
      <c r="T192" s="3"/>
      <c r="U192" s="3"/>
      <c r="V192" s="3"/>
      <c r="W192" s="3"/>
      <c r="X192" s="3"/>
      <c r="Y192" s="3"/>
      <c r="Z192" s="3"/>
      <c r="AA192" s="3"/>
      <c r="AB192" s="3"/>
      <c r="AC192" s="3"/>
    </row>
    <row r="193" spans="1:29" outlineLevel="1" x14ac:dyDescent="0.2">
      <c r="A193" s="3"/>
      <c r="B193" s="630" t="str">
        <f>'WK5a - Impact on Rates'!C101</f>
        <v>Residential</v>
      </c>
      <c r="C193" s="619" t="str">
        <f>'WK5a - Impact on Rates'!D101</f>
        <v/>
      </c>
      <c r="D193" s="3"/>
      <c r="E193" s="135"/>
      <c r="F193" s="3"/>
      <c r="G193" s="96"/>
      <c r="H193" s="652" t="str">
        <f>'WK5a - Impact on Rates'!E101</f>
        <v>.</v>
      </c>
      <c r="I193" s="653" t="str">
        <f>'WK5a - Impact on Rates'!F101</f>
        <v>.</v>
      </c>
      <c r="J193" s="653">
        <f>'WK5a - Impact on Rates'!G101</f>
        <v>0</v>
      </c>
      <c r="K193" s="653">
        <f>'WK5a - Impact on Rates'!H101</f>
        <v>0</v>
      </c>
      <c r="L193" s="653">
        <f>'WK5a - Impact on Rates'!I101</f>
        <v>0</v>
      </c>
      <c r="M193" s="653">
        <f>'WK5a - Impact on Rates'!J101</f>
        <v>0</v>
      </c>
      <c r="N193" s="653">
        <f>'WK5a - Impact on Rates'!K101</f>
        <v>0</v>
      </c>
      <c r="O193" s="654">
        <f>'WK5a - Impact on Rates'!L101</f>
        <v>0</v>
      </c>
      <c r="P193" s="3"/>
      <c r="Q193" s="3"/>
      <c r="R193" s="96"/>
      <c r="S193" s="3"/>
      <c r="T193" s="3"/>
      <c r="U193" s="3"/>
      <c r="V193" s="3"/>
      <c r="W193" s="3"/>
      <c r="X193" s="3"/>
      <c r="Y193" s="3"/>
      <c r="Z193" s="3"/>
      <c r="AA193" s="3"/>
      <c r="AB193" s="3"/>
      <c r="AC193" s="3"/>
    </row>
    <row r="194" spans="1:29" outlineLevel="1" x14ac:dyDescent="0.2">
      <c r="A194" s="3"/>
      <c r="B194" s="630" t="str">
        <f>'WK5a - Impact on Rates'!C102</f>
        <v>Residential</v>
      </c>
      <c r="C194" s="619" t="str">
        <f>'WK5a - Impact on Rates'!D102</f>
        <v/>
      </c>
      <c r="D194" s="3"/>
      <c r="E194" s="135"/>
      <c r="F194" s="3"/>
      <c r="G194" s="96"/>
      <c r="H194" s="652" t="str">
        <f>'WK5a - Impact on Rates'!E102</f>
        <v>.</v>
      </c>
      <c r="I194" s="653" t="str">
        <f>'WK5a - Impact on Rates'!F102</f>
        <v>.</v>
      </c>
      <c r="J194" s="653">
        <f>'WK5a - Impact on Rates'!G102</f>
        <v>0</v>
      </c>
      <c r="K194" s="653">
        <f>'WK5a - Impact on Rates'!H102</f>
        <v>0</v>
      </c>
      <c r="L194" s="653">
        <f>'WK5a - Impact on Rates'!I102</f>
        <v>0</v>
      </c>
      <c r="M194" s="653">
        <f>'WK5a - Impact on Rates'!J102</f>
        <v>0</v>
      </c>
      <c r="N194" s="653">
        <f>'WK5a - Impact on Rates'!K102</f>
        <v>0</v>
      </c>
      <c r="O194" s="654">
        <f>'WK5a - Impact on Rates'!L102</f>
        <v>0</v>
      </c>
      <c r="P194" s="3"/>
      <c r="Q194" s="3"/>
      <c r="R194" s="96"/>
      <c r="S194" s="3"/>
      <c r="T194" s="3"/>
      <c r="U194" s="3"/>
      <c r="V194" s="3"/>
      <c r="W194" s="3"/>
      <c r="X194" s="3"/>
      <c r="Y194" s="3"/>
      <c r="Z194" s="3"/>
      <c r="AA194" s="3"/>
      <c r="AB194" s="3"/>
      <c r="AC194" s="3"/>
    </row>
    <row r="195" spans="1:29" outlineLevel="1" x14ac:dyDescent="0.2">
      <c r="A195" s="3"/>
      <c r="B195" s="630" t="str">
        <f>'WK5a - Impact on Rates'!C103</f>
        <v>Residential</v>
      </c>
      <c r="C195" s="619" t="str">
        <f>'WK5a - Impact on Rates'!D103</f>
        <v/>
      </c>
      <c r="D195" s="3"/>
      <c r="E195" s="135"/>
      <c r="F195" s="3"/>
      <c r="G195" s="96"/>
      <c r="H195" s="652" t="str">
        <f>'WK5a - Impact on Rates'!E103</f>
        <v>.</v>
      </c>
      <c r="I195" s="653" t="str">
        <f>'WK5a - Impact on Rates'!F103</f>
        <v>.</v>
      </c>
      <c r="J195" s="653">
        <f>'WK5a - Impact on Rates'!G103</f>
        <v>0</v>
      </c>
      <c r="K195" s="653">
        <f>'WK5a - Impact on Rates'!H103</f>
        <v>0</v>
      </c>
      <c r="L195" s="653">
        <f>'WK5a - Impact on Rates'!I103</f>
        <v>0</v>
      </c>
      <c r="M195" s="653">
        <f>'WK5a - Impact on Rates'!J103</f>
        <v>0</v>
      </c>
      <c r="N195" s="653">
        <f>'WK5a - Impact on Rates'!K103</f>
        <v>0</v>
      </c>
      <c r="O195" s="654">
        <f>'WK5a - Impact on Rates'!L103</f>
        <v>0</v>
      </c>
      <c r="P195" s="3"/>
      <c r="Q195" s="3"/>
      <c r="R195" s="96"/>
      <c r="S195" s="3"/>
      <c r="T195" s="3"/>
      <c r="U195" s="3"/>
      <c r="V195" s="3"/>
      <c r="W195" s="3"/>
      <c r="X195" s="3"/>
      <c r="Y195" s="3"/>
      <c r="Z195" s="3"/>
      <c r="AA195" s="3"/>
      <c r="AB195" s="3"/>
      <c r="AC195" s="3"/>
    </row>
    <row r="196" spans="1:29" outlineLevel="1" x14ac:dyDescent="0.2">
      <c r="A196" s="3"/>
      <c r="B196" s="630" t="str">
        <f>'WK5a - Impact on Rates'!C104</f>
        <v>Residential</v>
      </c>
      <c r="C196" s="619" t="str">
        <f>'WK5a - Impact on Rates'!D104</f>
        <v/>
      </c>
      <c r="D196" s="3"/>
      <c r="E196" s="135"/>
      <c r="F196" s="3"/>
      <c r="G196" s="96"/>
      <c r="H196" s="652" t="str">
        <f>'WK5a - Impact on Rates'!E104</f>
        <v>.</v>
      </c>
      <c r="I196" s="653" t="str">
        <f>'WK5a - Impact on Rates'!F104</f>
        <v>.</v>
      </c>
      <c r="J196" s="653">
        <f>'WK5a - Impact on Rates'!G104</f>
        <v>0</v>
      </c>
      <c r="K196" s="653">
        <f>'WK5a - Impact on Rates'!H104</f>
        <v>0</v>
      </c>
      <c r="L196" s="653">
        <f>'WK5a - Impact on Rates'!I104</f>
        <v>0</v>
      </c>
      <c r="M196" s="653">
        <f>'WK5a - Impact on Rates'!J104</f>
        <v>0</v>
      </c>
      <c r="N196" s="653">
        <f>'WK5a - Impact on Rates'!K104</f>
        <v>0</v>
      </c>
      <c r="O196" s="654">
        <f>'WK5a - Impact on Rates'!L104</f>
        <v>0</v>
      </c>
      <c r="P196" s="3"/>
      <c r="Q196" s="3"/>
      <c r="R196" s="96"/>
      <c r="S196" s="3"/>
      <c r="T196" s="3"/>
      <c r="U196" s="3"/>
      <c r="V196" s="3"/>
      <c r="W196" s="3"/>
      <c r="X196" s="3"/>
      <c r="Y196" s="3"/>
      <c r="Z196" s="3"/>
      <c r="AA196" s="3"/>
      <c r="AB196" s="3"/>
      <c r="AC196" s="3"/>
    </row>
    <row r="197" spans="1:29" outlineLevel="1" x14ac:dyDescent="0.2">
      <c r="A197" s="3"/>
      <c r="B197" s="630" t="str">
        <f>'WK5a - Impact on Rates'!C105</f>
        <v>Residential</v>
      </c>
      <c r="C197" s="619" t="str">
        <f>'WK5a - Impact on Rates'!D105</f>
        <v/>
      </c>
      <c r="D197" s="3"/>
      <c r="E197" s="135"/>
      <c r="F197" s="3"/>
      <c r="G197" s="96"/>
      <c r="H197" s="652" t="str">
        <f>'WK5a - Impact on Rates'!E105</f>
        <v>.</v>
      </c>
      <c r="I197" s="653" t="str">
        <f>'WK5a - Impact on Rates'!F105</f>
        <v>.</v>
      </c>
      <c r="J197" s="653">
        <f>'WK5a - Impact on Rates'!G105</f>
        <v>0</v>
      </c>
      <c r="K197" s="653">
        <f>'WK5a - Impact on Rates'!H105</f>
        <v>0</v>
      </c>
      <c r="L197" s="653">
        <f>'WK5a - Impact on Rates'!I105</f>
        <v>0</v>
      </c>
      <c r="M197" s="653">
        <f>'WK5a - Impact on Rates'!J105</f>
        <v>0</v>
      </c>
      <c r="N197" s="653">
        <f>'WK5a - Impact on Rates'!K105</f>
        <v>0</v>
      </c>
      <c r="O197" s="654">
        <f>'WK5a - Impact on Rates'!L105</f>
        <v>0</v>
      </c>
      <c r="P197" s="3"/>
      <c r="Q197" s="3"/>
      <c r="R197" s="96"/>
      <c r="S197" s="3"/>
      <c r="T197" s="3"/>
      <c r="U197" s="3"/>
      <c r="V197" s="3"/>
      <c r="W197" s="3"/>
      <c r="X197" s="3"/>
      <c r="Y197" s="3"/>
      <c r="Z197" s="3"/>
      <c r="AA197" s="3"/>
      <c r="AB197" s="3"/>
      <c r="AC197" s="3"/>
    </row>
    <row r="198" spans="1:29" outlineLevel="1" x14ac:dyDescent="0.2">
      <c r="A198" s="3"/>
      <c r="B198" s="630" t="str">
        <f>'WK5a - Impact on Rates'!C106</f>
        <v>Residential</v>
      </c>
      <c r="C198" s="619" t="str">
        <f>'WK5a - Impact on Rates'!D106</f>
        <v/>
      </c>
      <c r="D198" s="3"/>
      <c r="E198" s="135"/>
      <c r="F198" s="3"/>
      <c r="G198" s="96"/>
      <c r="H198" s="652" t="str">
        <f>'WK5a - Impact on Rates'!E106</f>
        <v>.</v>
      </c>
      <c r="I198" s="653" t="str">
        <f>'WK5a - Impact on Rates'!F106</f>
        <v>.</v>
      </c>
      <c r="J198" s="653">
        <f>'WK5a - Impact on Rates'!G106</f>
        <v>0</v>
      </c>
      <c r="K198" s="653">
        <f>'WK5a - Impact on Rates'!H106</f>
        <v>0</v>
      </c>
      <c r="L198" s="653">
        <f>'WK5a - Impact on Rates'!I106</f>
        <v>0</v>
      </c>
      <c r="M198" s="653">
        <f>'WK5a - Impact on Rates'!J106</f>
        <v>0</v>
      </c>
      <c r="N198" s="653">
        <f>'WK5a - Impact on Rates'!K106</f>
        <v>0</v>
      </c>
      <c r="O198" s="654">
        <f>'WK5a - Impact on Rates'!L106</f>
        <v>0</v>
      </c>
      <c r="P198" s="3"/>
      <c r="Q198" s="3"/>
      <c r="R198" s="96"/>
      <c r="S198" s="3"/>
      <c r="T198" s="3"/>
      <c r="U198" s="3"/>
      <c r="V198" s="3"/>
      <c r="W198" s="3"/>
      <c r="X198" s="3"/>
      <c r="Y198" s="3"/>
      <c r="Z198" s="3"/>
      <c r="AA198" s="3"/>
      <c r="AB198" s="3"/>
      <c r="AC198" s="3"/>
    </row>
    <row r="199" spans="1:29" outlineLevel="1" x14ac:dyDescent="0.2">
      <c r="A199" s="3"/>
      <c r="B199" s="630" t="str">
        <f>'WK5a - Impact on Rates'!C107</f>
        <v>Residential</v>
      </c>
      <c r="C199" s="619" t="str">
        <f>'WK5a - Impact on Rates'!D107</f>
        <v/>
      </c>
      <c r="D199" s="3"/>
      <c r="E199" s="135"/>
      <c r="F199" s="3"/>
      <c r="G199" s="96"/>
      <c r="H199" s="652" t="str">
        <f>'WK5a - Impact on Rates'!E107</f>
        <v>.</v>
      </c>
      <c r="I199" s="653" t="str">
        <f>'WK5a - Impact on Rates'!F107</f>
        <v>.</v>
      </c>
      <c r="J199" s="653">
        <f>'WK5a - Impact on Rates'!G107</f>
        <v>0</v>
      </c>
      <c r="K199" s="653">
        <f>'WK5a - Impact on Rates'!H107</f>
        <v>0</v>
      </c>
      <c r="L199" s="653">
        <f>'WK5a - Impact on Rates'!I107</f>
        <v>0</v>
      </c>
      <c r="M199" s="653">
        <f>'WK5a - Impact on Rates'!J107</f>
        <v>0</v>
      </c>
      <c r="N199" s="653">
        <f>'WK5a - Impact on Rates'!K107</f>
        <v>0</v>
      </c>
      <c r="O199" s="654">
        <f>'WK5a - Impact on Rates'!L107</f>
        <v>0</v>
      </c>
      <c r="P199" s="3"/>
      <c r="Q199" s="3"/>
      <c r="R199" s="96"/>
      <c r="S199" s="3"/>
      <c r="T199" s="3"/>
      <c r="U199" s="3"/>
      <c r="V199" s="3"/>
      <c r="W199" s="3"/>
      <c r="X199" s="3"/>
      <c r="Y199" s="3"/>
      <c r="Z199" s="3"/>
      <c r="AA199" s="3"/>
      <c r="AB199" s="3"/>
      <c r="AC199" s="3"/>
    </row>
    <row r="200" spans="1:29" outlineLevel="1" x14ac:dyDescent="0.2">
      <c r="A200" s="3"/>
      <c r="B200" s="630" t="str">
        <f>'WK5a - Impact on Rates'!C108</f>
        <v>Residential</v>
      </c>
      <c r="C200" s="619" t="str">
        <f>'WK5a - Impact on Rates'!D108</f>
        <v/>
      </c>
      <c r="D200" s="3"/>
      <c r="E200" s="135"/>
      <c r="F200" s="3"/>
      <c r="G200" s="96"/>
      <c r="H200" s="652" t="str">
        <f>'WK5a - Impact on Rates'!E108</f>
        <v>.</v>
      </c>
      <c r="I200" s="653" t="str">
        <f>'WK5a - Impact on Rates'!F108</f>
        <v>.</v>
      </c>
      <c r="J200" s="653">
        <f>'WK5a - Impact on Rates'!G108</f>
        <v>0</v>
      </c>
      <c r="K200" s="653">
        <f>'WK5a - Impact on Rates'!H108</f>
        <v>0</v>
      </c>
      <c r="L200" s="653">
        <f>'WK5a - Impact on Rates'!I108</f>
        <v>0</v>
      </c>
      <c r="M200" s="653">
        <f>'WK5a - Impact on Rates'!J108</f>
        <v>0</v>
      </c>
      <c r="N200" s="653">
        <f>'WK5a - Impact on Rates'!K108</f>
        <v>0</v>
      </c>
      <c r="O200" s="654">
        <f>'WK5a - Impact on Rates'!L108</f>
        <v>0</v>
      </c>
      <c r="P200" s="3"/>
      <c r="Q200" s="3"/>
      <c r="R200" s="96"/>
      <c r="S200" s="3"/>
      <c r="T200" s="3"/>
      <c r="U200" s="3"/>
      <c r="V200" s="3"/>
      <c r="W200" s="3"/>
      <c r="X200" s="3"/>
      <c r="Y200" s="3"/>
      <c r="Z200" s="3"/>
      <c r="AA200" s="3"/>
      <c r="AB200" s="3"/>
      <c r="AC200" s="3"/>
    </row>
    <row r="201" spans="1:29" outlineLevel="1" x14ac:dyDescent="0.2">
      <c r="A201" s="3"/>
      <c r="B201" s="630" t="str">
        <f>'WK5a - Impact on Rates'!C109</f>
        <v>Residential</v>
      </c>
      <c r="C201" s="619" t="str">
        <f>'WK5a - Impact on Rates'!D109</f>
        <v/>
      </c>
      <c r="D201" s="3"/>
      <c r="E201" s="135"/>
      <c r="F201" s="3"/>
      <c r="G201" s="96"/>
      <c r="H201" s="652" t="str">
        <f>'WK5a - Impact on Rates'!E109</f>
        <v>.</v>
      </c>
      <c r="I201" s="653" t="str">
        <f>'WK5a - Impact on Rates'!F109</f>
        <v>.</v>
      </c>
      <c r="J201" s="653">
        <f>'WK5a - Impact on Rates'!G109</f>
        <v>0</v>
      </c>
      <c r="K201" s="653">
        <f>'WK5a - Impact on Rates'!H109</f>
        <v>0</v>
      </c>
      <c r="L201" s="653">
        <f>'WK5a - Impact on Rates'!I109</f>
        <v>0</v>
      </c>
      <c r="M201" s="653">
        <f>'WK5a - Impact on Rates'!J109</f>
        <v>0</v>
      </c>
      <c r="N201" s="653">
        <f>'WK5a - Impact on Rates'!K109</f>
        <v>0</v>
      </c>
      <c r="O201" s="654">
        <f>'WK5a - Impact on Rates'!L109</f>
        <v>0</v>
      </c>
      <c r="P201" s="3"/>
      <c r="Q201" s="3"/>
      <c r="R201" s="96"/>
      <c r="S201" s="3"/>
      <c r="T201" s="3"/>
      <c r="U201" s="3"/>
      <c r="V201" s="3"/>
      <c r="W201" s="3"/>
      <c r="X201" s="3"/>
      <c r="Y201" s="3"/>
      <c r="Z201" s="3"/>
      <c r="AA201" s="3"/>
      <c r="AB201" s="3"/>
      <c r="AC201" s="3"/>
    </row>
    <row r="202" spans="1:29" outlineLevel="1" x14ac:dyDescent="0.2">
      <c r="A202" s="3"/>
      <c r="B202" s="630" t="str">
        <f>'WK5a - Impact on Rates'!C110</f>
        <v>Residential</v>
      </c>
      <c r="C202" s="619" t="str">
        <f>'WK5a - Impact on Rates'!D110</f>
        <v/>
      </c>
      <c r="D202" s="3"/>
      <c r="E202" s="135"/>
      <c r="F202" s="3"/>
      <c r="G202" s="96"/>
      <c r="H202" s="652" t="str">
        <f>'WK5a - Impact on Rates'!E110</f>
        <v>.</v>
      </c>
      <c r="I202" s="653" t="str">
        <f>'WK5a - Impact on Rates'!F110</f>
        <v>.</v>
      </c>
      <c r="J202" s="653">
        <f>'WK5a - Impact on Rates'!G110</f>
        <v>0</v>
      </c>
      <c r="K202" s="653">
        <f>'WK5a - Impact on Rates'!H110</f>
        <v>0</v>
      </c>
      <c r="L202" s="653">
        <f>'WK5a - Impact on Rates'!I110</f>
        <v>0</v>
      </c>
      <c r="M202" s="653">
        <f>'WK5a - Impact on Rates'!J110</f>
        <v>0</v>
      </c>
      <c r="N202" s="653">
        <f>'WK5a - Impact on Rates'!K110</f>
        <v>0</v>
      </c>
      <c r="O202" s="654">
        <f>'WK5a - Impact on Rates'!L110</f>
        <v>0</v>
      </c>
      <c r="P202" s="3"/>
      <c r="Q202" s="3"/>
      <c r="R202" s="96"/>
      <c r="S202" s="3"/>
      <c r="T202" s="3"/>
      <c r="U202" s="3"/>
      <c r="V202" s="3"/>
      <c r="W202" s="3"/>
      <c r="X202" s="3"/>
      <c r="Y202" s="3"/>
      <c r="Z202" s="3"/>
      <c r="AA202" s="3"/>
      <c r="AB202" s="3"/>
      <c r="AC202" s="3"/>
    </row>
    <row r="203" spans="1:29" outlineLevel="1" x14ac:dyDescent="0.2">
      <c r="A203" s="3"/>
      <c r="B203" s="630" t="str">
        <f>'WK5a - Impact on Rates'!C111</f>
        <v>Residential</v>
      </c>
      <c r="C203" s="619" t="str">
        <f>'WK5a - Impact on Rates'!D111</f>
        <v/>
      </c>
      <c r="D203" s="3"/>
      <c r="E203" s="135"/>
      <c r="F203" s="3"/>
      <c r="G203" s="96"/>
      <c r="H203" s="652" t="str">
        <f>'WK5a - Impact on Rates'!E111</f>
        <v>.</v>
      </c>
      <c r="I203" s="653" t="str">
        <f>'WK5a - Impact on Rates'!F111</f>
        <v>.</v>
      </c>
      <c r="J203" s="653">
        <f>'WK5a - Impact on Rates'!G111</f>
        <v>0</v>
      </c>
      <c r="K203" s="653">
        <f>'WK5a - Impact on Rates'!H111</f>
        <v>0</v>
      </c>
      <c r="L203" s="653">
        <f>'WK5a - Impact on Rates'!I111</f>
        <v>0</v>
      </c>
      <c r="M203" s="653">
        <f>'WK5a - Impact on Rates'!J111</f>
        <v>0</v>
      </c>
      <c r="N203" s="653">
        <f>'WK5a - Impact on Rates'!K111</f>
        <v>0</v>
      </c>
      <c r="O203" s="654">
        <f>'WK5a - Impact on Rates'!L111</f>
        <v>0</v>
      </c>
      <c r="P203" s="3"/>
      <c r="Q203" s="3"/>
      <c r="R203" s="96"/>
      <c r="S203" s="3"/>
      <c r="T203" s="3"/>
      <c r="U203" s="3"/>
      <c r="V203" s="3"/>
      <c r="W203" s="3"/>
      <c r="X203" s="3"/>
      <c r="Y203" s="3"/>
      <c r="Z203" s="3"/>
      <c r="AA203" s="3"/>
      <c r="AB203" s="3"/>
      <c r="AC203" s="3"/>
    </row>
    <row r="204" spans="1:29" outlineLevel="1" x14ac:dyDescent="0.2">
      <c r="A204" s="3"/>
      <c r="B204" s="630" t="str">
        <f>'WK5a - Impact on Rates'!C112</f>
        <v>Residential</v>
      </c>
      <c r="C204" s="619" t="str">
        <f>'WK5a - Impact on Rates'!D112</f>
        <v/>
      </c>
      <c r="D204" s="3"/>
      <c r="E204" s="135"/>
      <c r="F204" s="3"/>
      <c r="G204" s="96"/>
      <c r="H204" s="652" t="str">
        <f>'WK5a - Impact on Rates'!E112</f>
        <v>.</v>
      </c>
      <c r="I204" s="653" t="str">
        <f>'WK5a - Impact on Rates'!F112</f>
        <v>.</v>
      </c>
      <c r="J204" s="653">
        <f>'WK5a - Impact on Rates'!G112</f>
        <v>0</v>
      </c>
      <c r="K204" s="653">
        <f>'WK5a - Impact on Rates'!H112</f>
        <v>0</v>
      </c>
      <c r="L204" s="653">
        <f>'WK5a - Impact on Rates'!I112</f>
        <v>0</v>
      </c>
      <c r="M204" s="653">
        <f>'WK5a - Impact on Rates'!J112</f>
        <v>0</v>
      </c>
      <c r="N204" s="653">
        <f>'WK5a - Impact on Rates'!K112</f>
        <v>0</v>
      </c>
      <c r="O204" s="654">
        <f>'WK5a - Impact on Rates'!L112</f>
        <v>0</v>
      </c>
      <c r="P204" s="3"/>
      <c r="Q204" s="3"/>
      <c r="R204" s="96"/>
      <c r="S204" s="3"/>
      <c r="T204" s="3"/>
      <c r="U204" s="3"/>
      <c r="V204" s="3"/>
      <c r="W204" s="3"/>
      <c r="X204" s="3"/>
      <c r="Y204" s="3"/>
      <c r="Z204" s="3"/>
      <c r="AA204" s="3"/>
      <c r="AB204" s="3"/>
      <c r="AC204" s="3"/>
    </row>
    <row r="205" spans="1:29" outlineLevel="1" x14ac:dyDescent="0.2">
      <c r="A205" s="3"/>
      <c r="B205" s="630" t="str">
        <f>'WK5a - Impact on Rates'!C113</f>
        <v>Residential</v>
      </c>
      <c r="C205" s="619" t="str">
        <f>'WK5a - Impact on Rates'!D113</f>
        <v/>
      </c>
      <c r="D205" s="3"/>
      <c r="E205" s="135"/>
      <c r="F205" s="3"/>
      <c r="G205" s="96"/>
      <c r="H205" s="652" t="str">
        <f>'WK5a - Impact on Rates'!E113</f>
        <v>.</v>
      </c>
      <c r="I205" s="653" t="str">
        <f>'WK5a - Impact on Rates'!F113</f>
        <v>.</v>
      </c>
      <c r="J205" s="653">
        <f>'WK5a - Impact on Rates'!G113</f>
        <v>0</v>
      </c>
      <c r="K205" s="653">
        <f>'WK5a - Impact on Rates'!H113</f>
        <v>0</v>
      </c>
      <c r="L205" s="653">
        <f>'WK5a - Impact on Rates'!I113</f>
        <v>0</v>
      </c>
      <c r="M205" s="653">
        <f>'WK5a - Impact on Rates'!J113</f>
        <v>0</v>
      </c>
      <c r="N205" s="653">
        <f>'WK5a - Impact on Rates'!K113</f>
        <v>0</v>
      </c>
      <c r="O205" s="654">
        <f>'WK5a - Impact on Rates'!L113</f>
        <v>0</v>
      </c>
      <c r="P205" s="3"/>
      <c r="Q205" s="3"/>
      <c r="R205" s="96"/>
      <c r="S205" s="3"/>
      <c r="T205" s="3"/>
      <c r="U205" s="3"/>
      <c r="V205" s="3"/>
      <c r="W205" s="3"/>
      <c r="X205" s="3"/>
      <c r="Y205" s="3"/>
      <c r="Z205" s="3"/>
      <c r="AA205" s="3"/>
      <c r="AB205" s="3"/>
      <c r="AC205" s="3"/>
    </row>
    <row r="206" spans="1:29" outlineLevel="1" x14ac:dyDescent="0.2">
      <c r="A206" s="3"/>
      <c r="B206" s="630" t="str">
        <f>'WK5a - Impact on Rates'!C114</f>
        <v>Residential</v>
      </c>
      <c r="C206" s="619" t="str">
        <f>'WK5a - Impact on Rates'!D114</f>
        <v/>
      </c>
      <c r="D206" s="3"/>
      <c r="E206" s="135"/>
      <c r="F206" s="3"/>
      <c r="G206" s="96"/>
      <c r="H206" s="652" t="str">
        <f>'WK5a - Impact on Rates'!E114</f>
        <v>.</v>
      </c>
      <c r="I206" s="653" t="str">
        <f>'WK5a - Impact on Rates'!F114</f>
        <v>.</v>
      </c>
      <c r="J206" s="653">
        <f>'WK5a - Impact on Rates'!G114</f>
        <v>0</v>
      </c>
      <c r="K206" s="653">
        <f>'WK5a - Impact on Rates'!H114</f>
        <v>0</v>
      </c>
      <c r="L206" s="653">
        <f>'WK5a - Impact on Rates'!I114</f>
        <v>0</v>
      </c>
      <c r="M206" s="653">
        <f>'WK5a - Impact on Rates'!J114</f>
        <v>0</v>
      </c>
      <c r="N206" s="653">
        <f>'WK5a - Impact on Rates'!K114</f>
        <v>0</v>
      </c>
      <c r="O206" s="654">
        <f>'WK5a - Impact on Rates'!L114</f>
        <v>0</v>
      </c>
      <c r="P206" s="3"/>
      <c r="Q206" s="3"/>
      <c r="R206" s="96"/>
      <c r="S206" s="3"/>
      <c r="T206" s="3"/>
      <c r="U206" s="3"/>
      <c r="V206" s="3"/>
      <c r="W206" s="3"/>
      <c r="X206" s="3"/>
      <c r="Y206" s="3"/>
      <c r="Z206" s="3"/>
      <c r="AA206" s="3"/>
      <c r="AB206" s="3"/>
      <c r="AC206" s="3"/>
    </row>
    <row r="207" spans="1:29" outlineLevel="1" x14ac:dyDescent="0.2">
      <c r="A207" s="3"/>
      <c r="B207" s="630" t="str">
        <f>'WK5a - Impact on Rates'!C115</f>
        <v>Residential</v>
      </c>
      <c r="C207" s="619" t="str">
        <f>'WK5a - Impact on Rates'!D115</f>
        <v/>
      </c>
      <c r="D207" s="3"/>
      <c r="E207" s="135"/>
      <c r="F207" s="3"/>
      <c r="G207" s="96"/>
      <c r="H207" s="652" t="str">
        <f>'WK5a - Impact on Rates'!E115</f>
        <v>.</v>
      </c>
      <c r="I207" s="653" t="str">
        <f>'WK5a - Impact on Rates'!F115</f>
        <v>.</v>
      </c>
      <c r="J207" s="653">
        <f>'WK5a - Impact on Rates'!G115</f>
        <v>0</v>
      </c>
      <c r="K207" s="653">
        <f>'WK5a - Impact on Rates'!H115</f>
        <v>0</v>
      </c>
      <c r="L207" s="653">
        <f>'WK5a - Impact on Rates'!I115</f>
        <v>0</v>
      </c>
      <c r="M207" s="653">
        <f>'WK5a - Impact on Rates'!J115</f>
        <v>0</v>
      </c>
      <c r="N207" s="653">
        <f>'WK5a - Impact on Rates'!K115</f>
        <v>0</v>
      </c>
      <c r="O207" s="654">
        <f>'WK5a - Impact on Rates'!L115</f>
        <v>0</v>
      </c>
      <c r="P207" s="3"/>
      <c r="Q207" s="3"/>
      <c r="R207" s="96"/>
      <c r="S207" s="3"/>
      <c r="T207" s="3"/>
      <c r="U207" s="3"/>
      <c r="V207" s="3"/>
      <c r="W207" s="3"/>
      <c r="X207" s="3"/>
      <c r="Y207" s="3"/>
      <c r="Z207" s="3"/>
      <c r="AA207" s="3"/>
      <c r="AB207" s="3"/>
      <c r="AC207" s="3"/>
    </row>
    <row r="208" spans="1:29" outlineLevel="1" x14ac:dyDescent="0.2">
      <c r="A208" s="3"/>
      <c r="B208" s="630" t="str">
        <f>'WK5a - Impact on Rates'!C116</f>
        <v>Residential</v>
      </c>
      <c r="C208" s="619" t="str">
        <f>'WK5a - Impact on Rates'!D116</f>
        <v/>
      </c>
      <c r="D208" s="3"/>
      <c r="E208" s="135"/>
      <c r="F208" s="3"/>
      <c r="G208" s="96"/>
      <c r="H208" s="652" t="str">
        <f>'WK5a - Impact on Rates'!E116</f>
        <v>.</v>
      </c>
      <c r="I208" s="653" t="str">
        <f>'WK5a - Impact on Rates'!F116</f>
        <v>.</v>
      </c>
      <c r="J208" s="653">
        <f>'WK5a - Impact on Rates'!G116</f>
        <v>0</v>
      </c>
      <c r="K208" s="653">
        <f>'WK5a - Impact on Rates'!H116</f>
        <v>0</v>
      </c>
      <c r="L208" s="653">
        <f>'WK5a - Impact on Rates'!I116</f>
        <v>0</v>
      </c>
      <c r="M208" s="653">
        <f>'WK5a - Impact on Rates'!J116</f>
        <v>0</v>
      </c>
      <c r="N208" s="653">
        <f>'WK5a - Impact on Rates'!K116</f>
        <v>0</v>
      </c>
      <c r="O208" s="654">
        <f>'WK5a - Impact on Rates'!L116</f>
        <v>0</v>
      </c>
      <c r="P208" s="3"/>
      <c r="Q208" s="3"/>
      <c r="R208" s="96"/>
      <c r="S208" s="3"/>
      <c r="T208" s="3"/>
      <c r="U208" s="3"/>
      <c r="V208" s="3"/>
      <c r="W208" s="3"/>
      <c r="X208" s="3"/>
      <c r="Y208" s="3"/>
      <c r="Z208" s="3"/>
      <c r="AA208" s="3"/>
      <c r="AB208" s="3"/>
      <c r="AC208" s="3"/>
    </row>
    <row r="209" spans="1:29" outlineLevel="1" x14ac:dyDescent="0.2">
      <c r="A209" s="3"/>
      <c r="B209" s="630" t="str">
        <f>'WK5a - Impact on Rates'!C117</f>
        <v>Residential</v>
      </c>
      <c r="C209" s="619" t="str">
        <f>'WK5a - Impact on Rates'!D117</f>
        <v/>
      </c>
      <c r="D209" s="3"/>
      <c r="E209" s="135"/>
      <c r="F209" s="3"/>
      <c r="G209" s="96"/>
      <c r="H209" s="652" t="str">
        <f>'WK5a - Impact on Rates'!E117</f>
        <v>.</v>
      </c>
      <c r="I209" s="653" t="str">
        <f>'WK5a - Impact on Rates'!F117</f>
        <v>.</v>
      </c>
      <c r="J209" s="653">
        <f>'WK5a - Impact on Rates'!G117</f>
        <v>0</v>
      </c>
      <c r="K209" s="653">
        <f>'WK5a - Impact on Rates'!H117</f>
        <v>0</v>
      </c>
      <c r="L209" s="653">
        <f>'WK5a - Impact on Rates'!I117</f>
        <v>0</v>
      </c>
      <c r="M209" s="653">
        <f>'WK5a - Impact on Rates'!J117</f>
        <v>0</v>
      </c>
      <c r="N209" s="653">
        <f>'WK5a - Impact on Rates'!K117</f>
        <v>0</v>
      </c>
      <c r="O209" s="654">
        <f>'WK5a - Impact on Rates'!L117</f>
        <v>0</v>
      </c>
      <c r="P209" s="3"/>
      <c r="Q209" s="3"/>
      <c r="R209" s="96"/>
      <c r="S209" s="3"/>
      <c r="T209" s="3"/>
      <c r="U209" s="3"/>
      <c r="V209" s="3"/>
      <c r="W209" s="3"/>
      <c r="X209" s="3"/>
      <c r="Y209" s="3"/>
      <c r="Z209" s="3"/>
      <c r="AA209" s="3"/>
      <c r="AB209" s="3"/>
      <c r="AC209" s="3"/>
    </row>
    <row r="210" spans="1:29" x14ac:dyDescent="0.2">
      <c r="A210" s="3"/>
      <c r="B210" s="630" t="str">
        <f>'WK5a - Impact on Rates'!C118</f>
        <v>Special rate</v>
      </c>
      <c r="C210" s="619" t="str">
        <f>'WK5a - Impact on Rates'!D118</f>
        <v>Cachments - Residential</v>
      </c>
      <c r="D210" s="3"/>
      <c r="E210" s="135"/>
      <c r="F210" s="3"/>
      <c r="G210" s="96"/>
      <c r="H210" s="652">
        <f>'WK5a - Impact on Rates'!E118</f>
        <v>60.553196271248837</v>
      </c>
      <c r="I210" s="653">
        <f>'WK5a - Impact on Rates'!F118</f>
        <v>65.650995802686865</v>
      </c>
      <c r="J210" s="653">
        <f>'WK5a - Impact on Rates'!G118</f>
        <v>70.574820487888374</v>
      </c>
      <c r="K210" s="653">
        <f>'WK5a - Impact on Rates'!H118</f>
        <v>75.162183819601111</v>
      </c>
      <c r="L210" s="653">
        <f>'WK5a - Impact on Rates'!I118</f>
        <v>79.296103929679163</v>
      </c>
      <c r="M210" s="653">
        <f>'WK5a - Impact on Rates'!J118</f>
        <v>81.278506527921138</v>
      </c>
      <c r="N210" s="653">
        <f>'WK5a - Impact on Rates'!K118</f>
        <v>83.310469191119154</v>
      </c>
      <c r="O210" s="654">
        <f>'WK5a - Impact on Rates'!L118</f>
        <v>85.393230920897125</v>
      </c>
      <c r="P210" s="3"/>
      <c r="Q210" s="3"/>
      <c r="R210" s="96"/>
      <c r="S210" s="3"/>
      <c r="T210" s="3"/>
      <c r="U210" s="3"/>
      <c r="V210" s="3"/>
      <c r="W210" s="3"/>
      <c r="X210" s="3"/>
      <c r="Y210" s="3"/>
      <c r="Z210" s="3"/>
      <c r="AA210" s="3"/>
      <c r="AB210" s="3"/>
      <c r="AC210" s="3"/>
    </row>
    <row r="211" spans="1:29" x14ac:dyDescent="0.2">
      <c r="A211" s="3"/>
      <c r="B211" s="630" t="str">
        <f>'WK5a - Impact on Rates'!C119</f>
        <v>Special rate</v>
      </c>
      <c r="C211" s="619" t="str">
        <f>'WK5a - Impact on Rates'!D119</f>
        <v/>
      </c>
      <c r="D211" s="3"/>
      <c r="E211" s="135"/>
      <c r="F211" s="3"/>
      <c r="G211" s="96"/>
      <c r="H211" s="652" t="str">
        <f>'WK5a - Impact on Rates'!E119</f>
        <v>.</v>
      </c>
      <c r="I211" s="653" t="str">
        <f>'WK5a - Impact on Rates'!F119</f>
        <v>.</v>
      </c>
      <c r="J211" s="653">
        <f>'WK5a - Impact on Rates'!G119</f>
        <v>0</v>
      </c>
      <c r="K211" s="653">
        <f>'WK5a - Impact on Rates'!H119</f>
        <v>0</v>
      </c>
      <c r="L211" s="653">
        <f>'WK5a - Impact on Rates'!I119</f>
        <v>0</v>
      </c>
      <c r="M211" s="653">
        <f>'WK5a - Impact on Rates'!J119</f>
        <v>0</v>
      </c>
      <c r="N211" s="653">
        <f>'WK5a - Impact on Rates'!K119</f>
        <v>0</v>
      </c>
      <c r="O211" s="654">
        <f>'WK5a - Impact on Rates'!L119</f>
        <v>0</v>
      </c>
      <c r="P211" s="3"/>
      <c r="Q211" s="3"/>
      <c r="R211" s="96"/>
      <c r="S211" s="3"/>
      <c r="T211" s="3"/>
      <c r="U211" s="3"/>
      <c r="V211" s="3"/>
      <c r="W211" s="3"/>
      <c r="X211" s="3"/>
      <c r="Y211" s="3"/>
      <c r="Z211" s="3"/>
      <c r="AA211" s="3"/>
      <c r="AB211" s="3"/>
      <c r="AC211" s="3"/>
    </row>
    <row r="212" spans="1:29" x14ac:dyDescent="0.2">
      <c r="A212" s="3"/>
      <c r="B212" s="630" t="str">
        <f>'WK5a - Impact on Rates'!C120</f>
        <v>Special rate</v>
      </c>
      <c r="C212" s="619" t="str">
        <f>'WK5a - Impact on Rates'!D120</f>
        <v/>
      </c>
      <c r="D212" s="3"/>
      <c r="E212" s="135"/>
      <c r="F212" s="3"/>
      <c r="G212" s="96"/>
      <c r="H212" s="652" t="str">
        <f>'WK5a - Impact on Rates'!E120</f>
        <v>.</v>
      </c>
      <c r="I212" s="653" t="str">
        <f>'WK5a - Impact on Rates'!F120</f>
        <v>.</v>
      </c>
      <c r="J212" s="653">
        <f>'WK5a - Impact on Rates'!G120</f>
        <v>0</v>
      </c>
      <c r="K212" s="653">
        <f>'WK5a - Impact on Rates'!H120</f>
        <v>0</v>
      </c>
      <c r="L212" s="653">
        <f>'WK5a - Impact on Rates'!I120</f>
        <v>0</v>
      </c>
      <c r="M212" s="653">
        <f>'WK5a - Impact on Rates'!J120</f>
        <v>0</v>
      </c>
      <c r="N212" s="653">
        <f>'WK5a - Impact on Rates'!K120</f>
        <v>0</v>
      </c>
      <c r="O212" s="654">
        <f>'WK5a - Impact on Rates'!L120</f>
        <v>0</v>
      </c>
      <c r="P212" s="3"/>
      <c r="Q212" s="3"/>
      <c r="R212" s="96"/>
      <c r="S212" s="3"/>
      <c r="T212" s="3"/>
      <c r="U212" s="3"/>
      <c r="V212" s="3"/>
      <c r="W212" s="3"/>
      <c r="X212" s="3"/>
      <c r="Y212" s="3"/>
      <c r="Z212" s="3"/>
      <c r="AA212" s="3"/>
      <c r="AB212" s="3"/>
      <c r="AC212" s="3"/>
    </row>
    <row r="213" spans="1:29" outlineLevel="1" x14ac:dyDescent="0.2">
      <c r="A213" s="3"/>
      <c r="B213" s="630" t="str">
        <f>'WK5a - Impact on Rates'!C121</f>
        <v>Special rate</v>
      </c>
      <c r="C213" s="619" t="str">
        <f>'WK5a - Impact on Rates'!D121</f>
        <v/>
      </c>
      <c r="D213" s="3"/>
      <c r="E213" s="135"/>
      <c r="F213" s="3"/>
      <c r="G213" s="96"/>
      <c r="H213" s="652" t="str">
        <f>'WK5a - Impact on Rates'!E121</f>
        <v>.</v>
      </c>
      <c r="I213" s="653" t="str">
        <f>'WK5a - Impact on Rates'!F121</f>
        <v>.</v>
      </c>
      <c r="J213" s="653">
        <f>'WK5a - Impact on Rates'!G121</f>
        <v>0</v>
      </c>
      <c r="K213" s="653">
        <f>'WK5a - Impact on Rates'!H121</f>
        <v>0</v>
      </c>
      <c r="L213" s="653">
        <f>'WK5a - Impact on Rates'!I121</f>
        <v>0</v>
      </c>
      <c r="M213" s="653">
        <f>'WK5a - Impact on Rates'!J121</f>
        <v>0</v>
      </c>
      <c r="N213" s="653">
        <f>'WK5a - Impact on Rates'!K121</f>
        <v>0</v>
      </c>
      <c r="O213" s="654">
        <f>'WK5a - Impact on Rates'!L121</f>
        <v>0</v>
      </c>
      <c r="P213" s="3"/>
      <c r="Q213" s="3"/>
      <c r="R213" s="96"/>
      <c r="S213" s="3"/>
      <c r="T213" s="3"/>
      <c r="U213" s="3"/>
      <c r="V213" s="3"/>
      <c r="W213" s="3"/>
      <c r="X213" s="3"/>
      <c r="Y213" s="3"/>
      <c r="Z213" s="3"/>
      <c r="AA213" s="3"/>
      <c r="AB213" s="3"/>
      <c r="AC213" s="3"/>
    </row>
    <row r="214" spans="1:29" outlineLevel="1" x14ac:dyDescent="0.2">
      <c r="A214" s="3"/>
      <c r="B214" s="630" t="str">
        <f>'WK5a - Impact on Rates'!C122</f>
        <v>Special rate</v>
      </c>
      <c r="C214" s="619" t="str">
        <f>'WK5a - Impact on Rates'!D122</f>
        <v/>
      </c>
      <c r="D214" s="3"/>
      <c r="E214" s="135"/>
      <c r="F214" s="3"/>
      <c r="G214" s="96"/>
      <c r="H214" s="652" t="str">
        <f>'WK5a - Impact on Rates'!E122</f>
        <v>.</v>
      </c>
      <c r="I214" s="653" t="str">
        <f>'WK5a - Impact on Rates'!F122</f>
        <v>.</v>
      </c>
      <c r="J214" s="653">
        <f>'WK5a - Impact on Rates'!G122</f>
        <v>0</v>
      </c>
      <c r="K214" s="653">
        <f>'WK5a - Impact on Rates'!H122</f>
        <v>0</v>
      </c>
      <c r="L214" s="653">
        <f>'WK5a - Impact on Rates'!I122</f>
        <v>0</v>
      </c>
      <c r="M214" s="653">
        <f>'WK5a - Impact on Rates'!J122</f>
        <v>0</v>
      </c>
      <c r="N214" s="653">
        <f>'WK5a - Impact on Rates'!K122</f>
        <v>0</v>
      </c>
      <c r="O214" s="654">
        <f>'WK5a - Impact on Rates'!L122</f>
        <v>0</v>
      </c>
      <c r="P214" s="3"/>
      <c r="Q214" s="3"/>
      <c r="R214" s="96"/>
      <c r="S214" s="3"/>
      <c r="T214" s="3"/>
      <c r="U214" s="3"/>
      <c r="V214" s="3"/>
      <c r="W214" s="3"/>
      <c r="X214" s="3"/>
      <c r="Y214" s="3"/>
      <c r="Z214" s="3"/>
      <c r="AA214" s="3"/>
      <c r="AB214" s="3"/>
      <c r="AC214" s="3"/>
    </row>
    <row r="215" spans="1:29" outlineLevel="1" x14ac:dyDescent="0.2">
      <c r="A215" s="3"/>
      <c r="B215" s="630" t="str">
        <f>'WK5a - Impact on Rates'!C123</f>
        <v>Special rate</v>
      </c>
      <c r="C215" s="619" t="str">
        <f>'WK5a - Impact on Rates'!D123</f>
        <v/>
      </c>
      <c r="D215" s="3"/>
      <c r="E215" s="135"/>
      <c r="F215" s="3"/>
      <c r="G215" s="96"/>
      <c r="H215" s="652" t="str">
        <f>'WK5a - Impact on Rates'!E123</f>
        <v>.</v>
      </c>
      <c r="I215" s="653" t="str">
        <f>'WK5a - Impact on Rates'!F123</f>
        <v>.</v>
      </c>
      <c r="J215" s="653">
        <f>'WK5a - Impact on Rates'!G123</f>
        <v>0</v>
      </c>
      <c r="K215" s="653">
        <f>'WK5a - Impact on Rates'!H123</f>
        <v>0</v>
      </c>
      <c r="L215" s="653">
        <f>'WK5a - Impact on Rates'!I123</f>
        <v>0</v>
      </c>
      <c r="M215" s="653">
        <f>'WK5a - Impact on Rates'!J123</f>
        <v>0</v>
      </c>
      <c r="N215" s="653">
        <f>'WK5a - Impact on Rates'!K123</f>
        <v>0</v>
      </c>
      <c r="O215" s="654">
        <f>'WK5a - Impact on Rates'!L123</f>
        <v>0</v>
      </c>
      <c r="P215" s="3"/>
      <c r="Q215" s="3"/>
      <c r="R215" s="96"/>
      <c r="S215" s="3"/>
      <c r="T215" s="3"/>
      <c r="U215" s="3"/>
      <c r="V215" s="3"/>
      <c r="W215" s="3"/>
      <c r="X215" s="3"/>
      <c r="Y215" s="3"/>
      <c r="Z215" s="3"/>
      <c r="AA215" s="3"/>
      <c r="AB215" s="3"/>
      <c r="AC215" s="3"/>
    </row>
    <row r="216" spans="1:29" outlineLevel="1" x14ac:dyDescent="0.2">
      <c r="A216" s="3"/>
      <c r="B216" s="630" t="str">
        <f>'WK5a - Impact on Rates'!C124</f>
        <v>Special rate</v>
      </c>
      <c r="C216" s="619" t="str">
        <f>'WK5a - Impact on Rates'!D124</f>
        <v/>
      </c>
      <c r="D216" s="3"/>
      <c r="E216" s="135"/>
      <c r="F216" s="3"/>
      <c r="G216" s="96"/>
      <c r="H216" s="652" t="str">
        <f>'WK5a - Impact on Rates'!E124</f>
        <v>.</v>
      </c>
      <c r="I216" s="653" t="str">
        <f>'WK5a - Impact on Rates'!F124</f>
        <v>.</v>
      </c>
      <c r="J216" s="653">
        <f>'WK5a - Impact on Rates'!G124</f>
        <v>0</v>
      </c>
      <c r="K216" s="653">
        <f>'WK5a - Impact on Rates'!H124</f>
        <v>0</v>
      </c>
      <c r="L216" s="653">
        <f>'WK5a - Impact on Rates'!I124</f>
        <v>0</v>
      </c>
      <c r="M216" s="653">
        <f>'WK5a - Impact on Rates'!J124</f>
        <v>0</v>
      </c>
      <c r="N216" s="653">
        <f>'WK5a - Impact on Rates'!K124</f>
        <v>0</v>
      </c>
      <c r="O216" s="654">
        <f>'WK5a - Impact on Rates'!L124</f>
        <v>0</v>
      </c>
      <c r="P216" s="3"/>
      <c r="Q216" s="3"/>
      <c r="R216" s="96"/>
      <c r="S216" s="3"/>
      <c r="T216" s="3"/>
      <c r="U216" s="3"/>
      <c r="V216" s="3"/>
      <c r="W216" s="3"/>
      <c r="X216" s="3"/>
      <c r="Y216" s="3"/>
      <c r="Z216" s="3"/>
      <c r="AA216" s="3"/>
      <c r="AB216" s="3"/>
      <c r="AC216" s="3"/>
    </row>
    <row r="217" spans="1:29" outlineLevel="1" x14ac:dyDescent="0.2">
      <c r="A217" s="3"/>
      <c r="B217" s="630" t="str">
        <f>'WK5a - Impact on Rates'!C125</f>
        <v>Special rate</v>
      </c>
      <c r="C217" s="619" t="str">
        <f>'WK5a - Impact on Rates'!D125</f>
        <v/>
      </c>
      <c r="D217" s="3"/>
      <c r="E217" s="135"/>
      <c r="F217" s="3"/>
      <c r="G217" s="96"/>
      <c r="H217" s="652" t="str">
        <f>'WK5a - Impact on Rates'!E125</f>
        <v>.</v>
      </c>
      <c r="I217" s="653" t="str">
        <f>'WK5a - Impact on Rates'!F125</f>
        <v>.</v>
      </c>
      <c r="J217" s="653">
        <f>'WK5a - Impact on Rates'!G125</f>
        <v>0</v>
      </c>
      <c r="K217" s="653">
        <f>'WK5a - Impact on Rates'!H125</f>
        <v>0</v>
      </c>
      <c r="L217" s="653">
        <f>'WK5a - Impact on Rates'!I125</f>
        <v>0</v>
      </c>
      <c r="M217" s="653">
        <f>'WK5a - Impact on Rates'!J125</f>
        <v>0</v>
      </c>
      <c r="N217" s="653">
        <f>'WK5a - Impact on Rates'!K125</f>
        <v>0</v>
      </c>
      <c r="O217" s="654">
        <f>'WK5a - Impact on Rates'!L125</f>
        <v>0</v>
      </c>
      <c r="P217" s="3"/>
      <c r="Q217" s="3"/>
      <c r="R217" s="96"/>
      <c r="S217" s="3"/>
      <c r="T217" s="3"/>
      <c r="U217" s="3"/>
      <c r="V217" s="3"/>
      <c r="W217" s="3"/>
      <c r="X217" s="3"/>
      <c r="Y217" s="3"/>
      <c r="Z217" s="3"/>
      <c r="AA217" s="3"/>
      <c r="AB217" s="3"/>
      <c r="AC217" s="3"/>
    </row>
    <row r="218" spans="1:29" outlineLevel="1" x14ac:dyDescent="0.2">
      <c r="A218" s="3"/>
      <c r="B218" s="630" t="str">
        <f>'WK5a - Impact on Rates'!C126</f>
        <v>Special rate</v>
      </c>
      <c r="C218" s="619" t="str">
        <f>'WK5a - Impact on Rates'!D126</f>
        <v/>
      </c>
      <c r="D218" s="3"/>
      <c r="E218" s="135"/>
      <c r="F218" s="3"/>
      <c r="G218" s="96"/>
      <c r="H218" s="652" t="str">
        <f>'WK5a - Impact on Rates'!E126</f>
        <v>.</v>
      </c>
      <c r="I218" s="653" t="str">
        <f>'WK5a - Impact on Rates'!F126</f>
        <v>.</v>
      </c>
      <c r="J218" s="653">
        <f>'WK5a - Impact on Rates'!G126</f>
        <v>0</v>
      </c>
      <c r="K218" s="653">
        <f>'WK5a - Impact on Rates'!H126</f>
        <v>0</v>
      </c>
      <c r="L218" s="653">
        <f>'WK5a - Impact on Rates'!I126</f>
        <v>0</v>
      </c>
      <c r="M218" s="653">
        <f>'WK5a - Impact on Rates'!J126</f>
        <v>0</v>
      </c>
      <c r="N218" s="653">
        <f>'WK5a - Impact on Rates'!K126</f>
        <v>0</v>
      </c>
      <c r="O218" s="654">
        <f>'WK5a - Impact on Rates'!L126</f>
        <v>0</v>
      </c>
      <c r="P218" s="3"/>
      <c r="Q218" s="3"/>
      <c r="R218" s="96"/>
      <c r="S218" s="3"/>
      <c r="T218" s="3"/>
      <c r="U218" s="3"/>
      <c r="V218" s="3"/>
      <c r="W218" s="3"/>
      <c r="X218" s="3"/>
      <c r="Y218" s="3"/>
      <c r="Z218" s="3"/>
      <c r="AA218" s="3"/>
      <c r="AB218" s="3"/>
      <c r="AC218" s="3"/>
    </row>
    <row r="219" spans="1:29" ht="12" outlineLevel="1" thickBot="1" x14ac:dyDescent="0.25">
      <c r="A219" s="3"/>
      <c r="B219" s="630" t="str">
        <f>'WK5a - Impact on Rates'!C127</f>
        <v>Special rate</v>
      </c>
      <c r="C219" s="619" t="str">
        <f>'WK5a - Impact on Rates'!D127</f>
        <v/>
      </c>
      <c r="D219" s="3"/>
      <c r="E219" s="135"/>
      <c r="F219" s="3"/>
      <c r="G219" s="96"/>
      <c r="H219" s="652" t="str">
        <f>'WK5a - Impact on Rates'!E127</f>
        <v>.</v>
      </c>
      <c r="I219" s="653" t="str">
        <f>'WK5a - Impact on Rates'!F127</f>
        <v>.</v>
      </c>
      <c r="J219" s="653">
        <f>'WK5a - Impact on Rates'!G127</f>
        <v>0</v>
      </c>
      <c r="K219" s="653">
        <f>'WK5a - Impact on Rates'!H127</f>
        <v>0</v>
      </c>
      <c r="L219" s="653">
        <f>'WK5a - Impact on Rates'!I127</f>
        <v>0</v>
      </c>
      <c r="M219" s="653">
        <f>'WK5a - Impact on Rates'!J127</f>
        <v>0</v>
      </c>
      <c r="N219" s="653">
        <f>'WK5a - Impact on Rates'!K127</f>
        <v>0</v>
      </c>
      <c r="O219" s="654">
        <f>'WK5a - Impact on Rates'!L127</f>
        <v>0</v>
      </c>
      <c r="P219" s="3"/>
      <c r="Q219" s="3"/>
      <c r="R219" s="96"/>
      <c r="S219" s="3"/>
      <c r="T219" s="3"/>
      <c r="U219" s="3"/>
      <c r="V219" s="3"/>
      <c r="W219" s="3"/>
      <c r="X219" s="3"/>
      <c r="Y219" s="3"/>
      <c r="Z219" s="3"/>
      <c r="AA219" s="3"/>
      <c r="AB219" s="3"/>
      <c r="AC219" s="3"/>
    </row>
    <row r="220" spans="1:29" ht="12.6" thickTop="1" thickBot="1" x14ac:dyDescent="0.25">
      <c r="A220" s="3"/>
      <c r="B220" s="893" t="str">
        <f>B190</f>
        <v>Residential</v>
      </c>
      <c r="C220" s="619" t="str">
        <f>'WK5a - Impact on Rates'!D128</f>
        <v>TOTAL AVERAGE</v>
      </c>
      <c r="D220" s="3"/>
      <c r="E220" s="135"/>
      <c r="F220" s="3"/>
      <c r="G220" s="96"/>
      <c r="H220" s="652">
        <f>'WK5a - Impact on Rates'!E128</f>
        <v>1271.6436324105043</v>
      </c>
      <c r="I220" s="653">
        <f>'WK5a - Impact on Rates'!F128</f>
        <v>1379.7319637878252</v>
      </c>
      <c r="J220" s="653">
        <f>'WK5a - Impact on Rates'!G128</f>
        <v>1483.2118610719119</v>
      </c>
      <c r="K220" s="653">
        <f>'WK5a - Impact on Rates'!H128</f>
        <v>1579.6306320415863</v>
      </c>
      <c r="L220" s="653">
        <f>'WK5a - Impact on Rates'!I128</f>
        <v>1666.5103168038736</v>
      </c>
      <c r="M220" s="653">
        <f>'WK5a - Impact on Rates'!J128</f>
        <v>1708.1630747239703</v>
      </c>
      <c r="N220" s="653">
        <f>'WK5a - Impact on Rates'!K128</f>
        <v>1750.8671515920694</v>
      </c>
      <c r="O220" s="654">
        <f>'WK5a - Impact on Rates'!L128</f>
        <v>1794.6388303818708</v>
      </c>
      <c r="P220" s="3"/>
      <c r="Q220" s="3"/>
      <c r="R220" s="96"/>
      <c r="S220" s="3"/>
      <c r="T220" s="3"/>
      <c r="U220" s="3"/>
      <c r="V220" s="3"/>
      <c r="W220" s="3"/>
      <c r="X220" s="3"/>
      <c r="Y220" s="3"/>
      <c r="Z220" s="3"/>
      <c r="AA220" s="3"/>
      <c r="AB220" s="3"/>
      <c r="AC220" s="3"/>
    </row>
    <row r="221" spans="1:29" ht="12" thickTop="1" x14ac:dyDescent="0.2">
      <c r="A221" s="3"/>
      <c r="B221" s="630" t="str">
        <f>'WK5a - Impact on Rates'!C129</f>
        <v>Business</v>
      </c>
      <c r="C221" s="619" t="str">
        <f>'WK5a - Impact on Rates'!D129</f>
        <v>Business</v>
      </c>
      <c r="D221" s="3"/>
      <c r="E221" s="135"/>
      <c r="F221" s="3"/>
      <c r="G221" s="96"/>
      <c r="H221" s="652">
        <f>'WK5a - Impact on Rates'!E129</f>
        <v>2294.7511914154138</v>
      </c>
      <c r="I221" s="653">
        <f>'WK5a - Impact on Rates'!F129</f>
        <v>2489.9048942256823</v>
      </c>
      <c r="J221" s="653">
        <f>'WK5a - Impact on Rates'!G129</f>
        <v>2676.6477612926083</v>
      </c>
      <c r="K221" s="653">
        <f>'WK5a - Impact on Rates'!H129</f>
        <v>2850.6298657766279</v>
      </c>
      <c r="L221" s="653">
        <f>'WK5a - Impact on Rates'!I129</f>
        <v>3007.4145083943422</v>
      </c>
      <c r="M221" s="653">
        <f>'WK5a - Impact on Rates'!J129</f>
        <v>3082.5998711042007</v>
      </c>
      <c r="N221" s="653">
        <f>'WK5a - Impact on Rates'!K129</f>
        <v>3159.6648678818055</v>
      </c>
      <c r="O221" s="654">
        <f>'WK5a - Impact on Rates'!L129</f>
        <v>3238.6564895788506</v>
      </c>
      <c r="P221" s="3"/>
      <c r="Q221" s="3"/>
      <c r="R221" s="96"/>
      <c r="S221" s="3"/>
      <c r="T221" s="3"/>
      <c r="U221" s="3"/>
      <c r="V221" s="3"/>
      <c r="W221" s="3"/>
      <c r="X221" s="3"/>
      <c r="Y221" s="3"/>
      <c r="Z221" s="3"/>
      <c r="AA221" s="3"/>
      <c r="AB221" s="3"/>
      <c r="AC221" s="3"/>
    </row>
    <row r="222" spans="1:29" x14ac:dyDescent="0.2">
      <c r="A222" s="3"/>
      <c r="B222" s="630" t="str">
        <f>'WK5a - Impact on Rates'!C130</f>
        <v>Business</v>
      </c>
      <c r="C222" s="619" t="str">
        <f>'WK5a - Impact on Rates'!D130</f>
        <v>Hornsby CBD</v>
      </c>
      <c r="D222" s="3"/>
      <c r="E222" s="135"/>
      <c r="F222" s="3"/>
      <c r="G222" s="96"/>
      <c r="H222" s="652">
        <f>'WK5a - Impact on Rates'!E130</f>
        <v>4903.9505338577901</v>
      </c>
      <c r="I222" s="653">
        <f>'WK5a - Impact on Rates'!F130</f>
        <v>5320.990519931479</v>
      </c>
      <c r="J222" s="653">
        <f>'WK5a - Impact on Rates'!G130</f>
        <v>5720.0648089263395</v>
      </c>
      <c r="K222" s="653">
        <f>'WK5a - Impact on Rates'!H130</f>
        <v>6091.8690215065517</v>
      </c>
      <c r="L222" s="653">
        <f>'WK5a - Impact on Rates'!I130</f>
        <v>6426.9218176894119</v>
      </c>
      <c r="M222" s="653">
        <f>'WK5a - Impact on Rates'!J130</f>
        <v>6587.5948631316469</v>
      </c>
      <c r="N222" s="653">
        <f>'WK5a - Impact on Rates'!K130</f>
        <v>6752.2847347099378</v>
      </c>
      <c r="O222" s="654">
        <f>'WK5a - Impact on Rates'!L130</f>
        <v>6921.0918530776853</v>
      </c>
      <c r="P222" s="3"/>
      <c r="Q222" s="3"/>
      <c r="R222" s="96"/>
      <c r="S222" s="3"/>
      <c r="T222" s="3"/>
      <c r="U222" s="3"/>
      <c r="V222" s="3"/>
      <c r="W222" s="3"/>
      <c r="X222" s="3"/>
      <c r="Y222" s="3"/>
      <c r="Z222" s="3"/>
      <c r="AA222" s="3"/>
      <c r="AB222" s="3"/>
      <c r="AC222" s="3"/>
    </row>
    <row r="223" spans="1:29" x14ac:dyDescent="0.2">
      <c r="A223" s="3"/>
      <c r="B223" s="630" t="str">
        <f>'WK5a - Impact on Rates'!C131</f>
        <v>Business</v>
      </c>
      <c r="C223" s="619" t="str">
        <f>'WK5a - Impact on Rates'!D131</f>
        <v>Shopping Centre</v>
      </c>
      <c r="D223" s="3"/>
      <c r="E223" s="135"/>
      <c r="F223" s="3"/>
      <c r="G223" s="96"/>
      <c r="H223" s="652">
        <f>'WK5a - Impact on Rates'!E131</f>
        <v>255857.87926799999</v>
      </c>
      <c r="I223" s="653">
        <f>'WK5a - Impact on Rates'!F131</f>
        <v>277616.45050799998</v>
      </c>
      <c r="J223" s="653">
        <f>'WK5a - Impact on Rates'!G131</f>
        <v>298437.68429609999</v>
      </c>
      <c r="K223" s="653">
        <f>'WK5a - Impact on Rates'!H131</f>
        <v>317836.1337753465</v>
      </c>
      <c r="L223" s="653">
        <f>'WK5a - Impact on Rates'!I131</f>
        <v>335317.12113299052</v>
      </c>
      <c r="M223" s="653">
        <f>'WK5a - Impact on Rates'!J131</f>
        <v>343700.04916131526</v>
      </c>
      <c r="N223" s="653">
        <f>'WK5a - Impact on Rates'!K131</f>
        <v>352292.55039034813</v>
      </c>
      <c r="O223" s="654">
        <f>'WK5a - Impact on Rates'!L131</f>
        <v>361099.86415010679</v>
      </c>
      <c r="P223" s="3"/>
      <c r="Q223" s="3"/>
      <c r="R223" s="96"/>
      <c r="S223" s="3"/>
      <c r="T223" s="3"/>
      <c r="U223" s="3"/>
      <c r="V223" s="3"/>
      <c r="W223" s="3"/>
      <c r="X223" s="3"/>
      <c r="Y223" s="3"/>
      <c r="Z223" s="3"/>
      <c r="AA223" s="3"/>
      <c r="AB223" s="3"/>
      <c r="AC223" s="3"/>
    </row>
    <row r="224" spans="1:29" outlineLevel="1" x14ac:dyDescent="0.2">
      <c r="A224" s="3"/>
      <c r="B224" s="630" t="str">
        <f>'WK5a - Impact on Rates'!C132</f>
        <v>Business</v>
      </c>
      <c r="C224" s="619" t="str">
        <f>'WK5a - Impact on Rates'!D132</f>
        <v/>
      </c>
      <c r="D224" s="3"/>
      <c r="E224" s="135"/>
      <c r="F224" s="3"/>
      <c r="G224" s="96"/>
      <c r="H224" s="652" t="str">
        <f>'WK5a - Impact on Rates'!E132</f>
        <v>.</v>
      </c>
      <c r="I224" s="653" t="str">
        <f>'WK5a - Impact on Rates'!F132</f>
        <v>.</v>
      </c>
      <c r="J224" s="653">
        <f>'WK5a - Impact on Rates'!G132</f>
        <v>0</v>
      </c>
      <c r="K224" s="653">
        <f>'WK5a - Impact on Rates'!H132</f>
        <v>0</v>
      </c>
      <c r="L224" s="653">
        <f>'WK5a - Impact on Rates'!I132</f>
        <v>0</v>
      </c>
      <c r="M224" s="653">
        <f>'WK5a - Impact on Rates'!J132</f>
        <v>0</v>
      </c>
      <c r="N224" s="653">
        <f>'WK5a - Impact on Rates'!K132</f>
        <v>0</v>
      </c>
      <c r="O224" s="654">
        <f>'WK5a - Impact on Rates'!L132</f>
        <v>0</v>
      </c>
      <c r="P224" s="3"/>
      <c r="Q224" s="3"/>
      <c r="R224" s="96"/>
      <c r="S224" s="3"/>
      <c r="T224" s="3"/>
      <c r="U224" s="3"/>
      <c r="V224" s="3"/>
      <c r="W224" s="3"/>
      <c r="X224" s="3"/>
      <c r="Y224" s="3"/>
      <c r="Z224" s="3"/>
      <c r="AA224" s="3"/>
      <c r="AB224" s="3"/>
      <c r="AC224" s="3"/>
    </row>
    <row r="225" spans="1:29" outlineLevel="1" x14ac:dyDescent="0.2">
      <c r="A225" s="3"/>
      <c r="B225" s="630" t="str">
        <f>'WK5a - Impact on Rates'!C133</f>
        <v>Business</v>
      </c>
      <c r="C225" s="619" t="str">
        <f>'WK5a - Impact on Rates'!D133</f>
        <v/>
      </c>
      <c r="D225" s="3"/>
      <c r="E225" s="135"/>
      <c r="F225" s="3"/>
      <c r="G225" s="96"/>
      <c r="H225" s="652" t="str">
        <f>'WK5a - Impact on Rates'!E133</f>
        <v>.</v>
      </c>
      <c r="I225" s="653" t="str">
        <f>'WK5a - Impact on Rates'!F133</f>
        <v>.</v>
      </c>
      <c r="J225" s="653">
        <f>'WK5a - Impact on Rates'!G133</f>
        <v>0</v>
      </c>
      <c r="K225" s="653">
        <f>'WK5a - Impact on Rates'!H133</f>
        <v>0</v>
      </c>
      <c r="L225" s="653">
        <f>'WK5a - Impact on Rates'!I133</f>
        <v>0</v>
      </c>
      <c r="M225" s="653">
        <f>'WK5a - Impact on Rates'!J133</f>
        <v>0</v>
      </c>
      <c r="N225" s="653">
        <f>'WK5a - Impact on Rates'!K133</f>
        <v>0</v>
      </c>
      <c r="O225" s="654">
        <f>'WK5a - Impact on Rates'!L133</f>
        <v>0</v>
      </c>
      <c r="P225" s="3"/>
      <c r="Q225" s="3"/>
      <c r="R225" s="96"/>
      <c r="S225" s="3"/>
      <c r="T225" s="3"/>
      <c r="U225" s="3"/>
      <c r="V225" s="3"/>
      <c r="W225" s="3"/>
      <c r="X225" s="3"/>
      <c r="Y225" s="3"/>
      <c r="Z225" s="3"/>
      <c r="AA225" s="3"/>
      <c r="AB225" s="3"/>
      <c r="AC225" s="3"/>
    </row>
    <row r="226" spans="1:29" outlineLevel="1" x14ac:dyDescent="0.2">
      <c r="A226" s="3"/>
      <c r="B226" s="630" t="str">
        <f>'WK5a - Impact on Rates'!C134</f>
        <v>Business</v>
      </c>
      <c r="C226" s="619" t="str">
        <f>'WK5a - Impact on Rates'!D134</f>
        <v/>
      </c>
      <c r="D226" s="3"/>
      <c r="E226" s="135"/>
      <c r="F226" s="3"/>
      <c r="G226" s="96"/>
      <c r="H226" s="652" t="str">
        <f>'WK5a - Impact on Rates'!E134</f>
        <v>.</v>
      </c>
      <c r="I226" s="653" t="str">
        <f>'WK5a - Impact on Rates'!F134</f>
        <v>.</v>
      </c>
      <c r="J226" s="653">
        <f>'WK5a - Impact on Rates'!G134</f>
        <v>0</v>
      </c>
      <c r="K226" s="653">
        <f>'WK5a - Impact on Rates'!H134</f>
        <v>0</v>
      </c>
      <c r="L226" s="653">
        <f>'WK5a - Impact on Rates'!I134</f>
        <v>0</v>
      </c>
      <c r="M226" s="653">
        <f>'WK5a - Impact on Rates'!J134</f>
        <v>0</v>
      </c>
      <c r="N226" s="653">
        <f>'WK5a - Impact on Rates'!K134</f>
        <v>0</v>
      </c>
      <c r="O226" s="654">
        <f>'WK5a - Impact on Rates'!L134</f>
        <v>0</v>
      </c>
      <c r="P226" s="3"/>
      <c r="Q226" s="3"/>
      <c r="R226" s="96"/>
      <c r="S226" s="3"/>
      <c r="T226" s="3"/>
      <c r="U226" s="3"/>
      <c r="V226" s="3"/>
      <c r="W226" s="3"/>
      <c r="X226" s="3"/>
      <c r="Y226" s="3"/>
      <c r="Z226" s="3"/>
      <c r="AA226" s="3"/>
      <c r="AB226" s="3"/>
      <c r="AC226" s="3"/>
    </row>
    <row r="227" spans="1:29" outlineLevel="1" x14ac:dyDescent="0.2">
      <c r="A227" s="3"/>
      <c r="B227" s="630" t="str">
        <f>'WK5a - Impact on Rates'!C135</f>
        <v>Business</v>
      </c>
      <c r="C227" s="619" t="str">
        <f>'WK5a - Impact on Rates'!D135</f>
        <v/>
      </c>
      <c r="D227" s="3"/>
      <c r="E227" s="135"/>
      <c r="F227" s="3"/>
      <c r="G227" s="96"/>
      <c r="H227" s="652" t="str">
        <f>'WK5a - Impact on Rates'!E135</f>
        <v>.</v>
      </c>
      <c r="I227" s="653" t="str">
        <f>'WK5a - Impact on Rates'!F135</f>
        <v>.</v>
      </c>
      <c r="J227" s="653">
        <f>'WK5a - Impact on Rates'!G135</f>
        <v>0</v>
      </c>
      <c r="K227" s="653">
        <f>'WK5a - Impact on Rates'!H135</f>
        <v>0</v>
      </c>
      <c r="L227" s="653">
        <f>'WK5a - Impact on Rates'!I135</f>
        <v>0</v>
      </c>
      <c r="M227" s="653">
        <f>'WK5a - Impact on Rates'!J135</f>
        <v>0</v>
      </c>
      <c r="N227" s="653">
        <f>'WK5a - Impact on Rates'!K135</f>
        <v>0</v>
      </c>
      <c r="O227" s="654">
        <f>'WK5a - Impact on Rates'!L135</f>
        <v>0</v>
      </c>
      <c r="P227" s="3"/>
      <c r="Q227" s="3"/>
      <c r="R227" s="96"/>
      <c r="S227" s="3"/>
      <c r="T227" s="3"/>
      <c r="U227" s="3"/>
      <c r="V227" s="3"/>
      <c r="W227" s="3"/>
      <c r="X227" s="3"/>
      <c r="Y227" s="3"/>
      <c r="Z227" s="3"/>
      <c r="AA227" s="3"/>
      <c r="AB227" s="3"/>
      <c r="AC227" s="3"/>
    </row>
    <row r="228" spans="1:29" outlineLevel="1" x14ac:dyDescent="0.2">
      <c r="A228" s="3"/>
      <c r="B228" s="630" t="str">
        <f>'WK5a - Impact on Rates'!C136</f>
        <v>Business</v>
      </c>
      <c r="C228" s="619" t="str">
        <f>'WK5a - Impact on Rates'!D136</f>
        <v/>
      </c>
      <c r="D228" s="3"/>
      <c r="E228" s="135"/>
      <c r="F228" s="3"/>
      <c r="G228" s="96"/>
      <c r="H228" s="652" t="str">
        <f>'WK5a - Impact on Rates'!E136</f>
        <v>.</v>
      </c>
      <c r="I228" s="653" t="str">
        <f>'WK5a - Impact on Rates'!F136</f>
        <v>.</v>
      </c>
      <c r="J228" s="653">
        <f>'WK5a - Impact on Rates'!G136</f>
        <v>0</v>
      </c>
      <c r="K228" s="653">
        <f>'WK5a - Impact on Rates'!H136</f>
        <v>0</v>
      </c>
      <c r="L228" s="653">
        <f>'WK5a - Impact on Rates'!I136</f>
        <v>0</v>
      </c>
      <c r="M228" s="653">
        <f>'WK5a - Impact on Rates'!J136</f>
        <v>0</v>
      </c>
      <c r="N228" s="653">
        <f>'WK5a - Impact on Rates'!K136</f>
        <v>0</v>
      </c>
      <c r="O228" s="654">
        <f>'WK5a - Impact on Rates'!L136</f>
        <v>0</v>
      </c>
      <c r="P228" s="3"/>
      <c r="Q228" s="3"/>
      <c r="R228" s="96"/>
      <c r="S228" s="3"/>
      <c r="T228" s="3"/>
      <c r="U228" s="3"/>
      <c r="V228" s="3"/>
      <c r="W228" s="3"/>
      <c r="X228" s="3"/>
      <c r="Y228" s="3"/>
      <c r="Z228" s="3"/>
      <c r="AA228" s="3"/>
      <c r="AB228" s="3"/>
      <c r="AC228" s="3"/>
    </row>
    <row r="229" spans="1:29" outlineLevel="1" x14ac:dyDescent="0.2">
      <c r="A229" s="3"/>
      <c r="B229" s="630" t="str">
        <f>'WK5a - Impact on Rates'!C137</f>
        <v>Business</v>
      </c>
      <c r="C229" s="619" t="str">
        <f>'WK5a - Impact on Rates'!D137</f>
        <v/>
      </c>
      <c r="D229" s="3"/>
      <c r="E229" s="135"/>
      <c r="F229" s="3"/>
      <c r="G229" s="96"/>
      <c r="H229" s="652" t="str">
        <f>'WK5a - Impact on Rates'!E137</f>
        <v>.</v>
      </c>
      <c r="I229" s="653" t="str">
        <f>'WK5a - Impact on Rates'!F137</f>
        <v>.</v>
      </c>
      <c r="J229" s="653">
        <f>'WK5a - Impact on Rates'!G137</f>
        <v>0</v>
      </c>
      <c r="K229" s="653">
        <f>'WK5a - Impact on Rates'!H137</f>
        <v>0</v>
      </c>
      <c r="L229" s="653">
        <f>'WK5a - Impact on Rates'!I137</f>
        <v>0</v>
      </c>
      <c r="M229" s="653">
        <f>'WK5a - Impact on Rates'!J137</f>
        <v>0</v>
      </c>
      <c r="N229" s="653">
        <f>'WK5a - Impact on Rates'!K137</f>
        <v>0</v>
      </c>
      <c r="O229" s="654">
        <f>'WK5a - Impact on Rates'!L137</f>
        <v>0</v>
      </c>
      <c r="P229" s="3"/>
      <c r="Q229" s="3"/>
      <c r="R229" s="96"/>
      <c r="S229" s="3"/>
      <c r="T229" s="3"/>
      <c r="U229" s="3"/>
      <c r="V229" s="3"/>
      <c r="W229" s="3"/>
      <c r="X229" s="3"/>
      <c r="Y229" s="3"/>
      <c r="Z229" s="3"/>
      <c r="AA229" s="3"/>
      <c r="AB229" s="3"/>
      <c r="AC229" s="3"/>
    </row>
    <row r="230" spans="1:29" outlineLevel="1" x14ac:dyDescent="0.2">
      <c r="A230" s="3"/>
      <c r="B230" s="630" t="str">
        <f>'WK5a - Impact on Rates'!C138</f>
        <v>Business</v>
      </c>
      <c r="C230" s="619" t="str">
        <f>'WK5a - Impact on Rates'!D138</f>
        <v/>
      </c>
      <c r="D230" s="3"/>
      <c r="E230" s="135"/>
      <c r="F230" s="3"/>
      <c r="G230" s="96"/>
      <c r="H230" s="652" t="str">
        <f>'WK5a - Impact on Rates'!E138</f>
        <v>.</v>
      </c>
      <c r="I230" s="653" t="str">
        <f>'WK5a - Impact on Rates'!F138</f>
        <v>.</v>
      </c>
      <c r="J230" s="653">
        <f>'WK5a - Impact on Rates'!G138</f>
        <v>0</v>
      </c>
      <c r="K230" s="653">
        <f>'WK5a - Impact on Rates'!H138</f>
        <v>0</v>
      </c>
      <c r="L230" s="653">
        <f>'WK5a - Impact on Rates'!I138</f>
        <v>0</v>
      </c>
      <c r="M230" s="653">
        <f>'WK5a - Impact on Rates'!J138</f>
        <v>0</v>
      </c>
      <c r="N230" s="653">
        <f>'WK5a - Impact on Rates'!K138</f>
        <v>0</v>
      </c>
      <c r="O230" s="654">
        <f>'WK5a - Impact on Rates'!L138</f>
        <v>0</v>
      </c>
      <c r="P230" s="3"/>
      <c r="Q230" s="3"/>
      <c r="R230" s="96"/>
      <c r="S230" s="3"/>
      <c r="T230" s="3"/>
      <c r="U230" s="3"/>
      <c r="V230" s="3"/>
      <c r="W230" s="3"/>
      <c r="X230" s="3"/>
      <c r="Y230" s="3"/>
      <c r="Z230" s="3"/>
      <c r="AA230" s="3"/>
      <c r="AB230" s="3"/>
      <c r="AC230" s="3"/>
    </row>
    <row r="231" spans="1:29" outlineLevel="1" x14ac:dyDescent="0.2">
      <c r="A231" s="3"/>
      <c r="B231" s="630" t="str">
        <f>'WK5a - Impact on Rates'!C139</f>
        <v>Business</v>
      </c>
      <c r="C231" s="619" t="str">
        <f>'WK5a - Impact on Rates'!D139</f>
        <v/>
      </c>
      <c r="D231" s="3"/>
      <c r="E231" s="135"/>
      <c r="F231" s="3"/>
      <c r="G231" s="96"/>
      <c r="H231" s="652" t="str">
        <f>'WK5a - Impact on Rates'!E139</f>
        <v>.</v>
      </c>
      <c r="I231" s="653" t="str">
        <f>'WK5a - Impact on Rates'!F139</f>
        <v>.</v>
      </c>
      <c r="J231" s="653">
        <f>'WK5a - Impact on Rates'!G139</f>
        <v>0</v>
      </c>
      <c r="K231" s="653">
        <f>'WK5a - Impact on Rates'!H139</f>
        <v>0</v>
      </c>
      <c r="L231" s="653">
        <f>'WK5a - Impact on Rates'!I139</f>
        <v>0</v>
      </c>
      <c r="M231" s="653">
        <f>'WK5a - Impact on Rates'!J139</f>
        <v>0</v>
      </c>
      <c r="N231" s="653">
        <f>'WK5a - Impact on Rates'!K139</f>
        <v>0</v>
      </c>
      <c r="O231" s="654">
        <f>'WK5a - Impact on Rates'!L139</f>
        <v>0</v>
      </c>
      <c r="P231" s="3"/>
      <c r="Q231" s="3"/>
      <c r="R231" s="96"/>
      <c r="S231" s="3"/>
      <c r="T231" s="3"/>
      <c r="U231" s="3"/>
      <c r="V231" s="3"/>
      <c r="W231" s="3"/>
      <c r="X231" s="3"/>
      <c r="Y231" s="3"/>
      <c r="Z231" s="3"/>
      <c r="AA231" s="3"/>
      <c r="AB231" s="3"/>
      <c r="AC231" s="3"/>
    </row>
    <row r="232" spans="1:29" outlineLevel="1" x14ac:dyDescent="0.2">
      <c r="A232" s="3"/>
      <c r="B232" s="630" t="str">
        <f>'WK5a - Impact on Rates'!C140</f>
        <v>Business</v>
      </c>
      <c r="C232" s="619" t="str">
        <f>'WK5a - Impact on Rates'!D140</f>
        <v/>
      </c>
      <c r="D232" s="3"/>
      <c r="E232" s="135"/>
      <c r="F232" s="3"/>
      <c r="G232" s="96"/>
      <c r="H232" s="652" t="str">
        <f>'WK5a - Impact on Rates'!E140</f>
        <v>.</v>
      </c>
      <c r="I232" s="653" t="str">
        <f>'WK5a - Impact on Rates'!F140</f>
        <v>.</v>
      </c>
      <c r="J232" s="653">
        <f>'WK5a - Impact on Rates'!G140</f>
        <v>0</v>
      </c>
      <c r="K232" s="653">
        <f>'WK5a - Impact on Rates'!H140</f>
        <v>0</v>
      </c>
      <c r="L232" s="653">
        <f>'WK5a - Impact on Rates'!I140</f>
        <v>0</v>
      </c>
      <c r="M232" s="653">
        <f>'WK5a - Impact on Rates'!J140</f>
        <v>0</v>
      </c>
      <c r="N232" s="653">
        <f>'WK5a - Impact on Rates'!K140</f>
        <v>0</v>
      </c>
      <c r="O232" s="654">
        <f>'WK5a - Impact on Rates'!L140</f>
        <v>0</v>
      </c>
      <c r="P232" s="3"/>
      <c r="Q232" s="3"/>
      <c r="R232" s="96"/>
      <c r="S232" s="3"/>
      <c r="T232" s="3"/>
      <c r="U232" s="3"/>
      <c r="V232" s="3"/>
      <c r="W232" s="3"/>
      <c r="X232" s="3"/>
      <c r="Y232" s="3"/>
      <c r="Z232" s="3"/>
      <c r="AA232" s="3"/>
      <c r="AB232" s="3"/>
      <c r="AC232" s="3"/>
    </row>
    <row r="233" spans="1:29" outlineLevel="1" x14ac:dyDescent="0.2">
      <c r="A233" s="3"/>
      <c r="B233" s="630" t="str">
        <f>'WK5a - Impact on Rates'!C141</f>
        <v>Business</v>
      </c>
      <c r="C233" s="619" t="str">
        <f>'WK5a - Impact on Rates'!D141</f>
        <v/>
      </c>
      <c r="D233" s="3"/>
      <c r="E233" s="135"/>
      <c r="F233" s="3"/>
      <c r="G233" s="96"/>
      <c r="H233" s="652" t="str">
        <f>'WK5a - Impact on Rates'!E141</f>
        <v>.</v>
      </c>
      <c r="I233" s="653" t="str">
        <f>'WK5a - Impact on Rates'!F141</f>
        <v>.</v>
      </c>
      <c r="J233" s="653">
        <f>'WK5a - Impact on Rates'!G141</f>
        <v>0</v>
      </c>
      <c r="K233" s="653">
        <f>'WK5a - Impact on Rates'!H141</f>
        <v>0</v>
      </c>
      <c r="L233" s="653">
        <f>'WK5a - Impact on Rates'!I141</f>
        <v>0</v>
      </c>
      <c r="M233" s="653">
        <f>'WK5a - Impact on Rates'!J141</f>
        <v>0</v>
      </c>
      <c r="N233" s="653">
        <f>'WK5a - Impact on Rates'!K141</f>
        <v>0</v>
      </c>
      <c r="O233" s="654">
        <f>'WK5a - Impact on Rates'!L141</f>
        <v>0</v>
      </c>
      <c r="P233" s="3"/>
      <c r="Q233" s="3"/>
      <c r="R233" s="96"/>
      <c r="S233" s="3"/>
      <c r="T233" s="3"/>
      <c r="U233" s="3"/>
      <c r="V233" s="3"/>
      <c r="W233" s="3"/>
      <c r="X233" s="3"/>
      <c r="Y233" s="3"/>
      <c r="Z233" s="3"/>
      <c r="AA233" s="3"/>
      <c r="AB233" s="3"/>
      <c r="AC233" s="3"/>
    </row>
    <row r="234" spans="1:29" outlineLevel="1" x14ac:dyDescent="0.2">
      <c r="A234" s="3"/>
      <c r="B234" s="630" t="str">
        <f>'WK5a - Impact on Rates'!C142</f>
        <v>Business</v>
      </c>
      <c r="C234" s="619" t="str">
        <f>'WK5a - Impact on Rates'!D142</f>
        <v/>
      </c>
      <c r="D234" s="3"/>
      <c r="E234" s="135"/>
      <c r="F234" s="3"/>
      <c r="G234" s="96"/>
      <c r="H234" s="652" t="str">
        <f>'WK5a - Impact on Rates'!E142</f>
        <v>.</v>
      </c>
      <c r="I234" s="653" t="str">
        <f>'WK5a - Impact on Rates'!F142</f>
        <v>.</v>
      </c>
      <c r="J234" s="653">
        <f>'WK5a - Impact on Rates'!G142</f>
        <v>0</v>
      </c>
      <c r="K234" s="653">
        <f>'WK5a - Impact on Rates'!H142</f>
        <v>0</v>
      </c>
      <c r="L234" s="653">
        <f>'WK5a - Impact on Rates'!I142</f>
        <v>0</v>
      </c>
      <c r="M234" s="653">
        <f>'WK5a - Impact on Rates'!J142</f>
        <v>0</v>
      </c>
      <c r="N234" s="653">
        <f>'WK5a - Impact on Rates'!K142</f>
        <v>0</v>
      </c>
      <c r="O234" s="654">
        <f>'WK5a - Impact on Rates'!L142</f>
        <v>0</v>
      </c>
      <c r="P234" s="3"/>
      <c r="Q234" s="3"/>
      <c r="R234" s="96"/>
      <c r="S234" s="3"/>
      <c r="T234" s="3"/>
      <c r="U234" s="3"/>
      <c r="V234" s="3"/>
      <c r="W234" s="3"/>
      <c r="X234" s="3"/>
      <c r="Y234" s="3"/>
      <c r="Z234" s="3"/>
      <c r="AA234" s="3"/>
      <c r="AB234" s="3"/>
      <c r="AC234" s="3"/>
    </row>
    <row r="235" spans="1:29" outlineLevel="1" x14ac:dyDescent="0.2">
      <c r="A235" s="3"/>
      <c r="B235" s="630" t="str">
        <f>'WK5a - Impact on Rates'!C143</f>
        <v>Business</v>
      </c>
      <c r="C235" s="619" t="str">
        <f>'WK5a - Impact on Rates'!D143</f>
        <v/>
      </c>
      <c r="D235" s="3"/>
      <c r="E235" s="135"/>
      <c r="F235" s="3"/>
      <c r="G235" s="96"/>
      <c r="H235" s="652" t="str">
        <f>'WK5a - Impact on Rates'!E143</f>
        <v>.</v>
      </c>
      <c r="I235" s="653" t="str">
        <f>'WK5a - Impact on Rates'!F143</f>
        <v>.</v>
      </c>
      <c r="J235" s="653">
        <f>'WK5a - Impact on Rates'!G143</f>
        <v>0</v>
      </c>
      <c r="K235" s="653">
        <f>'WK5a - Impact on Rates'!H143</f>
        <v>0</v>
      </c>
      <c r="L235" s="653">
        <f>'WK5a - Impact on Rates'!I143</f>
        <v>0</v>
      </c>
      <c r="M235" s="653">
        <f>'WK5a - Impact on Rates'!J143</f>
        <v>0</v>
      </c>
      <c r="N235" s="653">
        <f>'WK5a - Impact on Rates'!K143</f>
        <v>0</v>
      </c>
      <c r="O235" s="654">
        <f>'WK5a - Impact on Rates'!L143</f>
        <v>0</v>
      </c>
      <c r="P235" s="3"/>
      <c r="Q235" s="3"/>
      <c r="R235" s="96"/>
      <c r="S235" s="3"/>
      <c r="T235" s="3"/>
      <c r="U235" s="3"/>
      <c r="V235" s="3"/>
      <c r="W235" s="3"/>
      <c r="X235" s="3"/>
      <c r="Y235" s="3"/>
      <c r="Z235" s="3"/>
      <c r="AA235" s="3"/>
      <c r="AB235" s="3"/>
      <c r="AC235" s="3"/>
    </row>
    <row r="236" spans="1:29" outlineLevel="1" x14ac:dyDescent="0.2">
      <c r="A236" s="3"/>
      <c r="B236" s="630" t="str">
        <f>'WK5a - Impact on Rates'!C144</f>
        <v>Business</v>
      </c>
      <c r="C236" s="619" t="str">
        <f>'WK5a - Impact on Rates'!D144</f>
        <v/>
      </c>
      <c r="D236" s="3"/>
      <c r="E236" s="135"/>
      <c r="F236" s="3"/>
      <c r="G236" s="96"/>
      <c r="H236" s="652" t="str">
        <f>'WK5a - Impact on Rates'!E144</f>
        <v>.</v>
      </c>
      <c r="I236" s="653" t="str">
        <f>'WK5a - Impact on Rates'!F144</f>
        <v>.</v>
      </c>
      <c r="J236" s="653">
        <f>'WK5a - Impact on Rates'!G144</f>
        <v>0</v>
      </c>
      <c r="K236" s="653">
        <f>'WK5a - Impact on Rates'!H144</f>
        <v>0</v>
      </c>
      <c r="L236" s="653">
        <f>'WK5a - Impact on Rates'!I144</f>
        <v>0</v>
      </c>
      <c r="M236" s="653">
        <f>'WK5a - Impact on Rates'!J144</f>
        <v>0</v>
      </c>
      <c r="N236" s="653">
        <f>'WK5a - Impact on Rates'!K144</f>
        <v>0</v>
      </c>
      <c r="O236" s="654">
        <f>'WK5a - Impact on Rates'!L144</f>
        <v>0</v>
      </c>
      <c r="P236" s="3"/>
      <c r="Q236" s="3"/>
      <c r="R236" s="96"/>
      <c r="S236" s="3"/>
      <c r="T236" s="3"/>
      <c r="U236" s="3"/>
      <c r="V236" s="3"/>
      <c r="W236" s="3"/>
      <c r="X236" s="3"/>
      <c r="Y236" s="3"/>
      <c r="Z236" s="3"/>
      <c r="AA236" s="3"/>
      <c r="AB236" s="3"/>
      <c r="AC236" s="3"/>
    </row>
    <row r="237" spans="1:29" outlineLevel="1" x14ac:dyDescent="0.2">
      <c r="A237" s="3"/>
      <c r="B237" s="630" t="str">
        <f>'WK5a - Impact on Rates'!C145</f>
        <v>Business</v>
      </c>
      <c r="C237" s="619" t="str">
        <f>'WK5a - Impact on Rates'!D145</f>
        <v/>
      </c>
      <c r="D237" s="3"/>
      <c r="E237" s="135"/>
      <c r="F237" s="3"/>
      <c r="G237" s="96"/>
      <c r="H237" s="652" t="str">
        <f>'WK5a - Impact on Rates'!E145</f>
        <v>.</v>
      </c>
      <c r="I237" s="653" t="str">
        <f>'WK5a - Impact on Rates'!F145</f>
        <v>.</v>
      </c>
      <c r="J237" s="653">
        <f>'WK5a - Impact on Rates'!G145</f>
        <v>0</v>
      </c>
      <c r="K237" s="653">
        <f>'WK5a - Impact on Rates'!H145</f>
        <v>0</v>
      </c>
      <c r="L237" s="653">
        <f>'WK5a - Impact on Rates'!I145</f>
        <v>0</v>
      </c>
      <c r="M237" s="653">
        <f>'WK5a - Impact on Rates'!J145</f>
        <v>0</v>
      </c>
      <c r="N237" s="653">
        <f>'WK5a - Impact on Rates'!K145</f>
        <v>0</v>
      </c>
      <c r="O237" s="654">
        <f>'WK5a - Impact on Rates'!L145</f>
        <v>0</v>
      </c>
      <c r="P237" s="3"/>
      <c r="Q237" s="3"/>
      <c r="R237" s="96"/>
      <c r="S237" s="3"/>
      <c r="T237" s="3"/>
      <c r="U237" s="3"/>
      <c r="V237" s="3"/>
      <c r="W237" s="3"/>
      <c r="X237" s="3"/>
      <c r="Y237" s="3"/>
      <c r="Z237" s="3"/>
      <c r="AA237" s="3"/>
      <c r="AB237" s="3"/>
      <c r="AC237" s="3"/>
    </row>
    <row r="238" spans="1:29" outlineLevel="1" x14ac:dyDescent="0.2">
      <c r="A238" s="3"/>
      <c r="B238" s="630" t="str">
        <f>'WK5a - Impact on Rates'!C146</f>
        <v>Business</v>
      </c>
      <c r="C238" s="619" t="str">
        <f>'WK5a - Impact on Rates'!D146</f>
        <v/>
      </c>
      <c r="D238" s="3"/>
      <c r="E238" s="135"/>
      <c r="F238" s="3"/>
      <c r="G238" s="96"/>
      <c r="H238" s="652" t="str">
        <f>'WK5a - Impact on Rates'!E146</f>
        <v>.</v>
      </c>
      <c r="I238" s="653" t="str">
        <f>'WK5a - Impact on Rates'!F146</f>
        <v>.</v>
      </c>
      <c r="J238" s="653">
        <f>'WK5a - Impact on Rates'!G146</f>
        <v>0</v>
      </c>
      <c r="K238" s="653">
        <f>'WK5a - Impact on Rates'!H146</f>
        <v>0</v>
      </c>
      <c r="L238" s="653">
        <f>'WK5a - Impact on Rates'!I146</f>
        <v>0</v>
      </c>
      <c r="M238" s="653">
        <f>'WK5a - Impact on Rates'!J146</f>
        <v>0</v>
      </c>
      <c r="N238" s="653">
        <f>'WK5a - Impact on Rates'!K146</f>
        <v>0</v>
      </c>
      <c r="O238" s="654">
        <f>'WK5a - Impact on Rates'!L146</f>
        <v>0</v>
      </c>
      <c r="P238" s="3"/>
      <c r="Q238" s="3"/>
      <c r="R238" s="96"/>
      <c r="S238" s="3"/>
      <c r="T238" s="3"/>
      <c r="U238" s="3"/>
      <c r="V238" s="3"/>
      <c r="W238" s="3"/>
      <c r="X238" s="3"/>
      <c r="Y238" s="3"/>
      <c r="Z238" s="3"/>
      <c r="AA238" s="3"/>
      <c r="AB238" s="3"/>
      <c r="AC238" s="3"/>
    </row>
    <row r="239" spans="1:29" outlineLevel="1" x14ac:dyDescent="0.2">
      <c r="A239" s="3"/>
      <c r="B239" s="630" t="str">
        <f>'WK5a - Impact on Rates'!C147</f>
        <v>Business</v>
      </c>
      <c r="C239" s="619" t="str">
        <f>'WK5a - Impact on Rates'!D147</f>
        <v/>
      </c>
      <c r="D239" s="3"/>
      <c r="E239" s="135"/>
      <c r="F239" s="3"/>
      <c r="G239" s="96"/>
      <c r="H239" s="652" t="str">
        <f>'WK5a - Impact on Rates'!E147</f>
        <v>.</v>
      </c>
      <c r="I239" s="653" t="str">
        <f>'WK5a - Impact on Rates'!F147</f>
        <v>.</v>
      </c>
      <c r="J239" s="653">
        <f>'WK5a - Impact on Rates'!G147</f>
        <v>0</v>
      </c>
      <c r="K239" s="653">
        <f>'WK5a - Impact on Rates'!H147</f>
        <v>0</v>
      </c>
      <c r="L239" s="653">
        <f>'WK5a - Impact on Rates'!I147</f>
        <v>0</v>
      </c>
      <c r="M239" s="653">
        <f>'WK5a - Impact on Rates'!J147</f>
        <v>0</v>
      </c>
      <c r="N239" s="653">
        <f>'WK5a - Impact on Rates'!K147</f>
        <v>0</v>
      </c>
      <c r="O239" s="654">
        <f>'WK5a - Impact on Rates'!L147</f>
        <v>0</v>
      </c>
      <c r="P239" s="3"/>
      <c r="Q239" s="3"/>
      <c r="R239" s="96"/>
      <c r="S239" s="3"/>
      <c r="T239" s="3"/>
      <c r="U239" s="3"/>
      <c r="V239" s="3"/>
      <c r="W239" s="3"/>
      <c r="X239" s="3"/>
      <c r="Y239" s="3"/>
      <c r="Z239" s="3"/>
      <c r="AA239" s="3"/>
      <c r="AB239" s="3"/>
      <c r="AC239" s="3"/>
    </row>
    <row r="240" spans="1:29" outlineLevel="1" x14ac:dyDescent="0.2">
      <c r="A240" s="3"/>
      <c r="B240" s="630" t="str">
        <f>'WK5a - Impact on Rates'!C148</f>
        <v>Business</v>
      </c>
      <c r="C240" s="619" t="str">
        <f>'WK5a - Impact on Rates'!D148</f>
        <v/>
      </c>
      <c r="D240" s="3"/>
      <c r="E240" s="135"/>
      <c r="F240" s="3"/>
      <c r="G240" s="96"/>
      <c r="H240" s="652" t="str">
        <f>'WK5a - Impact on Rates'!E148</f>
        <v>.</v>
      </c>
      <c r="I240" s="653" t="str">
        <f>'WK5a - Impact on Rates'!F148</f>
        <v>.</v>
      </c>
      <c r="J240" s="653">
        <f>'WK5a - Impact on Rates'!G148</f>
        <v>0</v>
      </c>
      <c r="K240" s="653">
        <f>'WK5a - Impact on Rates'!H148</f>
        <v>0</v>
      </c>
      <c r="L240" s="653">
        <f>'WK5a - Impact on Rates'!I148</f>
        <v>0</v>
      </c>
      <c r="M240" s="653">
        <f>'WK5a - Impact on Rates'!J148</f>
        <v>0</v>
      </c>
      <c r="N240" s="653">
        <f>'WK5a - Impact on Rates'!K148</f>
        <v>0</v>
      </c>
      <c r="O240" s="654">
        <f>'WK5a - Impact on Rates'!L148</f>
        <v>0</v>
      </c>
      <c r="P240" s="3"/>
      <c r="Q240" s="3"/>
      <c r="R240" s="96"/>
      <c r="S240" s="3"/>
      <c r="T240" s="3"/>
      <c r="U240" s="3"/>
      <c r="V240" s="3"/>
      <c r="W240" s="3"/>
      <c r="X240" s="3"/>
      <c r="Y240" s="3"/>
      <c r="Z240" s="3"/>
      <c r="AA240" s="3"/>
      <c r="AB240" s="3"/>
      <c r="AC240" s="3"/>
    </row>
    <row r="241" spans="1:29" outlineLevel="1" x14ac:dyDescent="0.2">
      <c r="A241" s="3"/>
      <c r="B241" s="630" t="str">
        <f>'WK5a - Impact on Rates'!C149</f>
        <v>Business</v>
      </c>
      <c r="C241" s="619" t="str">
        <f>'WK5a - Impact on Rates'!D149</f>
        <v/>
      </c>
      <c r="D241" s="3"/>
      <c r="E241" s="135"/>
      <c r="F241" s="3"/>
      <c r="G241" s="96"/>
      <c r="H241" s="652" t="str">
        <f>'WK5a - Impact on Rates'!E149</f>
        <v>.</v>
      </c>
      <c r="I241" s="653" t="str">
        <f>'WK5a - Impact on Rates'!F149</f>
        <v>.</v>
      </c>
      <c r="J241" s="653">
        <f>'WK5a - Impact on Rates'!G149</f>
        <v>0</v>
      </c>
      <c r="K241" s="653">
        <f>'WK5a - Impact on Rates'!H149</f>
        <v>0</v>
      </c>
      <c r="L241" s="653">
        <f>'WK5a - Impact on Rates'!I149</f>
        <v>0</v>
      </c>
      <c r="M241" s="653">
        <f>'WK5a - Impact on Rates'!J149</f>
        <v>0</v>
      </c>
      <c r="N241" s="653">
        <f>'WK5a - Impact on Rates'!K149</f>
        <v>0</v>
      </c>
      <c r="O241" s="654">
        <f>'WK5a - Impact on Rates'!L149</f>
        <v>0</v>
      </c>
      <c r="P241" s="3"/>
      <c r="Q241" s="3"/>
      <c r="R241" s="96"/>
      <c r="S241" s="3"/>
      <c r="T241" s="3"/>
      <c r="U241" s="3"/>
      <c r="V241" s="3"/>
      <c r="W241" s="3"/>
      <c r="X241" s="3"/>
      <c r="Y241" s="3"/>
      <c r="Z241" s="3"/>
      <c r="AA241" s="3"/>
      <c r="AB241" s="3"/>
      <c r="AC241" s="3"/>
    </row>
    <row r="242" spans="1:29" outlineLevel="1" x14ac:dyDescent="0.2">
      <c r="A242" s="3"/>
      <c r="B242" s="630" t="str">
        <f>'WK5a - Impact on Rates'!C150</f>
        <v>Business</v>
      </c>
      <c r="C242" s="619" t="str">
        <f>'WK5a - Impact on Rates'!D150</f>
        <v/>
      </c>
      <c r="D242" s="3"/>
      <c r="E242" s="135"/>
      <c r="F242" s="3"/>
      <c r="G242" s="96"/>
      <c r="H242" s="652" t="str">
        <f>'WK5a - Impact on Rates'!E150</f>
        <v>.</v>
      </c>
      <c r="I242" s="653" t="str">
        <f>'WK5a - Impact on Rates'!F150</f>
        <v>.</v>
      </c>
      <c r="J242" s="653">
        <f>'WK5a - Impact on Rates'!G150</f>
        <v>0</v>
      </c>
      <c r="K242" s="653">
        <f>'WK5a - Impact on Rates'!H150</f>
        <v>0</v>
      </c>
      <c r="L242" s="653">
        <f>'WK5a - Impact on Rates'!I150</f>
        <v>0</v>
      </c>
      <c r="M242" s="653">
        <f>'WK5a - Impact on Rates'!J150</f>
        <v>0</v>
      </c>
      <c r="N242" s="653">
        <f>'WK5a - Impact on Rates'!K150</f>
        <v>0</v>
      </c>
      <c r="O242" s="654">
        <f>'WK5a - Impact on Rates'!L150</f>
        <v>0</v>
      </c>
      <c r="P242" s="3"/>
      <c r="Q242" s="3"/>
      <c r="R242" s="96"/>
      <c r="S242" s="3"/>
      <c r="T242" s="3"/>
      <c r="U242" s="3"/>
      <c r="V242" s="3"/>
      <c r="W242" s="3"/>
      <c r="X242" s="3"/>
      <c r="Y242" s="3"/>
      <c r="Z242" s="3"/>
      <c r="AA242" s="3"/>
      <c r="AB242" s="3"/>
      <c r="AC242" s="3"/>
    </row>
    <row r="243" spans="1:29" outlineLevel="1" x14ac:dyDescent="0.2">
      <c r="A243" s="3"/>
      <c r="B243" s="630" t="str">
        <f>'WK5a - Impact on Rates'!C151</f>
        <v>Business</v>
      </c>
      <c r="C243" s="619" t="str">
        <f>'WK5a - Impact on Rates'!D151</f>
        <v/>
      </c>
      <c r="D243" s="3"/>
      <c r="E243" s="135"/>
      <c r="F243" s="3"/>
      <c r="G243" s="96"/>
      <c r="H243" s="652" t="str">
        <f>'WK5a - Impact on Rates'!E151</f>
        <v>.</v>
      </c>
      <c r="I243" s="653" t="str">
        <f>'WK5a - Impact on Rates'!F151</f>
        <v>.</v>
      </c>
      <c r="J243" s="653">
        <f>'WK5a - Impact on Rates'!G151</f>
        <v>0</v>
      </c>
      <c r="K243" s="653">
        <f>'WK5a - Impact on Rates'!H151</f>
        <v>0</v>
      </c>
      <c r="L243" s="653">
        <f>'WK5a - Impact on Rates'!I151</f>
        <v>0</v>
      </c>
      <c r="M243" s="653">
        <f>'WK5a - Impact on Rates'!J151</f>
        <v>0</v>
      </c>
      <c r="N243" s="653">
        <f>'WK5a - Impact on Rates'!K151</f>
        <v>0</v>
      </c>
      <c r="O243" s="654">
        <f>'WK5a - Impact on Rates'!L151</f>
        <v>0</v>
      </c>
      <c r="P243" s="3"/>
      <c r="Q243" s="3"/>
      <c r="R243" s="96"/>
      <c r="S243" s="3"/>
      <c r="T243" s="3"/>
      <c r="U243" s="3"/>
      <c r="V243" s="3"/>
      <c r="W243" s="3"/>
      <c r="X243" s="3"/>
      <c r="Y243" s="3"/>
      <c r="Z243" s="3"/>
      <c r="AA243" s="3"/>
      <c r="AB243" s="3"/>
      <c r="AC243" s="3"/>
    </row>
    <row r="244" spans="1:29" outlineLevel="1" x14ac:dyDescent="0.2">
      <c r="A244" s="3"/>
      <c r="B244" s="630" t="str">
        <f>'WK5a - Impact on Rates'!C152</f>
        <v>Business</v>
      </c>
      <c r="C244" s="619" t="str">
        <f>'WK5a - Impact on Rates'!D152</f>
        <v/>
      </c>
      <c r="D244" s="3"/>
      <c r="E244" s="135"/>
      <c r="F244" s="3"/>
      <c r="G244" s="96"/>
      <c r="H244" s="652" t="str">
        <f>'WK5a - Impact on Rates'!E152</f>
        <v>.</v>
      </c>
      <c r="I244" s="653" t="str">
        <f>'WK5a - Impact on Rates'!F152</f>
        <v>.</v>
      </c>
      <c r="J244" s="653">
        <f>'WK5a - Impact on Rates'!G152</f>
        <v>0</v>
      </c>
      <c r="K244" s="653">
        <f>'WK5a - Impact on Rates'!H152</f>
        <v>0</v>
      </c>
      <c r="L244" s="653">
        <f>'WK5a - Impact on Rates'!I152</f>
        <v>0</v>
      </c>
      <c r="M244" s="653">
        <f>'WK5a - Impact on Rates'!J152</f>
        <v>0</v>
      </c>
      <c r="N244" s="653">
        <f>'WK5a - Impact on Rates'!K152</f>
        <v>0</v>
      </c>
      <c r="O244" s="654">
        <f>'WK5a - Impact on Rates'!L152</f>
        <v>0</v>
      </c>
      <c r="P244" s="3"/>
      <c r="Q244" s="3"/>
      <c r="R244" s="96"/>
      <c r="S244" s="3"/>
      <c r="T244" s="3"/>
      <c r="U244" s="3"/>
      <c r="V244" s="3"/>
      <c r="W244" s="3"/>
      <c r="X244" s="3"/>
      <c r="Y244" s="3"/>
      <c r="Z244" s="3"/>
      <c r="AA244" s="3"/>
      <c r="AB244" s="3"/>
      <c r="AC244" s="3"/>
    </row>
    <row r="245" spans="1:29" outlineLevel="1" x14ac:dyDescent="0.2">
      <c r="A245" s="3"/>
      <c r="B245" s="630" t="str">
        <f>'WK5a - Impact on Rates'!C153</f>
        <v>Business</v>
      </c>
      <c r="C245" s="619" t="str">
        <f>'WK5a - Impact on Rates'!D153</f>
        <v/>
      </c>
      <c r="D245" s="3"/>
      <c r="E245" s="135"/>
      <c r="F245" s="3"/>
      <c r="G245" s="96"/>
      <c r="H245" s="652" t="str">
        <f>'WK5a - Impact on Rates'!E153</f>
        <v>.</v>
      </c>
      <c r="I245" s="653" t="str">
        <f>'WK5a - Impact on Rates'!F153</f>
        <v>.</v>
      </c>
      <c r="J245" s="653">
        <f>'WK5a - Impact on Rates'!G153</f>
        <v>0</v>
      </c>
      <c r="K245" s="653">
        <f>'WK5a - Impact on Rates'!H153</f>
        <v>0</v>
      </c>
      <c r="L245" s="653">
        <f>'WK5a - Impact on Rates'!I153</f>
        <v>0</v>
      </c>
      <c r="M245" s="653">
        <f>'WK5a - Impact on Rates'!J153</f>
        <v>0</v>
      </c>
      <c r="N245" s="653">
        <f>'WK5a - Impact on Rates'!K153</f>
        <v>0</v>
      </c>
      <c r="O245" s="654">
        <f>'WK5a - Impact on Rates'!L153</f>
        <v>0</v>
      </c>
      <c r="P245" s="3"/>
      <c r="Q245" s="3"/>
      <c r="R245" s="96"/>
      <c r="S245" s="3"/>
      <c r="T245" s="3"/>
      <c r="U245" s="3"/>
      <c r="V245" s="3"/>
      <c r="W245" s="3"/>
      <c r="X245" s="3"/>
      <c r="Y245" s="3"/>
      <c r="Z245" s="3"/>
      <c r="AA245" s="3"/>
      <c r="AB245" s="3"/>
      <c r="AC245" s="3"/>
    </row>
    <row r="246" spans="1:29" x14ac:dyDescent="0.2">
      <c r="A246" s="3"/>
      <c r="B246" s="630" t="str">
        <f>'WK5a - Impact on Rates'!C154</f>
        <v>Special rate</v>
      </c>
      <c r="C246" s="619" t="str">
        <f>'WK5a - Impact on Rates'!D154</f>
        <v>Cachments - Business</v>
      </c>
      <c r="D246" s="3"/>
      <c r="E246" s="135"/>
      <c r="F246" s="3"/>
      <c r="G246" s="96"/>
      <c r="H246" s="652">
        <f>'WK5a - Impact on Rates'!E154</f>
        <v>114.73799376677329</v>
      </c>
      <c r="I246" s="653">
        <f>'WK5a - Impact on Rates'!F154</f>
        <v>124.39372194558796</v>
      </c>
      <c r="J246" s="653">
        <f>'WK5a - Impact on Rates'!G154</f>
        <v>133.72325109150705</v>
      </c>
      <c r="K246" s="653">
        <f>'WK5a - Impact on Rates'!H154</f>
        <v>142.41526241245501</v>
      </c>
      <c r="L246" s="653">
        <f>'WK5a - Impact on Rates'!I154</f>
        <v>150.24810184514001</v>
      </c>
      <c r="M246" s="653">
        <f>'WK5a - Impact on Rates'!J154</f>
        <v>154.00430439126851</v>
      </c>
      <c r="N246" s="653">
        <f>'WK5a - Impact on Rates'!K154</f>
        <v>157.85441200105021</v>
      </c>
      <c r="O246" s="654">
        <f>'WK5a - Impact on Rates'!L154</f>
        <v>161.80077230107645</v>
      </c>
      <c r="P246" s="3"/>
      <c r="Q246" s="3"/>
      <c r="R246" s="96"/>
      <c r="S246" s="3"/>
      <c r="T246" s="3"/>
      <c r="U246" s="3"/>
      <c r="V246" s="3"/>
      <c r="W246" s="3"/>
      <c r="X246" s="3"/>
      <c r="Y246" s="3"/>
      <c r="Z246" s="3"/>
      <c r="AA246" s="3"/>
      <c r="AB246" s="3"/>
      <c r="AC246" s="3"/>
    </row>
    <row r="247" spans="1:29" x14ac:dyDescent="0.2">
      <c r="A247" s="3"/>
      <c r="B247" s="630" t="str">
        <f>'WK5a - Impact on Rates'!C155</f>
        <v>Special rate</v>
      </c>
      <c r="C247" s="619" t="str">
        <f>'WK5a - Impact on Rates'!D155</f>
        <v>Cachments - Hornsby CBD</v>
      </c>
      <c r="D247" s="3"/>
      <c r="E247" s="135"/>
      <c r="F247" s="3"/>
      <c r="G247" s="96"/>
      <c r="H247" s="652">
        <f>'WK5a - Impact on Rates'!E155</f>
        <v>245.19293451349111</v>
      </c>
      <c r="I247" s="653">
        <f>'WK5a - Impact on Rates'!F155</f>
        <v>265.84013060994084</v>
      </c>
      <c r="J247" s="653">
        <f>'WK5a - Impact on Rates'!G155</f>
        <v>285.77814040568637</v>
      </c>
      <c r="K247" s="653">
        <f>'WK5a - Impact on Rates'!H155</f>
        <v>304.35371953205595</v>
      </c>
      <c r="L247" s="653">
        <f>'WK5a - Impact on Rates'!I155</f>
        <v>321.093174106319</v>
      </c>
      <c r="M247" s="653">
        <f>'WK5a - Impact on Rates'!J155</f>
        <v>329.12050345897694</v>
      </c>
      <c r="N247" s="653">
        <f>'WK5a - Impact on Rates'!K155</f>
        <v>337.34851604545133</v>
      </c>
      <c r="O247" s="654">
        <f>'WK5a - Impact on Rates'!L155</f>
        <v>345.78222894658757</v>
      </c>
      <c r="P247" s="3"/>
      <c r="Q247" s="3"/>
      <c r="R247" s="96"/>
      <c r="S247" s="3"/>
      <c r="T247" s="3"/>
      <c r="U247" s="3"/>
      <c r="V247" s="3"/>
      <c r="W247" s="3"/>
      <c r="X247" s="3"/>
      <c r="Y247" s="3"/>
      <c r="Z247" s="3"/>
      <c r="AA247" s="3"/>
      <c r="AB247" s="3"/>
      <c r="AC247" s="3"/>
    </row>
    <row r="248" spans="1:29" x14ac:dyDescent="0.2">
      <c r="A248" s="3"/>
      <c r="B248" s="630" t="str">
        <f>'WK5a - Impact on Rates'!C156</f>
        <v>Special rate</v>
      </c>
      <c r="C248" s="619" t="str">
        <f>'WK5a - Impact on Rates'!D156</f>
        <v>Cachments - Shopping Centre</v>
      </c>
      <c r="D248" s="3"/>
      <c r="E248" s="135"/>
      <c r="F248" s="3"/>
      <c r="G248" s="96"/>
      <c r="H248" s="652">
        <f>'WK5a - Impact on Rates'!E156</f>
        <v>12792.841398</v>
      </c>
      <c r="I248" s="653">
        <f>'WK5a - Impact on Rates'!F156</f>
        <v>13869.731226</v>
      </c>
      <c r="J248" s="653">
        <f>'WK5a - Impact on Rates'!G156</f>
        <v>14909.96106795</v>
      </c>
      <c r="K248" s="653">
        <f>'WK5a - Impact on Rates'!H156</f>
        <v>15879.10853736675</v>
      </c>
      <c r="L248" s="653">
        <f>'WK5a - Impact on Rates'!I156</f>
        <v>16752.459506921921</v>
      </c>
      <c r="M248" s="653">
        <f>'WK5a - Impact on Rates'!J156</f>
        <v>17171.270994594968</v>
      </c>
      <c r="N248" s="653">
        <f>'WK5a - Impact on Rates'!K156</f>
        <v>17600.552769459842</v>
      </c>
      <c r="O248" s="654">
        <f>'WK5a - Impact on Rates'!L156</f>
        <v>18040.566588696336</v>
      </c>
      <c r="P248" s="3"/>
      <c r="Q248" s="3"/>
      <c r="R248" s="96"/>
      <c r="S248" s="3"/>
      <c r="T248" s="3"/>
      <c r="U248" s="3"/>
      <c r="V248" s="3"/>
      <c r="W248" s="3"/>
      <c r="X248" s="3"/>
      <c r="Y248" s="3"/>
      <c r="Z248" s="3"/>
      <c r="AA248" s="3"/>
      <c r="AB248" s="3"/>
      <c r="AC248" s="3"/>
    </row>
    <row r="249" spans="1:29" x14ac:dyDescent="0.2">
      <c r="A249" s="3"/>
      <c r="B249" s="630" t="str">
        <f>'WK5a - Impact on Rates'!C157</f>
        <v>Special rate</v>
      </c>
      <c r="C249" s="619" t="str">
        <f>'WK5a - Impact on Rates'!D157</f>
        <v/>
      </c>
      <c r="D249" s="3"/>
      <c r="E249" s="135"/>
      <c r="F249" s="3"/>
      <c r="G249" s="96"/>
      <c r="H249" s="652" t="str">
        <f>'WK5a - Impact on Rates'!E157</f>
        <v>.</v>
      </c>
      <c r="I249" s="653" t="str">
        <f>'WK5a - Impact on Rates'!F157</f>
        <v>.</v>
      </c>
      <c r="J249" s="653">
        <f>'WK5a - Impact on Rates'!G157</f>
        <v>0</v>
      </c>
      <c r="K249" s="653">
        <f>'WK5a - Impact on Rates'!H157</f>
        <v>0</v>
      </c>
      <c r="L249" s="653">
        <f>'WK5a - Impact on Rates'!I157</f>
        <v>0</v>
      </c>
      <c r="M249" s="653">
        <f>'WK5a - Impact on Rates'!J157</f>
        <v>0</v>
      </c>
      <c r="N249" s="653">
        <f>'WK5a - Impact on Rates'!K157</f>
        <v>0</v>
      </c>
      <c r="O249" s="654">
        <f>'WK5a - Impact on Rates'!L157</f>
        <v>0</v>
      </c>
      <c r="P249" s="3"/>
      <c r="Q249" s="3"/>
      <c r="R249" s="96"/>
      <c r="S249" s="3"/>
      <c r="T249" s="3"/>
      <c r="U249" s="3"/>
      <c r="V249" s="3"/>
      <c r="W249" s="3"/>
      <c r="X249" s="3"/>
      <c r="Y249" s="3"/>
      <c r="Z249" s="3"/>
      <c r="AA249" s="3"/>
      <c r="AB249" s="3"/>
      <c r="AC249" s="3"/>
    </row>
    <row r="250" spans="1:29" ht="12" thickBot="1" x14ac:dyDescent="0.25">
      <c r="A250" s="3"/>
      <c r="B250" s="630" t="str">
        <f>'WK5a - Impact on Rates'!C158</f>
        <v>Special rate</v>
      </c>
      <c r="C250" s="619" t="str">
        <f>'WK5a - Impact on Rates'!D158</f>
        <v/>
      </c>
      <c r="D250" s="3"/>
      <c r="E250" s="135"/>
      <c r="F250" s="3"/>
      <c r="G250" s="96"/>
      <c r="H250" s="652" t="str">
        <f>'WK5a - Impact on Rates'!E158</f>
        <v>.</v>
      </c>
      <c r="I250" s="653" t="str">
        <f>'WK5a - Impact on Rates'!F158</f>
        <v>.</v>
      </c>
      <c r="J250" s="653">
        <f>'WK5a - Impact on Rates'!G158</f>
        <v>0</v>
      </c>
      <c r="K250" s="653">
        <f>'WK5a - Impact on Rates'!H158</f>
        <v>0</v>
      </c>
      <c r="L250" s="653">
        <f>'WK5a - Impact on Rates'!I158</f>
        <v>0</v>
      </c>
      <c r="M250" s="653">
        <f>'WK5a - Impact on Rates'!J158</f>
        <v>0</v>
      </c>
      <c r="N250" s="653">
        <f>'WK5a - Impact on Rates'!K158</f>
        <v>0</v>
      </c>
      <c r="O250" s="654">
        <f>'WK5a - Impact on Rates'!L158</f>
        <v>0</v>
      </c>
      <c r="P250" s="3"/>
      <c r="Q250" s="3"/>
      <c r="R250" s="96"/>
      <c r="S250" s="3"/>
      <c r="T250" s="3"/>
      <c r="U250" s="3"/>
      <c r="V250" s="3"/>
      <c r="W250" s="3"/>
      <c r="X250" s="3"/>
      <c r="Y250" s="3"/>
      <c r="Z250" s="3"/>
      <c r="AA250" s="3"/>
      <c r="AB250" s="3"/>
      <c r="AC250" s="3"/>
    </row>
    <row r="251" spans="1:29" ht="12" hidden="1" outlineLevel="1" thickBot="1" x14ac:dyDescent="0.25">
      <c r="A251" s="3"/>
      <c r="B251" s="630" t="str">
        <f>'WK5a - Impact on Rates'!C159</f>
        <v>Special rate</v>
      </c>
      <c r="C251" s="619" t="str">
        <f>'WK5a - Impact on Rates'!D159</f>
        <v/>
      </c>
      <c r="D251" s="3"/>
      <c r="E251" s="135"/>
      <c r="F251" s="3"/>
      <c r="G251" s="96"/>
      <c r="H251" s="652" t="str">
        <f>'WK5a - Impact on Rates'!E159</f>
        <v>.</v>
      </c>
      <c r="I251" s="653" t="str">
        <f>'WK5a - Impact on Rates'!F159</f>
        <v>.</v>
      </c>
      <c r="J251" s="653">
        <f>'WK5a - Impact on Rates'!G159</f>
        <v>0</v>
      </c>
      <c r="K251" s="653">
        <f>'WK5a - Impact on Rates'!H159</f>
        <v>0</v>
      </c>
      <c r="L251" s="653">
        <f>'WK5a - Impact on Rates'!I159</f>
        <v>0</v>
      </c>
      <c r="M251" s="653">
        <f>'WK5a - Impact on Rates'!J159</f>
        <v>0</v>
      </c>
      <c r="N251" s="653">
        <f>'WK5a - Impact on Rates'!K159</f>
        <v>0</v>
      </c>
      <c r="O251" s="654">
        <f>'WK5a - Impact on Rates'!L159</f>
        <v>0</v>
      </c>
      <c r="P251" s="3"/>
      <c r="Q251" s="3"/>
      <c r="R251" s="96"/>
      <c r="S251" s="3"/>
      <c r="T251" s="3"/>
      <c r="U251" s="3"/>
      <c r="V251" s="3"/>
      <c r="W251" s="3"/>
      <c r="X251" s="3"/>
      <c r="Y251" s="3"/>
      <c r="Z251" s="3"/>
      <c r="AA251" s="3"/>
      <c r="AB251" s="3"/>
      <c r="AC251" s="3"/>
    </row>
    <row r="252" spans="1:29" ht="12" hidden="1" outlineLevel="1" thickBot="1" x14ac:dyDescent="0.25">
      <c r="A252" s="3"/>
      <c r="B252" s="630" t="str">
        <f>'WK5a - Impact on Rates'!C160</f>
        <v>Special rate</v>
      </c>
      <c r="C252" s="619" t="str">
        <f>'WK5a - Impact on Rates'!D160</f>
        <v/>
      </c>
      <c r="D252" s="3"/>
      <c r="E252" s="135"/>
      <c r="F252" s="3"/>
      <c r="G252" s="96"/>
      <c r="H252" s="652" t="str">
        <f>'WK5a - Impact on Rates'!E160</f>
        <v>.</v>
      </c>
      <c r="I252" s="653" t="str">
        <f>'WK5a - Impact on Rates'!F160</f>
        <v>.</v>
      </c>
      <c r="J252" s="653">
        <f>'WK5a - Impact on Rates'!G160</f>
        <v>0</v>
      </c>
      <c r="K252" s="653">
        <f>'WK5a - Impact on Rates'!H160</f>
        <v>0</v>
      </c>
      <c r="L252" s="653">
        <f>'WK5a - Impact on Rates'!I160</f>
        <v>0</v>
      </c>
      <c r="M252" s="653">
        <f>'WK5a - Impact on Rates'!J160</f>
        <v>0</v>
      </c>
      <c r="N252" s="653">
        <f>'WK5a - Impact on Rates'!K160</f>
        <v>0</v>
      </c>
      <c r="O252" s="654">
        <f>'WK5a - Impact on Rates'!L160</f>
        <v>0</v>
      </c>
      <c r="P252" s="3"/>
      <c r="Q252" s="3"/>
      <c r="R252" s="96"/>
      <c r="S252" s="3"/>
      <c r="T252" s="3"/>
      <c r="U252" s="3"/>
      <c r="V252" s="3"/>
      <c r="W252" s="3"/>
      <c r="X252" s="3"/>
      <c r="Y252" s="3"/>
      <c r="Z252" s="3"/>
      <c r="AA252" s="3"/>
      <c r="AB252" s="3"/>
      <c r="AC252" s="3"/>
    </row>
    <row r="253" spans="1:29" ht="12" hidden="1" outlineLevel="1" thickBot="1" x14ac:dyDescent="0.25">
      <c r="A253" s="3"/>
      <c r="B253" s="630" t="str">
        <f>'WK5a - Impact on Rates'!C161</f>
        <v>Special rate</v>
      </c>
      <c r="C253" s="619" t="str">
        <f>'WK5a - Impact on Rates'!D161</f>
        <v/>
      </c>
      <c r="D253" s="3"/>
      <c r="E253" s="135"/>
      <c r="F253" s="3"/>
      <c r="G253" s="96"/>
      <c r="H253" s="652" t="str">
        <f>'WK5a - Impact on Rates'!E161</f>
        <v>.</v>
      </c>
      <c r="I253" s="653" t="str">
        <f>'WK5a - Impact on Rates'!F161</f>
        <v>.</v>
      </c>
      <c r="J253" s="653">
        <f>'WK5a - Impact on Rates'!G161</f>
        <v>0</v>
      </c>
      <c r="K253" s="653">
        <f>'WK5a - Impact on Rates'!H161</f>
        <v>0</v>
      </c>
      <c r="L253" s="653">
        <f>'WK5a - Impact on Rates'!I161</f>
        <v>0</v>
      </c>
      <c r="M253" s="653">
        <f>'WK5a - Impact on Rates'!J161</f>
        <v>0</v>
      </c>
      <c r="N253" s="653">
        <f>'WK5a - Impact on Rates'!K161</f>
        <v>0</v>
      </c>
      <c r="O253" s="654">
        <f>'WK5a - Impact on Rates'!L161</f>
        <v>0</v>
      </c>
      <c r="P253" s="3"/>
      <c r="Q253" s="3"/>
      <c r="R253" s="96"/>
      <c r="S253" s="3"/>
      <c r="T253" s="3"/>
      <c r="U253" s="3"/>
      <c r="V253" s="3"/>
      <c r="W253" s="3"/>
      <c r="X253" s="3"/>
      <c r="Y253" s="3"/>
      <c r="Z253" s="3"/>
      <c r="AA253" s="3"/>
      <c r="AB253" s="3"/>
      <c r="AC253" s="3"/>
    </row>
    <row r="254" spans="1:29" ht="12" hidden="1" outlineLevel="1" thickBot="1" x14ac:dyDescent="0.25">
      <c r="A254" s="3"/>
      <c r="B254" s="630" t="str">
        <f>'WK5a - Impact on Rates'!C162</f>
        <v>Special rate</v>
      </c>
      <c r="C254" s="619" t="str">
        <f>'WK5a - Impact on Rates'!D162</f>
        <v/>
      </c>
      <c r="D254" s="3"/>
      <c r="E254" s="135"/>
      <c r="F254" s="3"/>
      <c r="G254" s="96"/>
      <c r="H254" s="652" t="str">
        <f>'WK5a - Impact on Rates'!E162</f>
        <v>.</v>
      </c>
      <c r="I254" s="653" t="str">
        <f>'WK5a - Impact on Rates'!F162</f>
        <v>.</v>
      </c>
      <c r="J254" s="653">
        <f>'WK5a - Impact on Rates'!G162</f>
        <v>0</v>
      </c>
      <c r="K254" s="653">
        <f>'WK5a - Impact on Rates'!H162</f>
        <v>0</v>
      </c>
      <c r="L254" s="653">
        <f>'WK5a - Impact on Rates'!I162</f>
        <v>0</v>
      </c>
      <c r="M254" s="653">
        <f>'WK5a - Impact on Rates'!J162</f>
        <v>0</v>
      </c>
      <c r="N254" s="653">
        <f>'WK5a - Impact on Rates'!K162</f>
        <v>0</v>
      </c>
      <c r="O254" s="654">
        <f>'WK5a - Impact on Rates'!L162</f>
        <v>0</v>
      </c>
      <c r="P254" s="3"/>
      <c r="Q254" s="3"/>
      <c r="R254" s="96"/>
      <c r="S254" s="3"/>
      <c r="T254" s="3"/>
      <c r="U254" s="3"/>
      <c r="V254" s="3"/>
      <c r="W254" s="3"/>
      <c r="X254" s="3"/>
      <c r="Y254" s="3"/>
      <c r="Z254" s="3"/>
      <c r="AA254" s="3"/>
      <c r="AB254" s="3"/>
      <c r="AC254" s="3"/>
    </row>
    <row r="255" spans="1:29" ht="12" hidden="1" outlineLevel="1" thickBot="1" x14ac:dyDescent="0.25">
      <c r="A255" s="3"/>
      <c r="B255" s="630" t="str">
        <f>'WK5a - Impact on Rates'!C163</f>
        <v>Special rate</v>
      </c>
      <c r="C255" s="619" t="str">
        <f>'WK5a - Impact on Rates'!D163</f>
        <v/>
      </c>
      <c r="D255" s="3"/>
      <c r="E255" s="135"/>
      <c r="F255" s="3"/>
      <c r="G255" s="96"/>
      <c r="H255" s="652" t="str">
        <f>'WK5a - Impact on Rates'!E163</f>
        <v>.</v>
      </c>
      <c r="I255" s="653" t="str">
        <f>'WK5a - Impact on Rates'!F163</f>
        <v>.</v>
      </c>
      <c r="J255" s="653">
        <f>'WK5a - Impact on Rates'!G163</f>
        <v>0</v>
      </c>
      <c r="K255" s="653">
        <f>'WK5a - Impact on Rates'!H163</f>
        <v>0</v>
      </c>
      <c r="L255" s="653">
        <f>'WK5a - Impact on Rates'!I163</f>
        <v>0</v>
      </c>
      <c r="M255" s="653">
        <f>'WK5a - Impact on Rates'!J163</f>
        <v>0</v>
      </c>
      <c r="N255" s="653">
        <f>'WK5a - Impact on Rates'!K163</f>
        <v>0</v>
      </c>
      <c r="O255" s="654">
        <f>'WK5a - Impact on Rates'!L163</f>
        <v>0</v>
      </c>
      <c r="P255" s="3"/>
      <c r="Q255" s="3"/>
      <c r="R255" s="96"/>
      <c r="S255" s="3"/>
      <c r="T255" s="3"/>
      <c r="U255" s="3"/>
      <c r="V255" s="3"/>
      <c r="W255" s="3"/>
      <c r="X255" s="3"/>
      <c r="Y255" s="3"/>
      <c r="Z255" s="3"/>
      <c r="AA255" s="3"/>
      <c r="AB255" s="3"/>
      <c r="AC255" s="3"/>
    </row>
    <row r="256" spans="1:29" ht="12" hidden="1" outlineLevel="1" thickBot="1" x14ac:dyDescent="0.25">
      <c r="A256" s="3"/>
      <c r="B256" s="630" t="str">
        <f>'WK5a - Impact on Rates'!C164</f>
        <v>Special rate</v>
      </c>
      <c r="C256" s="619" t="str">
        <f>'WK5a - Impact on Rates'!D164</f>
        <v/>
      </c>
      <c r="D256" s="3"/>
      <c r="E256" s="135"/>
      <c r="F256" s="3"/>
      <c r="G256" s="96"/>
      <c r="H256" s="652" t="str">
        <f>'WK5a - Impact on Rates'!E164</f>
        <v>.</v>
      </c>
      <c r="I256" s="653" t="str">
        <f>'WK5a - Impact on Rates'!F164</f>
        <v>.</v>
      </c>
      <c r="J256" s="653">
        <f>'WK5a - Impact on Rates'!G164</f>
        <v>0</v>
      </c>
      <c r="K256" s="653">
        <f>'WK5a - Impact on Rates'!H164</f>
        <v>0</v>
      </c>
      <c r="L256" s="653">
        <f>'WK5a - Impact on Rates'!I164</f>
        <v>0</v>
      </c>
      <c r="M256" s="653">
        <f>'WK5a - Impact on Rates'!J164</f>
        <v>0</v>
      </c>
      <c r="N256" s="653">
        <f>'WK5a - Impact on Rates'!K164</f>
        <v>0</v>
      </c>
      <c r="O256" s="654">
        <f>'WK5a - Impact on Rates'!L164</f>
        <v>0</v>
      </c>
      <c r="P256" s="3"/>
      <c r="Q256" s="3"/>
      <c r="R256" s="96"/>
      <c r="S256" s="3"/>
      <c r="T256" s="3"/>
      <c r="U256" s="3"/>
      <c r="V256" s="3"/>
      <c r="W256" s="3"/>
      <c r="X256" s="3"/>
      <c r="Y256" s="3"/>
      <c r="Z256" s="3"/>
      <c r="AA256" s="3"/>
      <c r="AB256" s="3"/>
      <c r="AC256" s="3"/>
    </row>
    <row r="257" spans="1:29" ht="12" hidden="1" outlineLevel="1" thickBot="1" x14ac:dyDescent="0.25">
      <c r="A257" s="3"/>
      <c r="B257" s="630" t="str">
        <f>'WK5a - Impact on Rates'!C165</f>
        <v>Special rate</v>
      </c>
      <c r="C257" s="619" t="str">
        <f>'WK5a - Impact on Rates'!D165</f>
        <v/>
      </c>
      <c r="D257" s="3"/>
      <c r="E257" s="135"/>
      <c r="F257" s="3"/>
      <c r="G257" s="96"/>
      <c r="H257" s="652" t="str">
        <f>'WK5a - Impact on Rates'!E165</f>
        <v>.</v>
      </c>
      <c r="I257" s="653" t="str">
        <f>'WK5a - Impact on Rates'!F165</f>
        <v>.</v>
      </c>
      <c r="J257" s="653">
        <f>'WK5a - Impact on Rates'!G165</f>
        <v>0</v>
      </c>
      <c r="K257" s="653">
        <f>'WK5a - Impact on Rates'!H165</f>
        <v>0</v>
      </c>
      <c r="L257" s="653">
        <f>'WK5a - Impact on Rates'!I165</f>
        <v>0</v>
      </c>
      <c r="M257" s="653">
        <f>'WK5a - Impact on Rates'!J165</f>
        <v>0</v>
      </c>
      <c r="N257" s="653">
        <f>'WK5a - Impact on Rates'!K165</f>
        <v>0</v>
      </c>
      <c r="O257" s="654">
        <f>'WK5a - Impact on Rates'!L165</f>
        <v>0</v>
      </c>
      <c r="P257" s="3"/>
      <c r="Q257" s="3"/>
      <c r="R257" s="96"/>
      <c r="S257" s="3"/>
      <c r="T257" s="3"/>
      <c r="U257" s="3"/>
      <c r="V257" s="3"/>
      <c r="W257" s="3"/>
      <c r="X257" s="3"/>
      <c r="Y257" s="3"/>
      <c r="Z257" s="3"/>
      <c r="AA257" s="3"/>
      <c r="AB257" s="3"/>
      <c r="AC257" s="3"/>
    </row>
    <row r="258" spans="1:29" ht="12" hidden="1" outlineLevel="1" thickBot="1" x14ac:dyDescent="0.25">
      <c r="A258" s="3"/>
      <c r="B258" s="630" t="str">
        <f>'WK5a - Impact on Rates'!C166</f>
        <v>Special rate</v>
      </c>
      <c r="C258" s="619" t="str">
        <f>'WK5a - Impact on Rates'!D166</f>
        <v/>
      </c>
      <c r="D258" s="3"/>
      <c r="E258" s="135"/>
      <c r="F258" s="3"/>
      <c r="G258" s="96"/>
      <c r="H258" s="652" t="str">
        <f>'WK5a - Impact on Rates'!E166</f>
        <v>.</v>
      </c>
      <c r="I258" s="653" t="str">
        <f>'WK5a - Impact on Rates'!F166</f>
        <v>.</v>
      </c>
      <c r="J258" s="653">
        <f>'WK5a - Impact on Rates'!G166</f>
        <v>0</v>
      </c>
      <c r="K258" s="653">
        <f>'WK5a - Impact on Rates'!H166</f>
        <v>0</v>
      </c>
      <c r="L258" s="653">
        <f>'WK5a - Impact on Rates'!I166</f>
        <v>0</v>
      </c>
      <c r="M258" s="653">
        <f>'WK5a - Impact on Rates'!J166</f>
        <v>0</v>
      </c>
      <c r="N258" s="653">
        <f>'WK5a - Impact on Rates'!K166</f>
        <v>0</v>
      </c>
      <c r="O258" s="654">
        <f>'WK5a - Impact on Rates'!L166</f>
        <v>0</v>
      </c>
      <c r="P258" s="3"/>
      <c r="Q258" s="3"/>
      <c r="R258" s="96"/>
      <c r="S258" s="3"/>
      <c r="T258" s="3"/>
      <c r="U258" s="3"/>
      <c r="V258" s="3"/>
      <c r="W258" s="3"/>
      <c r="X258" s="3"/>
      <c r="Y258" s="3"/>
      <c r="Z258" s="3"/>
      <c r="AA258" s="3"/>
      <c r="AB258" s="3"/>
      <c r="AC258" s="3"/>
    </row>
    <row r="259" spans="1:29" ht="12" hidden="1" outlineLevel="1" thickBot="1" x14ac:dyDescent="0.25">
      <c r="A259" s="3"/>
      <c r="B259" s="630" t="str">
        <f>'WK5a - Impact on Rates'!C167</f>
        <v>Special rate</v>
      </c>
      <c r="C259" s="619" t="str">
        <f>'WK5a - Impact on Rates'!D167</f>
        <v/>
      </c>
      <c r="D259" s="3"/>
      <c r="E259" s="135"/>
      <c r="F259" s="3"/>
      <c r="G259" s="96"/>
      <c r="H259" s="652" t="str">
        <f>'WK5a - Impact on Rates'!E167</f>
        <v>.</v>
      </c>
      <c r="I259" s="653" t="str">
        <f>'WK5a - Impact on Rates'!F167</f>
        <v>.</v>
      </c>
      <c r="J259" s="653">
        <f>'WK5a - Impact on Rates'!G167</f>
        <v>0</v>
      </c>
      <c r="K259" s="653">
        <f>'WK5a - Impact on Rates'!H167</f>
        <v>0</v>
      </c>
      <c r="L259" s="653">
        <f>'WK5a - Impact on Rates'!I167</f>
        <v>0</v>
      </c>
      <c r="M259" s="653">
        <f>'WK5a - Impact on Rates'!J167</f>
        <v>0</v>
      </c>
      <c r="N259" s="653">
        <f>'WK5a - Impact on Rates'!K167</f>
        <v>0</v>
      </c>
      <c r="O259" s="654">
        <f>'WK5a - Impact on Rates'!L167</f>
        <v>0</v>
      </c>
      <c r="P259" s="3"/>
      <c r="Q259" s="3"/>
      <c r="R259" s="96"/>
      <c r="S259" s="3"/>
      <c r="T259" s="3"/>
      <c r="U259" s="3"/>
      <c r="V259" s="3"/>
      <c r="W259" s="3"/>
      <c r="X259" s="3"/>
      <c r="Y259" s="3"/>
      <c r="Z259" s="3"/>
      <c r="AA259" s="3"/>
      <c r="AB259" s="3"/>
      <c r="AC259" s="3"/>
    </row>
    <row r="260" spans="1:29" ht="12" hidden="1" outlineLevel="1" thickBot="1" x14ac:dyDescent="0.25">
      <c r="A260" s="3"/>
      <c r="B260" s="630" t="str">
        <f>'WK5a - Impact on Rates'!C168</f>
        <v>Special rate</v>
      </c>
      <c r="C260" s="619" t="str">
        <f>'WK5a - Impact on Rates'!D168</f>
        <v/>
      </c>
      <c r="D260" s="3"/>
      <c r="E260" s="135"/>
      <c r="F260" s="3"/>
      <c r="G260" s="96"/>
      <c r="H260" s="652" t="str">
        <f>'WK5a - Impact on Rates'!E168</f>
        <v>.</v>
      </c>
      <c r="I260" s="653" t="str">
        <f>'WK5a - Impact on Rates'!F168</f>
        <v>.</v>
      </c>
      <c r="J260" s="653">
        <f>'WK5a - Impact on Rates'!G168</f>
        <v>0</v>
      </c>
      <c r="K260" s="653">
        <f>'WK5a - Impact on Rates'!H168</f>
        <v>0</v>
      </c>
      <c r="L260" s="653">
        <f>'WK5a - Impact on Rates'!I168</f>
        <v>0</v>
      </c>
      <c r="M260" s="653">
        <f>'WK5a - Impact on Rates'!J168</f>
        <v>0</v>
      </c>
      <c r="N260" s="653">
        <f>'WK5a - Impact on Rates'!K168</f>
        <v>0</v>
      </c>
      <c r="O260" s="654">
        <f>'WK5a - Impact on Rates'!L168</f>
        <v>0</v>
      </c>
      <c r="P260" s="3"/>
      <c r="Q260" s="3"/>
      <c r="R260" s="96"/>
      <c r="S260" s="3"/>
      <c r="T260" s="3"/>
      <c r="U260" s="3"/>
      <c r="V260" s="3"/>
      <c r="W260" s="3"/>
      <c r="X260" s="3"/>
      <c r="Y260" s="3"/>
      <c r="Z260" s="3"/>
      <c r="AA260" s="3"/>
      <c r="AB260" s="3"/>
      <c r="AC260" s="3"/>
    </row>
    <row r="261" spans="1:29" ht="12" hidden="1" outlineLevel="1" thickBot="1" x14ac:dyDescent="0.25">
      <c r="A261" s="3"/>
      <c r="B261" s="630" t="str">
        <f>'WK5a - Impact on Rates'!C169</f>
        <v>Special rate</v>
      </c>
      <c r="C261" s="619" t="str">
        <f>'WK5a - Impact on Rates'!D169</f>
        <v/>
      </c>
      <c r="D261" s="3"/>
      <c r="E261" s="135"/>
      <c r="F261" s="3"/>
      <c r="G261" s="96"/>
      <c r="H261" s="652" t="str">
        <f>'WK5a - Impact on Rates'!E169</f>
        <v>.</v>
      </c>
      <c r="I261" s="653" t="str">
        <f>'WK5a - Impact on Rates'!F169</f>
        <v>.</v>
      </c>
      <c r="J261" s="653">
        <f>'WK5a - Impact on Rates'!G169</f>
        <v>0</v>
      </c>
      <c r="K261" s="653">
        <f>'WK5a - Impact on Rates'!H169</f>
        <v>0</v>
      </c>
      <c r="L261" s="653">
        <f>'WK5a - Impact on Rates'!I169</f>
        <v>0</v>
      </c>
      <c r="M261" s="653">
        <f>'WK5a - Impact on Rates'!J169</f>
        <v>0</v>
      </c>
      <c r="N261" s="653">
        <f>'WK5a - Impact on Rates'!K169</f>
        <v>0</v>
      </c>
      <c r="O261" s="654">
        <f>'WK5a - Impact on Rates'!L169</f>
        <v>0</v>
      </c>
      <c r="P261" s="3"/>
      <c r="Q261" s="3"/>
      <c r="R261" s="96"/>
      <c r="S261" s="3"/>
      <c r="T261" s="3"/>
      <c r="U261" s="3"/>
      <c r="V261" s="3"/>
      <c r="W261" s="3"/>
      <c r="X261" s="3"/>
      <c r="Y261" s="3"/>
      <c r="Z261" s="3"/>
      <c r="AA261" s="3"/>
      <c r="AB261" s="3"/>
      <c r="AC261" s="3"/>
    </row>
    <row r="262" spans="1:29" ht="12" hidden="1" outlineLevel="1" thickBot="1" x14ac:dyDescent="0.25">
      <c r="A262" s="3"/>
      <c r="B262" s="630" t="str">
        <f>'WK5a - Impact on Rates'!C170</f>
        <v>Special rate</v>
      </c>
      <c r="C262" s="619" t="str">
        <f>'WK5a - Impact on Rates'!D170</f>
        <v/>
      </c>
      <c r="D262" s="3"/>
      <c r="E262" s="135"/>
      <c r="F262" s="3"/>
      <c r="G262" s="96"/>
      <c r="H262" s="652" t="str">
        <f>'WK5a - Impact on Rates'!E170</f>
        <v>.</v>
      </c>
      <c r="I262" s="653" t="str">
        <f>'WK5a - Impact on Rates'!F170</f>
        <v>.</v>
      </c>
      <c r="J262" s="653">
        <f>'WK5a - Impact on Rates'!G170</f>
        <v>0</v>
      </c>
      <c r="K262" s="653">
        <f>'WK5a - Impact on Rates'!H170</f>
        <v>0</v>
      </c>
      <c r="L262" s="653">
        <f>'WK5a - Impact on Rates'!I170</f>
        <v>0</v>
      </c>
      <c r="M262" s="653">
        <f>'WK5a - Impact on Rates'!J170</f>
        <v>0</v>
      </c>
      <c r="N262" s="653">
        <f>'WK5a - Impact on Rates'!K170</f>
        <v>0</v>
      </c>
      <c r="O262" s="654">
        <f>'WK5a - Impact on Rates'!L170</f>
        <v>0</v>
      </c>
      <c r="P262" s="3"/>
      <c r="Q262" s="3"/>
      <c r="R262" s="96"/>
      <c r="S262" s="3"/>
      <c r="T262" s="3"/>
      <c r="U262" s="3"/>
      <c r="V262" s="3"/>
      <c r="W262" s="3"/>
      <c r="X262" s="3"/>
      <c r="Y262" s="3"/>
      <c r="Z262" s="3"/>
      <c r="AA262" s="3"/>
      <c r="AB262" s="3"/>
      <c r="AC262" s="3"/>
    </row>
    <row r="263" spans="1:29" ht="12" hidden="1" outlineLevel="1" thickBot="1" x14ac:dyDescent="0.25">
      <c r="A263" s="3"/>
      <c r="B263" s="630" t="str">
        <f>'WK5a - Impact on Rates'!C171</f>
        <v>Special rate</v>
      </c>
      <c r="C263" s="619" t="str">
        <f>'WK5a - Impact on Rates'!D171</f>
        <v/>
      </c>
      <c r="D263" s="3"/>
      <c r="E263" s="135"/>
      <c r="F263" s="3"/>
      <c r="G263" s="96"/>
      <c r="H263" s="652" t="str">
        <f>'WK5a - Impact on Rates'!E171</f>
        <v>.</v>
      </c>
      <c r="I263" s="653" t="str">
        <f>'WK5a - Impact on Rates'!F171</f>
        <v>.</v>
      </c>
      <c r="J263" s="653">
        <f>'WK5a - Impact on Rates'!G171</f>
        <v>0</v>
      </c>
      <c r="K263" s="653">
        <f>'WK5a - Impact on Rates'!H171</f>
        <v>0</v>
      </c>
      <c r="L263" s="653">
        <f>'WK5a - Impact on Rates'!I171</f>
        <v>0</v>
      </c>
      <c r="M263" s="653">
        <f>'WK5a - Impact on Rates'!J171</f>
        <v>0</v>
      </c>
      <c r="N263" s="653">
        <f>'WK5a - Impact on Rates'!K171</f>
        <v>0</v>
      </c>
      <c r="O263" s="654">
        <f>'WK5a - Impact on Rates'!L171</f>
        <v>0</v>
      </c>
      <c r="P263" s="3"/>
      <c r="Q263" s="3"/>
      <c r="R263" s="96"/>
      <c r="S263" s="3"/>
      <c r="T263" s="3"/>
      <c r="U263" s="3"/>
      <c r="V263" s="3"/>
      <c r="W263" s="3"/>
      <c r="X263" s="3"/>
      <c r="Y263" s="3"/>
      <c r="Z263" s="3"/>
      <c r="AA263" s="3"/>
      <c r="AB263" s="3"/>
      <c r="AC263" s="3"/>
    </row>
    <row r="264" spans="1:29" ht="12" hidden="1" outlineLevel="1" thickBot="1" x14ac:dyDescent="0.25">
      <c r="A264" s="3"/>
      <c r="B264" s="630" t="str">
        <f>'WK5a - Impact on Rates'!C172</f>
        <v>Special rate</v>
      </c>
      <c r="C264" s="619" t="str">
        <f>'WK5a - Impact on Rates'!D172</f>
        <v/>
      </c>
      <c r="D264" s="3"/>
      <c r="E264" s="135"/>
      <c r="F264" s="3"/>
      <c r="G264" s="96"/>
      <c r="H264" s="652" t="str">
        <f>'WK5a - Impact on Rates'!E172</f>
        <v>.</v>
      </c>
      <c r="I264" s="653" t="str">
        <f>'WK5a - Impact on Rates'!F172</f>
        <v>.</v>
      </c>
      <c r="J264" s="653">
        <f>'WK5a - Impact on Rates'!G172</f>
        <v>0</v>
      </c>
      <c r="K264" s="653">
        <f>'WK5a - Impact on Rates'!H172</f>
        <v>0</v>
      </c>
      <c r="L264" s="653">
        <f>'WK5a - Impact on Rates'!I172</f>
        <v>0</v>
      </c>
      <c r="M264" s="653">
        <f>'WK5a - Impact on Rates'!J172</f>
        <v>0</v>
      </c>
      <c r="N264" s="653">
        <f>'WK5a - Impact on Rates'!K172</f>
        <v>0</v>
      </c>
      <c r="O264" s="654">
        <f>'WK5a - Impact on Rates'!L172</f>
        <v>0</v>
      </c>
      <c r="P264" s="3"/>
      <c r="Q264" s="3"/>
      <c r="R264" s="96"/>
      <c r="S264" s="3"/>
      <c r="T264" s="3"/>
      <c r="U264" s="3"/>
      <c r="V264" s="3"/>
      <c r="W264" s="3"/>
      <c r="X264" s="3"/>
      <c r="Y264" s="3"/>
      <c r="Z264" s="3"/>
      <c r="AA264" s="3"/>
      <c r="AB264" s="3"/>
      <c r="AC264" s="3"/>
    </row>
    <row r="265" spans="1:29" ht="12" hidden="1" outlineLevel="1" thickBot="1" x14ac:dyDescent="0.25">
      <c r="A265" s="3"/>
      <c r="B265" s="630" t="str">
        <f>'WK5a - Impact on Rates'!C173</f>
        <v>Special rate</v>
      </c>
      <c r="C265" s="619" t="str">
        <f>'WK5a - Impact on Rates'!D173</f>
        <v/>
      </c>
      <c r="D265" s="3"/>
      <c r="E265" s="135"/>
      <c r="F265" s="3"/>
      <c r="G265" s="96"/>
      <c r="H265" s="652" t="str">
        <f>'WK5a - Impact on Rates'!E173</f>
        <v>.</v>
      </c>
      <c r="I265" s="653" t="str">
        <f>'WK5a - Impact on Rates'!F173</f>
        <v>.</v>
      </c>
      <c r="J265" s="653">
        <f>'WK5a - Impact on Rates'!G173</f>
        <v>0</v>
      </c>
      <c r="K265" s="653">
        <f>'WK5a - Impact on Rates'!H173</f>
        <v>0</v>
      </c>
      <c r="L265" s="653">
        <f>'WK5a - Impact on Rates'!I173</f>
        <v>0</v>
      </c>
      <c r="M265" s="653">
        <f>'WK5a - Impact on Rates'!J173</f>
        <v>0</v>
      </c>
      <c r="N265" s="653">
        <f>'WK5a - Impact on Rates'!K173</f>
        <v>0</v>
      </c>
      <c r="O265" s="654">
        <f>'WK5a - Impact on Rates'!L173</f>
        <v>0</v>
      </c>
      <c r="P265" s="3"/>
      <c r="Q265" s="3"/>
      <c r="R265" s="96"/>
      <c r="S265" s="3"/>
      <c r="T265" s="3"/>
      <c r="U265" s="3"/>
      <c r="V265" s="3"/>
      <c r="W265" s="3"/>
      <c r="X265" s="3"/>
      <c r="Y265" s="3"/>
      <c r="Z265" s="3"/>
      <c r="AA265" s="3"/>
      <c r="AB265" s="3"/>
      <c r="AC265" s="3"/>
    </row>
    <row r="266" spans="1:29" ht="12.6" collapsed="1" thickTop="1" thickBot="1" x14ac:dyDescent="0.25">
      <c r="A266" s="3"/>
      <c r="B266" s="893" t="str">
        <f>B236</f>
        <v>Business</v>
      </c>
      <c r="C266" s="619" t="str">
        <f>'WK5a - Impact on Rates'!D174</f>
        <v>TOTAL AVERAGE</v>
      </c>
      <c r="D266" s="3"/>
      <c r="E266" s="135"/>
      <c r="F266" s="3"/>
      <c r="G266" s="96"/>
      <c r="H266" s="652">
        <f>'WK5a - Impact on Rates'!E174</f>
        <v>3440.6532788065088</v>
      </c>
      <c r="I266" s="653">
        <f>'WK5a - Impact on Rates'!F174</f>
        <v>3733.1133079888627</v>
      </c>
      <c r="J266" s="653">
        <f>'WK5a - Impact on Rates'!G174</f>
        <v>4013.0968060880268</v>
      </c>
      <c r="K266" s="653">
        <f>'WK5a - Impact on Rates'!H174</f>
        <v>4273.9480984837492</v>
      </c>
      <c r="L266" s="653">
        <f>'WK5a - Impact on Rates'!I174</f>
        <v>4509.015243900355</v>
      </c>
      <c r="M266" s="653">
        <f>'WK5a - Impact on Rates'!J174</f>
        <v>4621.740624997864</v>
      </c>
      <c r="N266" s="653">
        <f>'WK5a - Impact on Rates'!K174</f>
        <v>4737.2841406228099</v>
      </c>
      <c r="O266" s="654">
        <f>'WK5a - Impact on Rates'!L174</f>
        <v>4855.7162441383807</v>
      </c>
      <c r="P266" s="3"/>
      <c r="Q266" s="3"/>
      <c r="R266" s="96"/>
      <c r="S266" s="3"/>
      <c r="T266" s="3"/>
      <c r="U266" s="3"/>
      <c r="V266" s="3"/>
      <c r="W266" s="3"/>
      <c r="X266" s="3"/>
      <c r="Y266" s="3"/>
      <c r="Z266" s="3"/>
      <c r="AA266" s="3"/>
      <c r="AB266" s="3"/>
      <c r="AC266" s="3"/>
    </row>
    <row r="267" spans="1:29" ht="12" thickTop="1" x14ac:dyDescent="0.2">
      <c r="A267" s="3"/>
      <c r="B267" s="630" t="str">
        <f>'WK5a - Impact on Rates'!C175</f>
        <v>Farmland</v>
      </c>
      <c r="C267" s="619" t="str">
        <f>'WK5a - Impact on Rates'!D175</f>
        <v>Farmland</v>
      </c>
      <c r="D267" s="3"/>
      <c r="E267" s="135"/>
      <c r="F267" s="3"/>
      <c r="G267" s="96"/>
      <c r="H267" s="652">
        <f>'WK5a - Impact on Rates'!E175</f>
        <v>2032.1048904952077</v>
      </c>
      <c r="I267" s="653">
        <f>'WK5a - Impact on Rates'!F175</f>
        <v>2204.8512777156552</v>
      </c>
      <c r="J267" s="653">
        <f>'WK5a - Impact on Rates'!G175</f>
        <v>2370.2251235443296</v>
      </c>
      <c r="K267" s="653">
        <f>'WK5a - Impact on Rates'!H175</f>
        <v>2524.2797565747105</v>
      </c>
      <c r="L267" s="653">
        <f>'WK5a - Impact on Rates'!I175</f>
        <v>2663.1151431863195</v>
      </c>
      <c r="M267" s="653">
        <f>'WK5a - Impact on Rates'!J175</f>
        <v>2729.6930217659774</v>
      </c>
      <c r="N267" s="653">
        <f>'WK5a - Impact on Rates'!K175</f>
        <v>2797.9353473101264</v>
      </c>
      <c r="O267" s="654">
        <f>'WK5a - Impact on Rates'!L175</f>
        <v>2867.8837309928795</v>
      </c>
      <c r="P267" s="3"/>
      <c r="Q267" s="3"/>
      <c r="R267" s="96"/>
      <c r="S267" s="3"/>
      <c r="T267" s="3"/>
      <c r="U267" s="3"/>
      <c r="V267" s="3"/>
      <c r="W267" s="3"/>
      <c r="X267" s="3"/>
      <c r="Y267" s="3"/>
      <c r="Z267" s="3"/>
      <c r="AA267" s="3"/>
      <c r="AB267" s="3"/>
      <c r="AC267" s="3"/>
    </row>
    <row r="268" spans="1:29" x14ac:dyDescent="0.2">
      <c r="A268" s="3"/>
      <c r="B268" s="630" t="str">
        <f>'WK5a - Impact on Rates'!C176</f>
        <v>Farmland</v>
      </c>
      <c r="C268" s="619" t="str">
        <f>'WK5a - Impact on Rates'!D176</f>
        <v/>
      </c>
      <c r="D268" s="3"/>
      <c r="E268" s="135"/>
      <c r="F268" s="3"/>
      <c r="G268" s="96"/>
      <c r="H268" s="652" t="str">
        <f>'WK5a - Impact on Rates'!E176</f>
        <v>.</v>
      </c>
      <c r="I268" s="653" t="str">
        <f>'WK5a - Impact on Rates'!F176</f>
        <v>.</v>
      </c>
      <c r="J268" s="653">
        <f>'WK5a - Impact on Rates'!G176</f>
        <v>0</v>
      </c>
      <c r="K268" s="653">
        <f>'WK5a - Impact on Rates'!H176</f>
        <v>0</v>
      </c>
      <c r="L268" s="653">
        <f>'WK5a - Impact on Rates'!I176</f>
        <v>0</v>
      </c>
      <c r="M268" s="653">
        <f>'WK5a - Impact on Rates'!J176</f>
        <v>0</v>
      </c>
      <c r="N268" s="653">
        <f>'WK5a - Impact on Rates'!K176</f>
        <v>0</v>
      </c>
      <c r="O268" s="654">
        <f>'WK5a - Impact on Rates'!L176</f>
        <v>0</v>
      </c>
      <c r="P268" s="3"/>
      <c r="Q268" s="3"/>
      <c r="R268" s="96"/>
      <c r="S268" s="3"/>
      <c r="T268" s="3"/>
      <c r="U268" s="3"/>
      <c r="V268" s="3"/>
      <c r="W268" s="3"/>
      <c r="X268" s="3"/>
      <c r="Y268" s="3"/>
      <c r="Z268" s="3"/>
      <c r="AA268" s="3"/>
      <c r="AB268" s="3"/>
      <c r="AC268" s="3"/>
    </row>
    <row r="269" spans="1:29" x14ac:dyDescent="0.2">
      <c r="A269" s="3"/>
      <c r="B269" s="630" t="str">
        <f>'WK5a - Impact on Rates'!C177</f>
        <v>Farmland</v>
      </c>
      <c r="C269" s="619" t="str">
        <f>'WK5a - Impact on Rates'!D177</f>
        <v/>
      </c>
      <c r="D269" s="3"/>
      <c r="E269" s="135"/>
      <c r="F269" s="3"/>
      <c r="G269" s="96"/>
      <c r="H269" s="652" t="str">
        <f>'WK5a - Impact on Rates'!E177</f>
        <v>.</v>
      </c>
      <c r="I269" s="653" t="str">
        <f>'WK5a - Impact on Rates'!F177</f>
        <v>.</v>
      </c>
      <c r="J269" s="653">
        <f>'WK5a - Impact on Rates'!G177</f>
        <v>0</v>
      </c>
      <c r="K269" s="653">
        <f>'WK5a - Impact on Rates'!H177</f>
        <v>0</v>
      </c>
      <c r="L269" s="653">
        <f>'WK5a - Impact on Rates'!I177</f>
        <v>0</v>
      </c>
      <c r="M269" s="653">
        <f>'WK5a - Impact on Rates'!J177</f>
        <v>0</v>
      </c>
      <c r="N269" s="653">
        <f>'WK5a - Impact on Rates'!K177</f>
        <v>0</v>
      </c>
      <c r="O269" s="654">
        <f>'WK5a - Impact on Rates'!L177</f>
        <v>0</v>
      </c>
      <c r="P269" s="3"/>
      <c r="Q269" s="3"/>
      <c r="R269" s="96"/>
      <c r="S269" s="3"/>
      <c r="T269" s="3"/>
      <c r="U269" s="3"/>
      <c r="V269" s="3"/>
      <c r="W269" s="3"/>
      <c r="X269" s="3"/>
      <c r="Y269" s="3"/>
      <c r="Z269" s="3"/>
      <c r="AA269" s="3"/>
      <c r="AB269" s="3"/>
      <c r="AC269" s="3"/>
    </row>
    <row r="270" spans="1:29" hidden="1" outlineLevel="1" x14ac:dyDescent="0.2">
      <c r="A270" s="3"/>
      <c r="B270" s="630" t="str">
        <f>'WK5a - Impact on Rates'!C178</f>
        <v>Farmland</v>
      </c>
      <c r="C270" s="619" t="str">
        <f>'WK5a - Impact on Rates'!D178</f>
        <v/>
      </c>
      <c r="D270" s="3"/>
      <c r="E270" s="135"/>
      <c r="F270" s="3"/>
      <c r="G270" s="96"/>
      <c r="H270" s="652" t="str">
        <f>'WK5a - Impact on Rates'!E178</f>
        <v>.</v>
      </c>
      <c r="I270" s="653" t="str">
        <f>'WK5a - Impact on Rates'!F178</f>
        <v>.</v>
      </c>
      <c r="J270" s="653">
        <f>'WK5a - Impact on Rates'!G178</f>
        <v>0</v>
      </c>
      <c r="K270" s="653">
        <f>'WK5a - Impact on Rates'!H178</f>
        <v>0</v>
      </c>
      <c r="L270" s="653">
        <f>'WK5a - Impact on Rates'!I178</f>
        <v>0</v>
      </c>
      <c r="M270" s="653">
        <f>'WK5a - Impact on Rates'!J178</f>
        <v>0</v>
      </c>
      <c r="N270" s="653">
        <f>'WK5a - Impact on Rates'!K178</f>
        <v>0</v>
      </c>
      <c r="O270" s="654">
        <f>'WK5a - Impact on Rates'!L178</f>
        <v>0</v>
      </c>
      <c r="P270" s="3"/>
      <c r="Q270" s="3"/>
      <c r="R270" s="96"/>
      <c r="S270" s="3"/>
      <c r="T270" s="3"/>
      <c r="U270" s="3"/>
      <c r="V270" s="3"/>
      <c r="W270" s="3"/>
      <c r="X270" s="3"/>
      <c r="Y270" s="3"/>
      <c r="Z270" s="3"/>
      <c r="AA270" s="3"/>
      <c r="AB270" s="3"/>
      <c r="AC270" s="3"/>
    </row>
    <row r="271" spans="1:29" hidden="1" outlineLevel="1" x14ac:dyDescent="0.2">
      <c r="A271" s="3"/>
      <c r="B271" s="630" t="str">
        <f>'WK5a - Impact on Rates'!C179</f>
        <v>Farmland</v>
      </c>
      <c r="C271" s="619" t="str">
        <f>'WK5a - Impact on Rates'!D179</f>
        <v/>
      </c>
      <c r="D271" s="3"/>
      <c r="E271" s="135"/>
      <c r="F271" s="3"/>
      <c r="G271" s="96"/>
      <c r="H271" s="652" t="str">
        <f>'WK5a - Impact on Rates'!E179</f>
        <v>.</v>
      </c>
      <c r="I271" s="653" t="str">
        <f>'WK5a - Impact on Rates'!F179</f>
        <v>.</v>
      </c>
      <c r="J271" s="653">
        <f>'WK5a - Impact on Rates'!G179</f>
        <v>0</v>
      </c>
      <c r="K271" s="653">
        <f>'WK5a - Impact on Rates'!H179</f>
        <v>0</v>
      </c>
      <c r="L271" s="653">
        <f>'WK5a - Impact on Rates'!I179</f>
        <v>0</v>
      </c>
      <c r="M271" s="653">
        <f>'WK5a - Impact on Rates'!J179</f>
        <v>0</v>
      </c>
      <c r="N271" s="653">
        <f>'WK5a - Impact on Rates'!K179</f>
        <v>0</v>
      </c>
      <c r="O271" s="654">
        <f>'WK5a - Impact on Rates'!L179</f>
        <v>0</v>
      </c>
      <c r="P271" s="3"/>
      <c r="Q271" s="3"/>
      <c r="R271" s="96"/>
      <c r="S271" s="3"/>
      <c r="T271" s="3"/>
      <c r="U271" s="3"/>
      <c r="V271" s="3"/>
      <c r="W271" s="3"/>
      <c r="X271" s="3"/>
      <c r="Y271" s="3"/>
      <c r="Z271" s="3"/>
      <c r="AA271" s="3"/>
      <c r="AB271" s="3"/>
      <c r="AC271" s="3"/>
    </row>
    <row r="272" spans="1:29" hidden="1" outlineLevel="1" x14ac:dyDescent="0.2">
      <c r="A272" s="3"/>
      <c r="B272" s="630" t="str">
        <f>'WK5a - Impact on Rates'!C180</f>
        <v>Farmland</v>
      </c>
      <c r="C272" s="619" t="str">
        <f>'WK5a - Impact on Rates'!D180</f>
        <v/>
      </c>
      <c r="D272" s="3"/>
      <c r="E272" s="135"/>
      <c r="F272" s="3"/>
      <c r="G272" s="96"/>
      <c r="H272" s="652" t="str">
        <f>'WK5a - Impact on Rates'!E180</f>
        <v>.</v>
      </c>
      <c r="I272" s="653" t="str">
        <f>'WK5a - Impact on Rates'!F180</f>
        <v>.</v>
      </c>
      <c r="J272" s="653">
        <f>'WK5a - Impact on Rates'!G180</f>
        <v>0</v>
      </c>
      <c r="K272" s="653">
        <f>'WK5a - Impact on Rates'!H180</f>
        <v>0</v>
      </c>
      <c r="L272" s="653">
        <f>'WK5a - Impact on Rates'!I180</f>
        <v>0</v>
      </c>
      <c r="M272" s="653">
        <f>'WK5a - Impact on Rates'!J180</f>
        <v>0</v>
      </c>
      <c r="N272" s="653">
        <f>'WK5a - Impact on Rates'!K180</f>
        <v>0</v>
      </c>
      <c r="O272" s="654">
        <f>'WK5a - Impact on Rates'!L180</f>
        <v>0</v>
      </c>
      <c r="P272" s="3"/>
      <c r="Q272" s="3"/>
      <c r="R272" s="96"/>
      <c r="S272" s="3"/>
      <c r="T272" s="3"/>
      <c r="U272" s="3"/>
      <c r="V272" s="3"/>
      <c r="W272" s="3"/>
      <c r="X272" s="3"/>
      <c r="Y272" s="3"/>
      <c r="Z272" s="3"/>
      <c r="AA272" s="3"/>
      <c r="AB272" s="3"/>
      <c r="AC272" s="3"/>
    </row>
    <row r="273" spans="1:29" hidden="1" outlineLevel="1" x14ac:dyDescent="0.2">
      <c r="A273" s="3"/>
      <c r="B273" s="630" t="str">
        <f>'WK5a - Impact on Rates'!C181</f>
        <v>Farmland</v>
      </c>
      <c r="C273" s="619" t="str">
        <f>'WK5a - Impact on Rates'!D181</f>
        <v/>
      </c>
      <c r="D273" s="3"/>
      <c r="E273" s="135"/>
      <c r="F273" s="3"/>
      <c r="G273" s="96"/>
      <c r="H273" s="652" t="str">
        <f>'WK5a - Impact on Rates'!E181</f>
        <v>.</v>
      </c>
      <c r="I273" s="653" t="str">
        <f>'WK5a - Impact on Rates'!F181</f>
        <v>.</v>
      </c>
      <c r="J273" s="653">
        <f>'WK5a - Impact on Rates'!G181</f>
        <v>0</v>
      </c>
      <c r="K273" s="653">
        <f>'WK5a - Impact on Rates'!H181</f>
        <v>0</v>
      </c>
      <c r="L273" s="653">
        <f>'WK5a - Impact on Rates'!I181</f>
        <v>0</v>
      </c>
      <c r="M273" s="653">
        <f>'WK5a - Impact on Rates'!J181</f>
        <v>0</v>
      </c>
      <c r="N273" s="653">
        <f>'WK5a - Impact on Rates'!K181</f>
        <v>0</v>
      </c>
      <c r="O273" s="654">
        <f>'WK5a - Impact on Rates'!L181</f>
        <v>0</v>
      </c>
      <c r="P273" s="3"/>
      <c r="Q273" s="3"/>
      <c r="R273" s="96"/>
      <c r="S273" s="3"/>
      <c r="T273" s="3"/>
      <c r="U273" s="3"/>
      <c r="V273" s="3"/>
      <c r="W273" s="3"/>
      <c r="X273" s="3"/>
      <c r="Y273" s="3"/>
      <c r="Z273" s="3"/>
      <c r="AA273" s="3"/>
      <c r="AB273" s="3"/>
      <c r="AC273" s="3"/>
    </row>
    <row r="274" spans="1:29" hidden="1" outlineLevel="1" x14ac:dyDescent="0.2">
      <c r="A274" s="3"/>
      <c r="B274" s="630" t="str">
        <f>'WK5a - Impact on Rates'!C182</f>
        <v>Farmland</v>
      </c>
      <c r="C274" s="619" t="str">
        <f>'WK5a - Impact on Rates'!D182</f>
        <v/>
      </c>
      <c r="D274" s="3"/>
      <c r="E274" s="135"/>
      <c r="F274" s="3"/>
      <c r="G274" s="96"/>
      <c r="H274" s="652" t="str">
        <f>'WK5a - Impact on Rates'!E182</f>
        <v>.</v>
      </c>
      <c r="I274" s="653" t="str">
        <f>'WK5a - Impact on Rates'!F182</f>
        <v>.</v>
      </c>
      <c r="J274" s="653">
        <f>'WK5a - Impact on Rates'!G182</f>
        <v>0</v>
      </c>
      <c r="K274" s="653">
        <f>'WK5a - Impact on Rates'!H182</f>
        <v>0</v>
      </c>
      <c r="L274" s="653">
        <f>'WK5a - Impact on Rates'!I182</f>
        <v>0</v>
      </c>
      <c r="M274" s="653">
        <f>'WK5a - Impact on Rates'!J182</f>
        <v>0</v>
      </c>
      <c r="N274" s="653">
        <f>'WK5a - Impact on Rates'!K182</f>
        <v>0</v>
      </c>
      <c r="O274" s="654">
        <f>'WK5a - Impact on Rates'!L182</f>
        <v>0</v>
      </c>
      <c r="P274" s="3"/>
      <c r="Q274" s="3"/>
      <c r="R274" s="96"/>
      <c r="S274" s="3"/>
      <c r="T274" s="3"/>
      <c r="U274" s="3"/>
      <c r="V274" s="3"/>
      <c r="W274" s="3"/>
      <c r="X274" s="3"/>
      <c r="Y274" s="3"/>
      <c r="Z274" s="3"/>
      <c r="AA274" s="3"/>
      <c r="AB274" s="3"/>
      <c r="AC274" s="3"/>
    </row>
    <row r="275" spans="1:29" hidden="1" outlineLevel="1" x14ac:dyDescent="0.2">
      <c r="A275" s="3"/>
      <c r="B275" s="630" t="str">
        <f>'WK5a - Impact on Rates'!C183</f>
        <v>Farmland</v>
      </c>
      <c r="C275" s="619" t="str">
        <f>'WK5a - Impact on Rates'!D183</f>
        <v/>
      </c>
      <c r="D275" s="3"/>
      <c r="E275" s="135"/>
      <c r="F275" s="3"/>
      <c r="G275" s="96"/>
      <c r="H275" s="652" t="str">
        <f>'WK5a - Impact on Rates'!E183</f>
        <v>.</v>
      </c>
      <c r="I275" s="653" t="str">
        <f>'WK5a - Impact on Rates'!F183</f>
        <v>.</v>
      </c>
      <c r="J275" s="653">
        <f>'WK5a - Impact on Rates'!G183</f>
        <v>0</v>
      </c>
      <c r="K275" s="653">
        <f>'WK5a - Impact on Rates'!H183</f>
        <v>0</v>
      </c>
      <c r="L275" s="653">
        <f>'WK5a - Impact on Rates'!I183</f>
        <v>0</v>
      </c>
      <c r="M275" s="653">
        <f>'WK5a - Impact on Rates'!J183</f>
        <v>0</v>
      </c>
      <c r="N275" s="653">
        <f>'WK5a - Impact on Rates'!K183</f>
        <v>0</v>
      </c>
      <c r="O275" s="654">
        <f>'WK5a - Impact on Rates'!L183</f>
        <v>0</v>
      </c>
      <c r="P275" s="3"/>
      <c r="Q275" s="3"/>
      <c r="R275" s="96"/>
      <c r="S275" s="3"/>
      <c r="T275" s="3"/>
      <c r="U275" s="3"/>
      <c r="V275" s="3"/>
      <c r="W275" s="3"/>
      <c r="X275" s="3"/>
      <c r="Y275" s="3"/>
      <c r="Z275" s="3"/>
      <c r="AA275" s="3"/>
      <c r="AB275" s="3"/>
      <c r="AC275" s="3"/>
    </row>
    <row r="276" spans="1:29" hidden="1" outlineLevel="1" x14ac:dyDescent="0.2">
      <c r="A276" s="3"/>
      <c r="B276" s="630" t="str">
        <f>'WK5a - Impact on Rates'!C184</f>
        <v>Farmland</v>
      </c>
      <c r="C276" s="619" t="str">
        <f>'WK5a - Impact on Rates'!D184</f>
        <v/>
      </c>
      <c r="D276" s="3"/>
      <c r="E276" s="135"/>
      <c r="F276" s="3"/>
      <c r="G276" s="96"/>
      <c r="H276" s="652" t="str">
        <f>'WK5a - Impact on Rates'!E184</f>
        <v>.</v>
      </c>
      <c r="I276" s="653" t="str">
        <f>'WK5a - Impact on Rates'!F184</f>
        <v>.</v>
      </c>
      <c r="J276" s="653">
        <f>'WK5a - Impact on Rates'!G184</f>
        <v>0</v>
      </c>
      <c r="K276" s="653">
        <f>'WK5a - Impact on Rates'!H184</f>
        <v>0</v>
      </c>
      <c r="L276" s="653">
        <f>'WK5a - Impact on Rates'!I184</f>
        <v>0</v>
      </c>
      <c r="M276" s="653">
        <f>'WK5a - Impact on Rates'!J184</f>
        <v>0</v>
      </c>
      <c r="N276" s="653">
        <f>'WK5a - Impact on Rates'!K184</f>
        <v>0</v>
      </c>
      <c r="O276" s="654">
        <f>'WK5a - Impact on Rates'!L184</f>
        <v>0</v>
      </c>
      <c r="P276" s="3"/>
      <c r="Q276" s="3"/>
      <c r="R276" s="96"/>
      <c r="S276" s="3"/>
      <c r="T276" s="3"/>
      <c r="U276" s="3"/>
      <c r="V276" s="3"/>
      <c r="W276" s="3"/>
      <c r="X276" s="3"/>
      <c r="Y276" s="3"/>
      <c r="Z276" s="3"/>
      <c r="AA276" s="3"/>
      <c r="AB276" s="3"/>
      <c r="AC276" s="3"/>
    </row>
    <row r="277" spans="1:29" collapsed="1" x14ac:dyDescent="0.2">
      <c r="A277" s="3"/>
      <c r="B277" s="630" t="str">
        <f>'WK5a - Impact on Rates'!C185</f>
        <v>Special rate</v>
      </c>
      <c r="C277" s="619" t="str">
        <f>'WK5a - Impact on Rates'!D185</f>
        <v>Cachments - Farmland</v>
      </c>
      <c r="D277" s="3"/>
      <c r="E277" s="135"/>
      <c r="F277" s="3"/>
      <c r="G277" s="96"/>
      <c r="H277" s="652">
        <f>'WK5a - Impact on Rates'!E185</f>
        <v>101.60165247603835</v>
      </c>
      <c r="I277" s="653">
        <f>'WK5a - Impact on Rates'!F185</f>
        <v>110.15381589456868</v>
      </c>
      <c r="J277" s="653">
        <f>'WK5a - Impact on Rates'!G185</f>
        <v>118.41535208666133</v>
      </c>
      <c r="K277" s="653">
        <f>'WK5a - Impact on Rates'!H185</f>
        <v>126.11234997229431</v>
      </c>
      <c r="L277" s="653">
        <f>'WK5a - Impact on Rates'!I185</f>
        <v>133.04852922077049</v>
      </c>
      <c r="M277" s="653">
        <f>'WK5a - Impact on Rates'!J185</f>
        <v>136.37474245128973</v>
      </c>
      <c r="N277" s="653">
        <f>'WK5a - Impact on Rates'!K185</f>
        <v>139.78411101257197</v>
      </c>
      <c r="O277" s="654">
        <f>'WK5a - Impact on Rates'!L185</f>
        <v>143.27871378788626</v>
      </c>
      <c r="P277" s="3"/>
      <c r="Q277" s="3"/>
      <c r="R277" s="96"/>
      <c r="S277" s="3"/>
      <c r="T277" s="3"/>
      <c r="U277" s="3"/>
      <c r="V277" s="3"/>
      <c r="W277" s="3"/>
      <c r="X277" s="3"/>
      <c r="Y277" s="3"/>
      <c r="Z277" s="3"/>
      <c r="AA277" s="3"/>
      <c r="AB277" s="3"/>
      <c r="AC277" s="3"/>
    </row>
    <row r="278" spans="1:29" ht="12" thickBot="1" x14ac:dyDescent="0.25">
      <c r="A278" s="3"/>
      <c r="B278" s="630" t="str">
        <f>'WK5a - Impact on Rates'!C186</f>
        <v>Special rate</v>
      </c>
      <c r="C278" s="619" t="str">
        <f>'WK5a - Impact on Rates'!D186</f>
        <v/>
      </c>
      <c r="D278" s="3"/>
      <c r="E278" s="135"/>
      <c r="F278" s="3"/>
      <c r="G278" s="96"/>
      <c r="H278" s="652" t="str">
        <f>'WK5a - Impact on Rates'!E186</f>
        <v>.</v>
      </c>
      <c r="I278" s="653" t="str">
        <f>'WK5a - Impact on Rates'!F186</f>
        <v>.</v>
      </c>
      <c r="J278" s="653">
        <f>'WK5a - Impact on Rates'!G186</f>
        <v>0</v>
      </c>
      <c r="K278" s="653">
        <f>'WK5a - Impact on Rates'!H186</f>
        <v>0</v>
      </c>
      <c r="L278" s="653">
        <f>'WK5a - Impact on Rates'!I186</f>
        <v>0</v>
      </c>
      <c r="M278" s="653">
        <f>'WK5a - Impact on Rates'!J186</f>
        <v>0</v>
      </c>
      <c r="N278" s="653">
        <f>'WK5a - Impact on Rates'!K186</f>
        <v>0</v>
      </c>
      <c r="O278" s="654">
        <f>'WK5a - Impact on Rates'!L186</f>
        <v>0</v>
      </c>
      <c r="P278" s="3"/>
      <c r="Q278" s="3"/>
      <c r="R278" s="96"/>
      <c r="S278" s="3"/>
      <c r="T278" s="3"/>
      <c r="U278" s="3"/>
      <c r="V278" s="3"/>
      <c r="W278" s="3"/>
      <c r="X278" s="3"/>
      <c r="Y278" s="3"/>
      <c r="Z278" s="3"/>
      <c r="AA278" s="3"/>
      <c r="AB278" s="3"/>
      <c r="AC278" s="3"/>
    </row>
    <row r="279" spans="1:29" ht="12" hidden="1" outlineLevel="1" thickBot="1" x14ac:dyDescent="0.25">
      <c r="A279" s="3"/>
      <c r="B279" s="630" t="str">
        <f>'WK5a - Impact on Rates'!C187</f>
        <v>Special rate</v>
      </c>
      <c r="C279" s="619" t="str">
        <f>'WK5a - Impact on Rates'!D187</f>
        <v/>
      </c>
      <c r="D279" s="3"/>
      <c r="E279" s="135"/>
      <c r="F279" s="3"/>
      <c r="G279" s="96"/>
      <c r="H279" s="652" t="str">
        <f>'WK5a - Impact on Rates'!E187</f>
        <v>.</v>
      </c>
      <c r="I279" s="653" t="str">
        <f>'WK5a - Impact on Rates'!F187</f>
        <v>.</v>
      </c>
      <c r="J279" s="653">
        <f>'WK5a - Impact on Rates'!G187</f>
        <v>0</v>
      </c>
      <c r="K279" s="653">
        <f>'WK5a - Impact on Rates'!H187</f>
        <v>0</v>
      </c>
      <c r="L279" s="653">
        <f>'WK5a - Impact on Rates'!I187</f>
        <v>0</v>
      </c>
      <c r="M279" s="653">
        <f>'WK5a - Impact on Rates'!J187</f>
        <v>0</v>
      </c>
      <c r="N279" s="653">
        <f>'WK5a - Impact on Rates'!K187</f>
        <v>0</v>
      </c>
      <c r="O279" s="654">
        <f>'WK5a - Impact on Rates'!L187</f>
        <v>0</v>
      </c>
      <c r="P279" s="3"/>
      <c r="Q279" s="3"/>
      <c r="R279" s="96"/>
      <c r="S279" s="3"/>
      <c r="T279" s="3"/>
      <c r="U279" s="3"/>
      <c r="V279" s="3"/>
      <c r="W279" s="3"/>
      <c r="X279" s="3"/>
      <c r="Y279" s="3"/>
      <c r="Z279" s="3"/>
      <c r="AA279" s="3"/>
      <c r="AB279" s="3"/>
      <c r="AC279" s="3"/>
    </row>
    <row r="280" spans="1:29" ht="12" hidden="1" outlineLevel="1" thickBot="1" x14ac:dyDescent="0.25">
      <c r="A280" s="3"/>
      <c r="B280" s="630" t="str">
        <f>'WK5a - Impact on Rates'!C188</f>
        <v>Special rate</v>
      </c>
      <c r="C280" s="619" t="str">
        <f>'WK5a - Impact on Rates'!D188</f>
        <v/>
      </c>
      <c r="D280" s="3"/>
      <c r="E280" s="135"/>
      <c r="F280" s="3"/>
      <c r="G280" s="96"/>
      <c r="H280" s="652" t="str">
        <f>'WK5a - Impact on Rates'!E188</f>
        <v>.</v>
      </c>
      <c r="I280" s="653" t="str">
        <f>'WK5a - Impact on Rates'!F188</f>
        <v>.</v>
      </c>
      <c r="J280" s="653">
        <f>'WK5a - Impact on Rates'!G188</f>
        <v>0</v>
      </c>
      <c r="K280" s="653">
        <f>'WK5a - Impact on Rates'!H188</f>
        <v>0</v>
      </c>
      <c r="L280" s="653">
        <f>'WK5a - Impact on Rates'!I188</f>
        <v>0</v>
      </c>
      <c r="M280" s="653">
        <f>'WK5a - Impact on Rates'!J188</f>
        <v>0</v>
      </c>
      <c r="N280" s="653">
        <f>'WK5a - Impact on Rates'!K188</f>
        <v>0</v>
      </c>
      <c r="O280" s="654">
        <f>'WK5a - Impact on Rates'!L188</f>
        <v>0</v>
      </c>
      <c r="P280" s="3"/>
      <c r="Q280" s="3"/>
      <c r="R280" s="96"/>
      <c r="S280" s="3"/>
      <c r="T280" s="3"/>
      <c r="U280" s="3"/>
      <c r="V280" s="3"/>
      <c r="W280" s="3"/>
      <c r="X280" s="3"/>
      <c r="Y280" s="3"/>
      <c r="Z280" s="3"/>
      <c r="AA280" s="3"/>
      <c r="AB280" s="3"/>
      <c r="AC280" s="3"/>
    </row>
    <row r="281" spans="1:29" ht="12" hidden="1" outlineLevel="1" thickBot="1" x14ac:dyDescent="0.25">
      <c r="A281" s="3"/>
      <c r="B281" s="630" t="str">
        <f>'WK5a - Impact on Rates'!C189</f>
        <v>Special rate</v>
      </c>
      <c r="C281" s="619" t="str">
        <f>'WK5a - Impact on Rates'!D189</f>
        <v/>
      </c>
      <c r="D281" s="3"/>
      <c r="E281" s="135"/>
      <c r="F281" s="3"/>
      <c r="G281" s="96"/>
      <c r="H281" s="652" t="str">
        <f>'WK5a - Impact on Rates'!E189</f>
        <v>.</v>
      </c>
      <c r="I281" s="653" t="str">
        <f>'WK5a - Impact on Rates'!F189</f>
        <v>.</v>
      </c>
      <c r="J281" s="653">
        <f>'WK5a - Impact on Rates'!G189</f>
        <v>0</v>
      </c>
      <c r="K281" s="653">
        <f>'WK5a - Impact on Rates'!H189</f>
        <v>0</v>
      </c>
      <c r="L281" s="653">
        <f>'WK5a - Impact on Rates'!I189</f>
        <v>0</v>
      </c>
      <c r="M281" s="653">
        <f>'WK5a - Impact on Rates'!J189</f>
        <v>0</v>
      </c>
      <c r="N281" s="653">
        <f>'WK5a - Impact on Rates'!K189</f>
        <v>0</v>
      </c>
      <c r="O281" s="654">
        <f>'WK5a - Impact on Rates'!L189</f>
        <v>0</v>
      </c>
      <c r="P281" s="3"/>
      <c r="Q281" s="3"/>
      <c r="R281" s="96"/>
      <c r="S281" s="3"/>
      <c r="T281" s="3"/>
      <c r="U281" s="3"/>
      <c r="V281" s="3"/>
      <c r="W281" s="3"/>
      <c r="X281" s="3"/>
      <c r="Y281" s="3"/>
      <c r="Z281" s="3"/>
      <c r="AA281" s="3"/>
      <c r="AB281" s="3"/>
      <c r="AC281" s="3"/>
    </row>
    <row r="282" spans="1:29" ht="12" hidden="1" outlineLevel="1" thickBot="1" x14ac:dyDescent="0.25">
      <c r="A282" s="3"/>
      <c r="B282" s="630" t="str">
        <f>'WK5a - Impact on Rates'!C190</f>
        <v>Special rate</v>
      </c>
      <c r="C282" s="619" t="str">
        <f>'WK5a - Impact on Rates'!D190</f>
        <v/>
      </c>
      <c r="D282" s="3"/>
      <c r="E282" s="135"/>
      <c r="F282" s="3"/>
      <c r="G282" s="96"/>
      <c r="H282" s="652" t="str">
        <f>'WK5a - Impact on Rates'!E190</f>
        <v>.</v>
      </c>
      <c r="I282" s="653" t="str">
        <f>'WK5a - Impact on Rates'!F190</f>
        <v>.</v>
      </c>
      <c r="J282" s="653">
        <f>'WK5a - Impact on Rates'!G190</f>
        <v>0</v>
      </c>
      <c r="K282" s="653">
        <f>'WK5a - Impact on Rates'!H190</f>
        <v>0</v>
      </c>
      <c r="L282" s="653">
        <f>'WK5a - Impact on Rates'!I190</f>
        <v>0</v>
      </c>
      <c r="M282" s="653">
        <f>'WK5a - Impact on Rates'!J190</f>
        <v>0</v>
      </c>
      <c r="N282" s="653">
        <f>'WK5a - Impact on Rates'!K190</f>
        <v>0</v>
      </c>
      <c r="O282" s="654">
        <f>'WK5a - Impact on Rates'!L190</f>
        <v>0</v>
      </c>
      <c r="P282" s="3"/>
      <c r="Q282" s="3"/>
      <c r="R282" s="96"/>
      <c r="S282" s="3"/>
      <c r="T282" s="3"/>
      <c r="U282" s="3"/>
      <c r="V282" s="3"/>
      <c r="W282" s="3"/>
      <c r="X282" s="3"/>
      <c r="Y282" s="3"/>
      <c r="Z282" s="3"/>
      <c r="AA282" s="3"/>
      <c r="AB282" s="3"/>
      <c r="AC282" s="3"/>
    </row>
    <row r="283" spans="1:29" ht="12" hidden="1" outlineLevel="1" thickBot="1" x14ac:dyDescent="0.25">
      <c r="A283" s="3"/>
      <c r="B283" s="630" t="str">
        <f>'WK5a - Impact on Rates'!C191</f>
        <v>Special rate</v>
      </c>
      <c r="C283" s="619" t="str">
        <f>'WK5a - Impact on Rates'!D191</f>
        <v/>
      </c>
      <c r="D283" s="3"/>
      <c r="E283" s="135"/>
      <c r="F283" s="3"/>
      <c r="G283" s="96"/>
      <c r="H283" s="652" t="str">
        <f>'WK5a - Impact on Rates'!E191</f>
        <v>.</v>
      </c>
      <c r="I283" s="653" t="str">
        <f>'WK5a - Impact on Rates'!F191</f>
        <v>.</v>
      </c>
      <c r="J283" s="653">
        <f>'WK5a - Impact on Rates'!G191</f>
        <v>0</v>
      </c>
      <c r="K283" s="653">
        <f>'WK5a - Impact on Rates'!H191</f>
        <v>0</v>
      </c>
      <c r="L283" s="653">
        <f>'WK5a - Impact on Rates'!I191</f>
        <v>0</v>
      </c>
      <c r="M283" s="653">
        <f>'WK5a - Impact on Rates'!J191</f>
        <v>0</v>
      </c>
      <c r="N283" s="653">
        <f>'WK5a - Impact on Rates'!K191</f>
        <v>0</v>
      </c>
      <c r="O283" s="654">
        <f>'WK5a - Impact on Rates'!L191</f>
        <v>0</v>
      </c>
      <c r="P283" s="3"/>
      <c r="Q283" s="3"/>
      <c r="R283" s="96"/>
      <c r="S283" s="3"/>
      <c r="T283" s="3"/>
      <c r="U283" s="3"/>
      <c r="V283" s="3"/>
      <c r="W283" s="3"/>
      <c r="X283" s="3"/>
      <c r="Y283" s="3"/>
      <c r="Z283" s="3"/>
      <c r="AA283" s="3"/>
      <c r="AB283" s="3"/>
      <c r="AC283" s="3"/>
    </row>
    <row r="284" spans="1:29" ht="12" hidden="1" outlineLevel="1" thickBot="1" x14ac:dyDescent="0.25">
      <c r="A284" s="3"/>
      <c r="B284" s="630" t="str">
        <f>'WK5a - Impact on Rates'!C192</f>
        <v>Special rate</v>
      </c>
      <c r="C284" s="619" t="str">
        <f>'WK5a - Impact on Rates'!D192</f>
        <v/>
      </c>
      <c r="D284" s="3"/>
      <c r="E284" s="135"/>
      <c r="F284" s="3"/>
      <c r="G284" s="96"/>
      <c r="H284" s="652" t="str">
        <f>'WK5a - Impact on Rates'!E192</f>
        <v>.</v>
      </c>
      <c r="I284" s="653" t="str">
        <f>'WK5a - Impact on Rates'!F192</f>
        <v>.</v>
      </c>
      <c r="J284" s="653">
        <f>'WK5a - Impact on Rates'!G192</f>
        <v>0</v>
      </c>
      <c r="K284" s="653">
        <f>'WK5a - Impact on Rates'!H192</f>
        <v>0</v>
      </c>
      <c r="L284" s="653">
        <f>'WK5a - Impact on Rates'!I192</f>
        <v>0</v>
      </c>
      <c r="M284" s="653">
        <f>'WK5a - Impact on Rates'!J192</f>
        <v>0</v>
      </c>
      <c r="N284" s="653">
        <f>'WK5a - Impact on Rates'!K192</f>
        <v>0</v>
      </c>
      <c r="O284" s="654">
        <f>'WK5a - Impact on Rates'!L192</f>
        <v>0</v>
      </c>
      <c r="P284" s="3"/>
      <c r="Q284" s="3"/>
      <c r="R284" s="96"/>
      <c r="S284" s="3"/>
      <c r="T284" s="3"/>
      <c r="U284" s="3"/>
      <c r="V284" s="3"/>
      <c r="W284" s="3"/>
      <c r="X284" s="3"/>
      <c r="Y284" s="3"/>
      <c r="Z284" s="3"/>
      <c r="AA284" s="3"/>
      <c r="AB284" s="3"/>
      <c r="AC284" s="3"/>
    </row>
    <row r="285" spans="1:29" ht="12" hidden="1" outlineLevel="1" thickBot="1" x14ac:dyDescent="0.25">
      <c r="A285" s="3"/>
      <c r="B285" s="630" t="str">
        <f>'WK5a - Impact on Rates'!C193</f>
        <v>Special rate</v>
      </c>
      <c r="C285" s="619" t="str">
        <f>'WK5a - Impact on Rates'!D193</f>
        <v/>
      </c>
      <c r="D285" s="3"/>
      <c r="E285" s="135"/>
      <c r="F285" s="3"/>
      <c r="G285" s="96"/>
      <c r="H285" s="652" t="str">
        <f>'WK5a - Impact on Rates'!E193</f>
        <v>.</v>
      </c>
      <c r="I285" s="653" t="str">
        <f>'WK5a - Impact on Rates'!F193</f>
        <v>.</v>
      </c>
      <c r="J285" s="653">
        <f>'WK5a - Impact on Rates'!G193</f>
        <v>0</v>
      </c>
      <c r="K285" s="653">
        <f>'WK5a - Impact on Rates'!H193</f>
        <v>0</v>
      </c>
      <c r="L285" s="653">
        <f>'WK5a - Impact on Rates'!I193</f>
        <v>0</v>
      </c>
      <c r="M285" s="653">
        <f>'WK5a - Impact on Rates'!J193</f>
        <v>0</v>
      </c>
      <c r="N285" s="653">
        <f>'WK5a - Impact on Rates'!K193</f>
        <v>0</v>
      </c>
      <c r="O285" s="654">
        <f>'WK5a - Impact on Rates'!L193</f>
        <v>0</v>
      </c>
      <c r="P285" s="3"/>
      <c r="Q285" s="3"/>
      <c r="R285" s="96"/>
      <c r="S285" s="3"/>
      <c r="T285" s="3"/>
      <c r="U285" s="3"/>
      <c r="V285" s="3"/>
      <c r="W285" s="3"/>
      <c r="X285" s="3"/>
      <c r="Y285" s="3"/>
      <c r="Z285" s="3"/>
      <c r="AA285" s="3"/>
      <c r="AB285" s="3"/>
      <c r="AC285" s="3"/>
    </row>
    <row r="286" spans="1:29" ht="12" hidden="1" outlineLevel="1" thickBot="1" x14ac:dyDescent="0.25">
      <c r="A286" s="3"/>
      <c r="B286" s="630" t="str">
        <f>'WK5a - Impact on Rates'!C194</f>
        <v>Special rate</v>
      </c>
      <c r="C286" s="619" t="str">
        <f>'WK5a - Impact on Rates'!D194</f>
        <v/>
      </c>
      <c r="D286" s="3"/>
      <c r="E286" s="135"/>
      <c r="F286" s="3"/>
      <c r="G286" s="96"/>
      <c r="H286" s="652" t="str">
        <f>'WK5a - Impact on Rates'!E194</f>
        <v>.</v>
      </c>
      <c r="I286" s="653" t="str">
        <f>'WK5a - Impact on Rates'!F194</f>
        <v>.</v>
      </c>
      <c r="J286" s="653">
        <f>'WK5a - Impact on Rates'!G194</f>
        <v>0</v>
      </c>
      <c r="K286" s="653">
        <f>'WK5a - Impact on Rates'!H194</f>
        <v>0</v>
      </c>
      <c r="L286" s="653">
        <f>'WK5a - Impact on Rates'!I194</f>
        <v>0</v>
      </c>
      <c r="M286" s="653">
        <f>'WK5a - Impact on Rates'!J194</f>
        <v>0</v>
      </c>
      <c r="N286" s="653">
        <f>'WK5a - Impact on Rates'!K194</f>
        <v>0</v>
      </c>
      <c r="O286" s="654">
        <f>'WK5a - Impact on Rates'!L194</f>
        <v>0</v>
      </c>
      <c r="P286" s="3"/>
      <c r="Q286" s="3"/>
      <c r="R286" s="96"/>
      <c r="S286" s="3"/>
      <c r="T286" s="3"/>
      <c r="U286" s="3"/>
      <c r="V286" s="3"/>
      <c r="W286" s="3"/>
      <c r="X286" s="3"/>
      <c r="Y286" s="3"/>
      <c r="Z286" s="3"/>
      <c r="AA286" s="3"/>
      <c r="AB286" s="3"/>
      <c r="AC286" s="3"/>
    </row>
    <row r="287" spans="1:29" ht="12.6" collapsed="1" thickTop="1" thickBot="1" x14ac:dyDescent="0.25">
      <c r="A287" s="3"/>
      <c r="B287" s="893" t="str">
        <f>B267</f>
        <v>Farmland</v>
      </c>
      <c r="C287" s="619" t="str">
        <f>'WK5a - Impact on Rates'!D195</f>
        <v>TOTAL AVERAGE</v>
      </c>
      <c r="D287" s="3"/>
      <c r="E287" s="135"/>
      <c r="F287" s="3"/>
      <c r="G287" s="96"/>
      <c r="H287" s="652">
        <f>'WK5a - Impact on Rates'!E195</f>
        <v>2133.7065429712461</v>
      </c>
      <c r="I287" s="653">
        <f>'WK5a - Impact on Rates'!F195</f>
        <v>2315.0050936102239</v>
      </c>
      <c r="J287" s="653">
        <f>'WK5a - Impact on Rates'!G195</f>
        <v>2488.6404756309907</v>
      </c>
      <c r="K287" s="653">
        <f>'WK5a - Impact on Rates'!H195</f>
        <v>2650.3921065470049</v>
      </c>
      <c r="L287" s="653">
        <f>'WK5a - Impact on Rates'!I195</f>
        <v>2796.16367240709</v>
      </c>
      <c r="M287" s="653">
        <f>'WK5a - Impact on Rates'!J195</f>
        <v>2866.0677642172673</v>
      </c>
      <c r="N287" s="653">
        <f>'WK5a - Impact on Rates'!K195</f>
        <v>2937.7194583226983</v>
      </c>
      <c r="O287" s="654">
        <f>'WK5a - Impact on Rates'!L195</f>
        <v>3011.1624447807653</v>
      </c>
      <c r="P287" s="3"/>
      <c r="Q287" s="3"/>
      <c r="R287" s="96"/>
      <c r="S287" s="3"/>
      <c r="T287" s="3"/>
      <c r="U287" s="3"/>
      <c r="V287" s="3"/>
      <c r="W287" s="3"/>
      <c r="X287" s="3"/>
      <c r="Y287" s="3"/>
      <c r="Z287" s="3"/>
      <c r="AA287" s="3"/>
      <c r="AB287" s="3"/>
      <c r="AC287" s="3"/>
    </row>
    <row r="288" spans="1:29" ht="12" thickTop="1" x14ac:dyDescent="0.2">
      <c r="A288" s="3"/>
      <c r="B288" s="630" t="str">
        <f>'WK5a - Impact on Rates'!C196</f>
        <v>Mining</v>
      </c>
      <c r="C288" s="619" t="str">
        <f>'WK5a - Impact on Rates'!D196</f>
        <v/>
      </c>
      <c r="D288" s="3"/>
      <c r="E288" s="135"/>
      <c r="F288" s="3"/>
      <c r="G288" s="96"/>
      <c r="H288" s="652" t="str">
        <f>'WK5a - Impact on Rates'!E196</f>
        <v>.</v>
      </c>
      <c r="I288" s="653" t="str">
        <f>'WK5a - Impact on Rates'!F196</f>
        <v>.</v>
      </c>
      <c r="J288" s="653">
        <f>'WK5a - Impact on Rates'!G196</f>
        <v>0</v>
      </c>
      <c r="K288" s="653">
        <f>'WK5a - Impact on Rates'!H196</f>
        <v>0</v>
      </c>
      <c r="L288" s="653">
        <f>'WK5a - Impact on Rates'!I196</f>
        <v>0</v>
      </c>
      <c r="M288" s="653">
        <f>'WK5a - Impact on Rates'!J196</f>
        <v>0</v>
      </c>
      <c r="N288" s="653">
        <f>'WK5a - Impact on Rates'!K196</f>
        <v>0</v>
      </c>
      <c r="O288" s="654">
        <f>'WK5a - Impact on Rates'!L196</f>
        <v>0</v>
      </c>
      <c r="P288" s="3"/>
      <c r="Q288" s="3"/>
      <c r="R288" s="96"/>
      <c r="S288" s="3"/>
      <c r="T288" s="3"/>
      <c r="U288" s="3"/>
      <c r="V288" s="3"/>
      <c r="W288" s="3"/>
      <c r="X288" s="3"/>
      <c r="Y288" s="3"/>
      <c r="Z288" s="3"/>
      <c r="AA288" s="3"/>
      <c r="AB288" s="3"/>
      <c r="AC288" s="3"/>
    </row>
    <row r="289" spans="1:29" x14ac:dyDescent="0.2">
      <c r="A289" s="3"/>
      <c r="B289" s="630" t="str">
        <f>'WK5a - Impact on Rates'!C197</f>
        <v>Mining</v>
      </c>
      <c r="C289" s="619" t="str">
        <f>'WK5a - Impact on Rates'!D197</f>
        <v/>
      </c>
      <c r="D289" s="3"/>
      <c r="E289" s="135"/>
      <c r="F289" s="3"/>
      <c r="G289" s="96"/>
      <c r="H289" s="652" t="str">
        <f>'WK5a - Impact on Rates'!E197</f>
        <v>.</v>
      </c>
      <c r="I289" s="653" t="str">
        <f>'WK5a - Impact on Rates'!F197</f>
        <v>.</v>
      </c>
      <c r="J289" s="653">
        <f>'WK5a - Impact on Rates'!G197</f>
        <v>0</v>
      </c>
      <c r="K289" s="653">
        <f>'WK5a - Impact on Rates'!H197</f>
        <v>0</v>
      </c>
      <c r="L289" s="653">
        <f>'WK5a - Impact on Rates'!I197</f>
        <v>0</v>
      </c>
      <c r="M289" s="653">
        <f>'WK5a - Impact on Rates'!J197</f>
        <v>0</v>
      </c>
      <c r="N289" s="653">
        <f>'WK5a - Impact on Rates'!K197</f>
        <v>0</v>
      </c>
      <c r="O289" s="654">
        <f>'WK5a - Impact on Rates'!L197</f>
        <v>0</v>
      </c>
      <c r="P289" s="3"/>
      <c r="Q289" s="3"/>
      <c r="R289" s="96"/>
      <c r="S289" s="3"/>
      <c r="T289" s="3"/>
      <c r="U289" s="3"/>
      <c r="V289" s="3"/>
      <c r="W289" s="3"/>
      <c r="X289" s="3"/>
      <c r="Y289" s="3"/>
      <c r="Z289" s="3"/>
      <c r="AA289" s="3"/>
      <c r="AB289" s="3"/>
      <c r="AC289" s="3"/>
    </row>
    <row r="290" spans="1:29" x14ac:dyDescent="0.2">
      <c r="A290" s="3"/>
      <c r="B290" s="630" t="str">
        <f>'WK5a - Impact on Rates'!C198</f>
        <v>Mining</v>
      </c>
      <c r="C290" s="619" t="str">
        <f>'WK5a - Impact on Rates'!D198</f>
        <v/>
      </c>
      <c r="D290" s="3"/>
      <c r="E290" s="135"/>
      <c r="F290" s="3"/>
      <c r="G290" s="96"/>
      <c r="H290" s="652" t="str">
        <f>'WK5a - Impact on Rates'!E198</f>
        <v>.</v>
      </c>
      <c r="I290" s="653" t="str">
        <f>'WK5a - Impact on Rates'!F198</f>
        <v>.</v>
      </c>
      <c r="J290" s="653">
        <f>'WK5a - Impact on Rates'!G198</f>
        <v>0</v>
      </c>
      <c r="K290" s="653">
        <f>'WK5a - Impact on Rates'!H198</f>
        <v>0</v>
      </c>
      <c r="L290" s="653">
        <f>'WK5a - Impact on Rates'!I198</f>
        <v>0</v>
      </c>
      <c r="M290" s="653">
        <f>'WK5a - Impact on Rates'!J198</f>
        <v>0</v>
      </c>
      <c r="N290" s="653">
        <f>'WK5a - Impact on Rates'!K198</f>
        <v>0</v>
      </c>
      <c r="O290" s="654">
        <f>'WK5a - Impact on Rates'!L198</f>
        <v>0</v>
      </c>
      <c r="P290" s="3"/>
      <c r="Q290" s="3"/>
      <c r="R290" s="96"/>
      <c r="S290" s="3"/>
      <c r="T290" s="3"/>
      <c r="U290" s="3"/>
      <c r="V290" s="3"/>
      <c r="W290" s="3"/>
      <c r="X290" s="3"/>
      <c r="Y290" s="3"/>
      <c r="Z290" s="3"/>
      <c r="AA290" s="3"/>
      <c r="AB290" s="3"/>
      <c r="AC290" s="3"/>
    </row>
    <row r="291" spans="1:29" hidden="1" outlineLevel="1" x14ac:dyDescent="0.2">
      <c r="A291" s="3"/>
      <c r="B291" s="630" t="str">
        <f>'WK5a - Impact on Rates'!C199</f>
        <v>Mining</v>
      </c>
      <c r="C291" s="619" t="str">
        <f>'WK5a - Impact on Rates'!D199</f>
        <v/>
      </c>
      <c r="D291" s="3"/>
      <c r="E291" s="135"/>
      <c r="F291" s="3"/>
      <c r="G291" s="96"/>
      <c r="H291" s="652" t="str">
        <f>'WK5a - Impact on Rates'!E199</f>
        <v>.</v>
      </c>
      <c r="I291" s="653" t="str">
        <f>'WK5a - Impact on Rates'!F199</f>
        <v>.</v>
      </c>
      <c r="J291" s="653">
        <f>'WK5a - Impact on Rates'!G199</f>
        <v>0</v>
      </c>
      <c r="K291" s="653">
        <f>'WK5a - Impact on Rates'!H199</f>
        <v>0</v>
      </c>
      <c r="L291" s="653">
        <f>'WK5a - Impact on Rates'!I199</f>
        <v>0</v>
      </c>
      <c r="M291" s="653">
        <f>'WK5a - Impact on Rates'!J199</f>
        <v>0</v>
      </c>
      <c r="N291" s="653">
        <f>'WK5a - Impact on Rates'!K199</f>
        <v>0</v>
      </c>
      <c r="O291" s="654">
        <f>'WK5a - Impact on Rates'!L199</f>
        <v>0</v>
      </c>
      <c r="P291" s="3"/>
      <c r="Q291" s="3"/>
      <c r="R291" s="96"/>
      <c r="S291" s="3"/>
      <c r="T291" s="3"/>
      <c r="U291" s="3"/>
      <c r="V291" s="3"/>
      <c r="W291" s="3"/>
      <c r="X291" s="3"/>
      <c r="Y291" s="3"/>
      <c r="Z291" s="3"/>
      <c r="AA291" s="3"/>
      <c r="AB291" s="3"/>
      <c r="AC291" s="3"/>
    </row>
    <row r="292" spans="1:29" hidden="1" outlineLevel="1" x14ac:dyDescent="0.2">
      <c r="A292" s="3"/>
      <c r="B292" s="630" t="str">
        <f>'WK5a - Impact on Rates'!C200</f>
        <v>Mining</v>
      </c>
      <c r="C292" s="619" t="str">
        <f>'WK5a - Impact on Rates'!D200</f>
        <v/>
      </c>
      <c r="D292" s="3"/>
      <c r="E292" s="135"/>
      <c r="F292" s="3"/>
      <c r="G292" s="96"/>
      <c r="H292" s="652" t="str">
        <f>'WK5a - Impact on Rates'!E200</f>
        <v>.</v>
      </c>
      <c r="I292" s="653" t="str">
        <f>'WK5a - Impact on Rates'!F200</f>
        <v>.</v>
      </c>
      <c r="J292" s="653">
        <f>'WK5a - Impact on Rates'!G200</f>
        <v>0</v>
      </c>
      <c r="K292" s="653">
        <f>'WK5a - Impact on Rates'!H200</f>
        <v>0</v>
      </c>
      <c r="L292" s="653">
        <f>'WK5a - Impact on Rates'!I200</f>
        <v>0</v>
      </c>
      <c r="M292" s="653">
        <f>'WK5a - Impact on Rates'!J200</f>
        <v>0</v>
      </c>
      <c r="N292" s="653">
        <f>'WK5a - Impact on Rates'!K200</f>
        <v>0</v>
      </c>
      <c r="O292" s="654">
        <f>'WK5a - Impact on Rates'!L200</f>
        <v>0</v>
      </c>
      <c r="P292" s="3"/>
      <c r="Q292" s="3"/>
      <c r="R292" s="96"/>
      <c r="S292" s="3"/>
      <c r="T292" s="3"/>
      <c r="U292" s="3"/>
      <c r="V292" s="3"/>
      <c r="W292" s="3"/>
      <c r="X292" s="3"/>
      <c r="Y292" s="3"/>
      <c r="Z292" s="3"/>
      <c r="AA292" s="3"/>
      <c r="AB292" s="3"/>
      <c r="AC292" s="3"/>
    </row>
    <row r="293" spans="1:29" hidden="1" outlineLevel="1" x14ac:dyDescent="0.2">
      <c r="A293" s="3"/>
      <c r="B293" s="630" t="str">
        <f>'WK5a - Impact on Rates'!C201</f>
        <v>Mining</v>
      </c>
      <c r="C293" s="619" t="str">
        <f>'WK5a - Impact on Rates'!D201</f>
        <v/>
      </c>
      <c r="D293" s="3"/>
      <c r="E293" s="135"/>
      <c r="F293" s="3"/>
      <c r="G293" s="96"/>
      <c r="H293" s="652" t="str">
        <f>'WK5a - Impact on Rates'!E201</f>
        <v>.</v>
      </c>
      <c r="I293" s="653" t="str">
        <f>'WK5a - Impact on Rates'!F201</f>
        <v>.</v>
      </c>
      <c r="J293" s="653">
        <f>'WK5a - Impact on Rates'!G201</f>
        <v>0</v>
      </c>
      <c r="K293" s="653">
        <f>'WK5a - Impact on Rates'!H201</f>
        <v>0</v>
      </c>
      <c r="L293" s="653">
        <f>'WK5a - Impact on Rates'!I201</f>
        <v>0</v>
      </c>
      <c r="M293" s="653">
        <f>'WK5a - Impact on Rates'!J201</f>
        <v>0</v>
      </c>
      <c r="N293" s="653">
        <f>'WK5a - Impact on Rates'!K201</f>
        <v>0</v>
      </c>
      <c r="O293" s="654">
        <f>'WK5a - Impact on Rates'!L201</f>
        <v>0</v>
      </c>
      <c r="P293" s="3"/>
      <c r="Q293" s="3"/>
      <c r="R293" s="96"/>
      <c r="S293" s="3"/>
      <c r="T293" s="3"/>
      <c r="U293" s="3"/>
      <c r="V293" s="3"/>
      <c r="W293" s="3"/>
      <c r="X293" s="3"/>
      <c r="Y293" s="3"/>
      <c r="Z293" s="3"/>
      <c r="AA293" s="3"/>
      <c r="AB293" s="3"/>
      <c r="AC293" s="3"/>
    </row>
    <row r="294" spans="1:29" hidden="1" outlineLevel="1" x14ac:dyDescent="0.2">
      <c r="A294" s="3"/>
      <c r="B294" s="630" t="str">
        <f>'WK5a - Impact on Rates'!C202</f>
        <v>Mining</v>
      </c>
      <c r="C294" s="619" t="str">
        <f>'WK5a - Impact on Rates'!D202</f>
        <v/>
      </c>
      <c r="D294" s="3"/>
      <c r="E294" s="135"/>
      <c r="F294" s="3"/>
      <c r="G294" s="96"/>
      <c r="H294" s="652" t="str">
        <f>'WK5a - Impact on Rates'!E202</f>
        <v>.</v>
      </c>
      <c r="I294" s="653" t="str">
        <f>'WK5a - Impact on Rates'!F202</f>
        <v>.</v>
      </c>
      <c r="J294" s="653">
        <f>'WK5a - Impact on Rates'!G202</f>
        <v>0</v>
      </c>
      <c r="K294" s="653">
        <f>'WK5a - Impact on Rates'!H202</f>
        <v>0</v>
      </c>
      <c r="L294" s="653">
        <f>'WK5a - Impact on Rates'!I202</f>
        <v>0</v>
      </c>
      <c r="M294" s="653">
        <f>'WK5a - Impact on Rates'!J202</f>
        <v>0</v>
      </c>
      <c r="N294" s="653">
        <f>'WK5a - Impact on Rates'!K202</f>
        <v>0</v>
      </c>
      <c r="O294" s="654">
        <f>'WK5a - Impact on Rates'!L202</f>
        <v>0</v>
      </c>
      <c r="P294" s="3"/>
      <c r="Q294" s="3"/>
      <c r="R294" s="96"/>
      <c r="S294" s="3"/>
      <c r="T294" s="3"/>
      <c r="U294" s="3"/>
      <c r="V294" s="3"/>
      <c r="W294" s="3"/>
      <c r="X294" s="3"/>
      <c r="Y294" s="3"/>
      <c r="Z294" s="3"/>
      <c r="AA294" s="3"/>
      <c r="AB294" s="3"/>
      <c r="AC294" s="3"/>
    </row>
    <row r="295" spans="1:29" hidden="1" outlineLevel="1" x14ac:dyDescent="0.2">
      <c r="A295" s="3"/>
      <c r="B295" s="630" t="str">
        <f>'WK5a - Impact on Rates'!C203</f>
        <v>Mining</v>
      </c>
      <c r="C295" s="619" t="str">
        <f>'WK5a - Impact on Rates'!D203</f>
        <v/>
      </c>
      <c r="D295" s="3"/>
      <c r="E295" s="135"/>
      <c r="F295" s="3"/>
      <c r="G295" s="96"/>
      <c r="H295" s="652" t="str">
        <f>'WK5a - Impact on Rates'!E203</f>
        <v>.</v>
      </c>
      <c r="I295" s="653" t="str">
        <f>'WK5a - Impact on Rates'!F203</f>
        <v>.</v>
      </c>
      <c r="J295" s="653">
        <f>'WK5a - Impact on Rates'!G203</f>
        <v>0</v>
      </c>
      <c r="K295" s="653">
        <f>'WK5a - Impact on Rates'!H203</f>
        <v>0</v>
      </c>
      <c r="L295" s="653">
        <f>'WK5a - Impact on Rates'!I203</f>
        <v>0</v>
      </c>
      <c r="M295" s="653">
        <f>'WK5a - Impact on Rates'!J203</f>
        <v>0</v>
      </c>
      <c r="N295" s="653">
        <f>'WK5a - Impact on Rates'!K203</f>
        <v>0</v>
      </c>
      <c r="O295" s="654">
        <f>'WK5a - Impact on Rates'!L203</f>
        <v>0</v>
      </c>
      <c r="P295" s="3"/>
      <c r="Q295" s="3"/>
      <c r="R295" s="96"/>
      <c r="S295" s="3"/>
      <c r="T295" s="3"/>
      <c r="U295" s="3"/>
      <c r="V295" s="3"/>
      <c r="W295" s="3"/>
      <c r="X295" s="3"/>
      <c r="Y295" s="3"/>
      <c r="Z295" s="3"/>
      <c r="AA295" s="3"/>
      <c r="AB295" s="3"/>
      <c r="AC295" s="3"/>
    </row>
    <row r="296" spans="1:29" hidden="1" outlineLevel="1" x14ac:dyDescent="0.2">
      <c r="A296" s="3"/>
      <c r="B296" s="630" t="str">
        <f>'WK5a - Impact on Rates'!C204</f>
        <v>Mining</v>
      </c>
      <c r="C296" s="619" t="str">
        <f>'WK5a - Impact on Rates'!D204</f>
        <v/>
      </c>
      <c r="D296" s="3"/>
      <c r="E296" s="135"/>
      <c r="F296" s="3"/>
      <c r="G296" s="96"/>
      <c r="H296" s="652" t="str">
        <f>'WK5a - Impact on Rates'!E204</f>
        <v>.</v>
      </c>
      <c r="I296" s="653" t="str">
        <f>'WK5a - Impact on Rates'!F204</f>
        <v>.</v>
      </c>
      <c r="J296" s="653">
        <f>'WK5a - Impact on Rates'!G204</f>
        <v>0</v>
      </c>
      <c r="K296" s="653">
        <f>'WK5a - Impact on Rates'!H204</f>
        <v>0</v>
      </c>
      <c r="L296" s="653">
        <f>'WK5a - Impact on Rates'!I204</f>
        <v>0</v>
      </c>
      <c r="M296" s="653">
        <f>'WK5a - Impact on Rates'!J204</f>
        <v>0</v>
      </c>
      <c r="N296" s="653">
        <f>'WK5a - Impact on Rates'!K204</f>
        <v>0</v>
      </c>
      <c r="O296" s="654">
        <f>'WK5a - Impact on Rates'!L204</f>
        <v>0</v>
      </c>
      <c r="P296" s="3"/>
      <c r="Q296" s="3"/>
      <c r="R296" s="96"/>
      <c r="S296" s="3"/>
      <c r="T296" s="3"/>
      <c r="U296" s="3"/>
      <c r="V296" s="3"/>
      <c r="W296" s="3"/>
      <c r="X296" s="3"/>
      <c r="Y296" s="3"/>
      <c r="Z296" s="3"/>
      <c r="AA296" s="3"/>
      <c r="AB296" s="3"/>
      <c r="AC296" s="3"/>
    </row>
    <row r="297" spans="1:29" hidden="1" outlineLevel="1" x14ac:dyDescent="0.2">
      <c r="A297" s="3"/>
      <c r="B297" s="630" t="str">
        <f>'WK5a - Impact on Rates'!C205</f>
        <v>Mining</v>
      </c>
      <c r="C297" s="619" t="str">
        <f>'WK5a - Impact on Rates'!D205</f>
        <v/>
      </c>
      <c r="D297" s="3"/>
      <c r="E297" s="135"/>
      <c r="F297" s="3"/>
      <c r="G297" s="96"/>
      <c r="H297" s="652" t="str">
        <f>'WK5a - Impact on Rates'!E205</f>
        <v>.</v>
      </c>
      <c r="I297" s="653" t="str">
        <f>'WK5a - Impact on Rates'!F205</f>
        <v>.</v>
      </c>
      <c r="J297" s="653">
        <f>'WK5a - Impact on Rates'!G205</f>
        <v>0</v>
      </c>
      <c r="K297" s="653">
        <f>'WK5a - Impact on Rates'!H205</f>
        <v>0</v>
      </c>
      <c r="L297" s="653">
        <f>'WK5a - Impact on Rates'!I205</f>
        <v>0</v>
      </c>
      <c r="M297" s="653">
        <f>'WK5a - Impact on Rates'!J205</f>
        <v>0</v>
      </c>
      <c r="N297" s="653">
        <f>'WK5a - Impact on Rates'!K205</f>
        <v>0</v>
      </c>
      <c r="O297" s="654">
        <f>'WK5a - Impact on Rates'!L205</f>
        <v>0</v>
      </c>
      <c r="P297" s="3"/>
      <c r="Q297" s="3"/>
      <c r="R297" s="96"/>
      <c r="S297" s="3"/>
      <c r="T297" s="3"/>
      <c r="U297" s="3"/>
      <c r="V297" s="3"/>
      <c r="W297" s="3"/>
      <c r="X297" s="3"/>
      <c r="Y297" s="3"/>
      <c r="Z297" s="3"/>
      <c r="AA297" s="3"/>
      <c r="AB297" s="3"/>
      <c r="AC297" s="3"/>
    </row>
    <row r="298" spans="1:29" collapsed="1" x14ac:dyDescent="0.2">
      <c r="A298" s="3"/>
      <c r="B298" s="630" t="str">
        <f>'WK5a - Impact on Rates'!C206</f>
        <v>Special rate</v>
      </c>
      <c r="C298" s="619" t="str">
        <f>'WK5a - Impact on Rates'!D206</f>
        <v/>
      </c>
      <c r="D298" s="3"/>
      <c r="E298" s="135"/>
      <c r="F298" s="3"/>
      <c r="G298" s="96"/>
      <c r="H298" s="652" t="str">
        <f>'WK5a - Impact on Rates'!E206</f>
        <v>.</v>
      </c>
      <c r="I298" s="653" t="str">
        <f>'WK5a - Impact on Rates'!F206</f>
        <v>.</v>
      </c>
      <c r="J298" s="653">
        <f>'WK5a - Impact on Rates'!G206</f>
        <v>0</v>
      </c>
      <c r="K298" s="653">
        <f>'WK5a - Impact on Rates'!H206</f>
        <v>0</v>
      </c>
      <c r="L298" s="653">
        <f>'WK5a - Impact on Rates'!I206</f>
        <v>0</v>
      </c>
      <c r="M298" s="653">
        <f>'WK5a - Impact on Rates'!J206</f>
        <v>0</v>
      </c>
      <c r="N298" s="653">
        <f>'WK5a - Impact on Rates'!K206</f>
        <v>0</v>
      </c>
      <c r="O298" s="654">
        <f>'WK5a - Impact on Rates'!L206</f>
        <v>0</v>
      </c>
      <c r="P298" s="3"/>
      <c r="Q298" s="3"/>
      <c r="R298" s="96"/>
      <c r="S298" s="3"/>
      <c r="T298" s="3"/>
      <c r="U298" s="3"/>
      <c r="V298" s="3"/>
      <c r="W298" s="3"/>
      <c r="X298" s="3"/>
      <c r="Y298" s="3"/>
      <c r="Z298" s="3"/>
      <c r="AA298" s="3"/>
      <c r="AB298" s="3"/>
      <c r="AC298" s="3"/>
    </row>
    <row r="299" spans="1:29" ht="12" thickBot="1" x14ac:dyDescent="0.25">
      <c r="A299" s="3"/>
      <c r="B299" s="630" t="str">
        <f>'WK5a - Impact on Rates'!C207</f>
        <v>Special rate</v>
      </c>
      <c r="C299" s="619" t="str">
        <f>'WK5a - Impact on Rates'!D207</f>
        <v/>
      </c>
      <c r="D299" s="3"/>
      <c r="E299" s="135"/>
      <c r="F299" s="3"/>
      <c r="G299" s="96"/>
      <c r="H299" s="652" t="str">
        <f>'WK5a - Impact on Rates'!E207</f>
        <v>.</v>
      </c>
      <c r="I299" s="653" t="str">
        <f>'WK5a - Impact on Rates'!F207</f>
        <v>.</v>
      </c>
      <c r="J299" s="653">
        <f>'WK5a - Impact on Rates'!G207</f>
        <v>0</v>
      </c>
      <c r="K299" s="653">
        <f>'WK5a - Impact on Rates'!H207</f>
        <v>0</v>
      </c>
      <c r="L299" s="653">
        <f>'WK5a - Impact on Rates'!I207</f>
        <v>0</v>
      </c>
      <c r="M299" s="653">
        <f>'WK5a - Impact on Rates'!J207</f>
        <v>0</v>
      </c>
      <c r="N299" s="653">
        <f>'WK5a - Impact on Rates'!K207</f>
        <v>0</v>
      </c>
      <c r="O299" s="654">
        <f>'WK5a - Impact on Rates'!L207</f>
        <v>0</v>
      </c>
      <c r="P299" s="3"/>
      <c r="Q299" s="3"/>
      <c r="R299" s="96"/>
      <c r="S299" s="3"/>
      <c r="T299" s="3"/>
      <c r="U299" s="3"/>
      <c r="V299" s="3"/>
      <c r="W299" s="3"/>
      <c r="X299" s="3"/>
      <c r="Y299" s="3"/>
      <c r="Z299" s="3"/>
      <c r="AA299" s="3"/>
      <c r="AB299" s="3"/>
      <c r="AC299" s="3"/>
    </row>
    <row r="300" spans="1:29" ht="12" hidden="1" outlineLevel="1" thickBot="1" x14ac:dyDescent="0.25">
      <c r="A300" s="3"/>
      <c r="B300" s="630" t="str">
        <f>'WK5a - Impact on Rates'!C208</f>
        <v>Special rate</v>
      </c>
      <c r="C300" s="619" t="str">
        <f>'WK5a - Impact on Rates'!D208</f>
        <v/>
      </c>
      <c r="D300" s="3"/>
      <c r="E300" s="135"/>
      <c r="F300" s="3"/>
      <c r="G300" s="96"/>
      <c r="H300" s="652" t="str">
        <f>'WK5a - Impact on Rates'!E208</f>
        <v>.</v>
      </c>
      <c r="I300" s="653" t="str">
        <f>'WK5a - Impact on Rates'!F208</f>
        <v>.</v>
      </c>
      <c r="J300" s="653">
        <f>'WK5a - Impact on Rates'!G208</f>
        <v>0</v>
      </c>
      <c r="K300" s="653">
        <f>'WK5a - Impact on Rates'!H208</f>
        <v>0</v>
      </c>
      <c r="L300" s="653">
        <f>'WK5a - Impact on Rates'!I208</f>
        <v>0</v>
      </c>
      <c r="M300" s="653">
        <f>'WK5a - Impact on Rates'!J208</f>
        <v>0</v>
      </c>
      <c r="N300" s="653">
        <f>'WK5a - Impact on Rates'!K208</f>
        <v>0</v>
      </c>
      <c r="O300" s="654">
        <f>'WK5a - Impact on Rates'!L208</f>
        <v>0</v>
      </c>
      <c r="P300" s="3"/>
      <c r="Q300" s="3"/>
      <c r="R300" s="96"/>
      <c r="S300" s="3"/>
      <c r="T300" s="3"/>
      <c r="U300" s="3"/>
      <c r="V300" s="3"/>
      <c r="W300" s="3"/>
      <c r="X300" s="3"/>
      <c r="Y300" s="3"/>
      <c r="Z300" s="3"/>
      <c r="AA300" s="3"/>
      <c r="AB300" s="3"/>
      <c r="AC300" s="3"/>
    </row>
    <row r="301" spans="1:29" ht="12" hidden="1" outlineLevel="1" thickBot="1" x14ac:dyDescent="0.25">
      <c r="A301" s="3"/>
      <c r="B301" s="630" t="str">
        <f>'WK5a - Impact on Rates'!C209</f>
        <v>Special rate</v>
      </c>
      <c r="C301" s="619" t="str">
        <f>'WK5a - Impact on Rates'!D209</f>
        <v/>
      </c>
      <c r="D301" s="3"/>
      <c r="E301" s="135"/>
      <c r="F301" s="3"/>
      <c r="G301" s="96"/>
      <c r="H301" s="652" t="str">
        <f>'WK5a - Impact on Rates'!E209</f>
        <v>.</v>
      </c>
      <c r="I301" s="653" t="str">
        <f>'WK5a - Impact on Rates'!F209</f>
        <v>.</v>
      </c>
      <c r="J301" s="653">
        <f>'WK5a - Impact on Rates'!G209</f>
        <v>0</v>
      </c>
      <c r="K301" s="653">
        <f>'WK5a - Impact on Rates'!H209</f>
        <v>0</v>
      </c>
      <c r="L301" s="653">
        <f>'WK5a - Impact on Rates'!I209</f>
        <v>0</v>
      </c>
      <c r="M301" s="653">
        <f>'WK5a - Impact on Rates'!J209</f>
        <v>0</v>
      </c>
      <c r="N301" s="653">
        <f>'WK5a - Impact on Rates'!K209</f>
        <v>0</v>
      </c>
      <c r="O301" s="654">
        <f>'WK5a - Impact on Rates'!L209</f>
        <v>0</v>
      </c>
      <c r="P301" s="3"/>
      <c r="Q301" s="3"/>
      <c r="R301" s="96"/>
      <c r="S301" s="3"/>
      <c r="T301" s="3"/>
      <c r="U301" s="3"/>
      <c r="V301" s="3"/>
      <c r="W301" s="3"/>
      <c r="X301" s="3"/>
      <c r="Y301" s="3"/>
      <c r="Z301" s="3"/>
      <c r="AA301" s="3"/>
      <c r="AB301" s="3"/>
      <c r="AC301" s="3"/>
    </row>
    <row r="302" spans="1:29" ht="12" hidden="1" outlineLevel="1" thickBot="1" x14ac:dyDescent="0.25">
      <c r="A302" s="3"/>
      <c r="B302" s="630" t="str">
        <f>'WK5a - Impact on Rates'!C210</f>
        <v>Special rate</v>
      </c>
      <c r="C302" s="619" t="str">
        <f>'WK5a - Impact on Rates'!D210</f>
        <v/>
      </c>
      <c r="D302" s="3"/>
      <c r="E302" s="135"/>
      <c r="F302" s="3"/>
      <c r="G302" s="96"/>
      <c r="H302" s="652" t="str">
        <f>'WK5a - Impact on Rates'!E210</f>
        <v>.</v>
      </c>
      <c r="I302" s="653" t="str">
        <f>'WK5a - Impact on Rates'!F210</f>
        <v>.</v>
      </c>
      <c r="J302" s="653">
        <f>'WK5a - Impact on Rates'!G210</f>
        <v>0</v>
      </c>
      <c r="K302" s="653">
        <f>'WK5a - Impact on Rates'!H210</f>
        <v>0</v>
      </c>
      <c r="L302" s="653">
        <f>'WK5a - Impact on Rates'!I210</f>
        <v>0</v>
      </c>
      <c r="M302" s="653">
        <f>'WK5a - Impact on Rates'!J210</f>
        <v>0</v>
      </c>
      <c r="N302" s="653">
        <f>'WK5a - Impact on Rates'!K210</f>
        <v>0</v>
      </c>
      <c r="O302" s="654">
        <f>'WK5a - Impact on Rates'!L210</f>
        <v>0</v>
      </c>
      <c r="P302" s="3"/>
      <c r="Q302" s="3"/>
      <c r="R302" s="96"/>
      <c r="S302" s="3"/>
      <c r="T302" s="3"/>
      <c r="U302" s="3"/>
      <c r="V302" s="3"/>
      <c r="W302" s="3"/>
      <c r="X302" s="3"/>
      <c r="Y302" s="3"/>
      <c r="Z302" s="3"/>
      <c r="AA302" s="3"/>
      <c r="AB302" s="3"/>
      <c r="AC302" s="3"/>
    </row>
    <row r="303" spans="1:29" ht="12" hidden="1" outlineLevel="1" thickBot="1" x14ac:dyDescent="0.25">
      <c r="A303" s="3"/>
      <c r="B303" s="630" t="str">
        <f>'WK5a - Impact on Rates'!C211</f>
        <v>Special rate</v>
      </c>
      <c r="C303" s="619" t="str">
        <f>'WK5a - Impact on Rates'!D211</f>
        <v/>
      </c>
      <c r="D303" s="3"/>
      <c r="E303" s="135"/>
      <c r="F303" s="3"/>
      <c r="G303" s="96"/>
      <c r="H303" s="652" t="str">
        <f>'WK5a - Impact on Rates'!E211</f>
        <v>.</v>
      </c>
      <c r="I303" s="653" t="str">
        <f>'WK5a - Impact on Rates'!F211</f>
        <v>.</v>
      </c>
      <c r="J303" s="653">
        <f>'WK5a - Impact on Rates'!G211</f>
        <v>0</v>
      </c>
      <c r="K303" s="653">
        <f>'WK5a - Impact on Rates'!H211</f>
        <v>0</v>
      </c>
      <c r="L303" s="653">
        <f>'WK5a - Impact on Rates'!I211</f>
        <v>0</v>
      </c>
      <c r="M303" s="653">
        <f>'WK5a - Impact on Rates'!J211</f>
        <v>0</v>
      </c>
      <c r="N303" s="653">
        <f>'WK5a - Impact on Rates'!K211</f>
        <v>0</v>
      </c>
      <c r="O303" s="654">
        <f>'WK5a - Impact on Rates'!L211</f>
        <v>0</v>
      </c>
      <c r="P303" s="3"/>
      <c r="Q303" s="3"/>
      <c r="R303" s="96"/>
      <c r="S303" s="3"/>
      <c r="T303" s="3"/>
      <c r="U303" s="3"/>
      <c r="V303" s="3"/>
      <c r="W303" s="3"/>
      <c r="X303" s="3"/>
      <c r="Y303" s="3"/>
      <c r="Z303" s="3"/>
      <c r="AA303" s="3"/>
      <c r="AB303" s="3"/>
      <c r="AC303" s="3"/>
    </row>
    <row r="304" spans="1:29" ht="12" hidden="1" outlineLevel="1" thickBot="1" x14ac:dyDescent="0.25">
      <c r="A304" s="3"/>
      <c r="B304" s="630" t="str">
        <f>'WK5a - Impact on Rates'!C212</f>
        <v>Special rate</v>
      </c>
      <c r="C304" s="619" t="str">
        <f>'WK5a - Impact on Rates'!D212</f>
        <v/>
      </c>
      <c r="D304" s="3"/>
      <c r="E304" s="135"/>
      <c r="F304" s="3"/>
      <c r="G304" s="96"/>
      <c r="H304" s="652" t="str">
        <f>'WK5a - Impact on Rates'!E212</f>
        <v>.</v>
      </c>
      <c r="I304" s="653" t="str">
        <f>'WK5a - Impact on Rates'!F212</f>
        <v>.</v>
      </c>
      <c r="J304" s="653">
        <f>'WK5a - Impact on Rates'!G212</f>
        <v>0</v>
      </c>
      <c r="K304" s="653">
        <f>'WK5a - Impact on Rates'!H212</f>
        <v>0</v>
      </c>
      <c r="L304" s="653">
        <f>'WK5a - Impact on Rates'!I212</f>
        <v>0</v>
      </c>
      <c r="M304" s="653">
        <f>'WK5a - Impact on Rates'!J212</f>
        <v>0</v>
      </c>
      <c r="N304" s="653">
        <f>'WK5a - Impact on Rates'!K212</f>
        <v>0</v>
      </c>
      <c r="O304" s="654">
        <f>'WK5a - Impact on Rates'!L212</f>
        <v>0</v>
      </c>
      <c r="P304" s="3"/>
      <c r="Q304" s="3"/>
      <c r="R304" s="96"/>
      <c r="S304" s="3"/>
      <c r="T304" s="3"/>
      <c r="U304" s="3"/>
      <c r="V304" s="3"/>
      <c r="W304" s="3"/>
      <c r="X304" s="3"/>
      <c r="Y304" s="3"/>
      <c r="Z304" s="3"/>
      <c r="AA304" s="3"/>
      <c r="AB304" s="3"/>
      <c r="AC304" s="3"/>
    </row>
    <row r="305" spans="1:29" ht="12" hidden="1" outlineLevel="1" thickBot="1" x14ac:dyDescent="0.25">
      <c r="A305" s="3"/>
      <c r="B305" s="630" t="str">
        <f>'WK5a - Impact on Rates'!C213</f>
        <v>Special rate</v>
      </c>
      <c r="C305" s="619" t="str">
        <f>'WK5a - Impact on Rates'!D213</f>
        <v/>
      </c>
      <c r="D305" s="3"/>
      <c r="E305" s="135"/>
      <c r="F305" s="3"/>
      <c r="G305" s="96"/>
      <c r="H305" s="652" t="str">
        <f>'WK5a - Impact on Rates'!E213</f>
        <v>.</v>
      </c>
      <c r="I305" s="653" t="str">
        <f>'WK5a - Impact on Rates'!F213</f>
        <v>.</v>
      </c>
      <c r="J305" s="653">
        <f>'WK5a - Impact on Rates'!G213</f>
        <v>0</v>
      </c>
      <c r="K305" s="653">
        <f>'WK5a - Impact on Rates'!H213</f>
        <v>0</v>
      </c>
      <c r="L305" s="653">
        <f>'WK5a - Impact on Rates'!I213</f>
        <v>0</v>
      </c>
      <c r="M305" s="653">
        <f>'WK5a - Impact on Rates'!J213</f>
        <v>0</v>
      </c>
      <c r="N305" s="653">
        <f>'WK5a - Impact on Rates'!K213</f>
        <v>0</v>
      </c>
      <c r="O305" s="654">
        <f>'WK5a - Impact on Rates'!L213</f>
        <v>0</v>
      </c>
      <c r="P305" s="3"/>
      <c r="Q305" s="3"/>
      <c r="R305" s="96"/>
      <c r="S305" s="3"/>
      <c r="T305" s="3"/>
      <c r="U305" s="3"/>
      <c r="V305" s="3"/>
      <c r="W305" s="3"/>
      <c r="X305" s="3"/>
      <c r="Y305" s="3"/>
      <c r="Z305" s="3"/>
      <c r="AA305" s="3"/>
      <c r="AB305" s="3"/>
      <c r="AC305" s="3"/>
    </row>
    <row r="306" spans="1:29" ht="12" hidden="1" outlineLevel="1" thickBot="1" x14ac:dyDescent="0.25">
      <c r="A306" s="3"/>
      <c r="B306" s="630" t="str">
        <f>'WK5a - Impact on Rates'!C214</f>
        <v>Special rate</v>
      </c>
      <c r="C306" s="619" t="str">
        <f>'WK5a - Impact on Rates'!D214</f>
        <v/>
      </c>
      <c r="D306" s="3"/>
      <c r="E306" s="135"/>
      <c r="F306" s="3"/>
      <c r="G306" s="96"/>
      <c r="H306" s="652" t="str">
        <f>'WK5a - Impact on Rates'!E214</f>
        <v>.</v>
      </c>
      <c r="I306" s="653" t="str">
        <f>'WK5a - Impact on Rates'!F214</f>
        <v>.</v>
      </c>
      <c r="J306" s="653">
        <f>'WK5a - Impact on Rates'!G214</f>
        <v>0</v>
      </c>
      <c r="K306" s="653">
        <f>'WK5a - Impact on Rates'!H214</f>
        <v>0</v>
      </c>
      <c r="L306" s="653">
        <f>'WK5a - Impact on Rates'!I214</f>
        <v>0</v>
      </c>
      <c r="M306" s="653">
        <f>'WK5a - Impact on Rates'!J214</f>
        <v>0</v>
      </c>
      <c r="N306" s="653">
        <f>'WK5a - Impact on Rates'!K214</f>
        <v>0</v>
      </c>
      <c r="O306" s="654">
        <f>'WK5a - Impact on Rates'!L214</f>
        <v>0</v>
      </c>
      <c r="P306" s="3"/>
      <c r="Q306" s="3"/>
      <c r="R306" s="96"/>
      <c r="S306" s="3"/>
      <c r="T306" s="3"/>
      <c r="U306" s="3"/>
      <c r="V306" s="3"/>
      <c r="W306" s="3"/>
      <c r="X306" s="3"/>
      <c r="Y306" s="3"/>
      <c r="Z306" s="3"/>
      <c r="AA306" s="3"/>
      <c r="AB306" s="3"/>
      <c r="AC306" s="3"/>
    </row>
    <row r="307" spans="1:29" ht="12" hidden="1" outlineLevel="1" thickBot="1" x14ac:dyDescent="0.25">
      <c r="A307" s="3"/>
      <c r="B307" s="630" t="str">
        <f>'WK5a - Impact on Rates'!C215</f>
        <v>Special rate</v>
      </c>
      <c r="C307" s="619" t="str">
        <f>'WK5a - Impact on Rates'!D215</f>
        <v/>
      </c>
      <c r="D307" s="3"/>
      <c r="E307" s="135"/>
      <c r="F307" s="3"/>
      <c r="G307" s="96"/>
      <c r="H307" s="652" t="str">
        <f>'WK5a - Impact on Rates'!E215</f>
        <v>.</v>
      </c>
      <c r="I307" s="653" t="str">
        <f>'WK5a - Impact on Rates'!F215</f>
        <v>.</v>
      </c>
      <c r="J307" s="653">
        <f>'WK5a - Impact on Rates'!G215</f>
        <v>0</v>
      </c>
      <c r="K307" s="653">
        <f>'WK5a - Impact on Rates'!H215</f>
        <v>0</v>
      </c>
      <c r="L307" s="653">
        <f>'WK5a - Impact on Rates'!I215</f>
        <v>0</v>
      </c>
      <c r="M307" s="653">
        <f>'WK5a - Impact on Rates'!J215</f>
        <v>0</v>
      </c>
      <c r="N307" s="653">
        <f>'WK5a - Impact on Rates'!K215</f>
        <v>0</v>
      </c>
      <c r="O307" s="654">
        <f>'WK5a - Impact on Rates'!L215</f>
        <v>0</v>
      </c>
      <c r="P307" s="3"/>
      <c r="Q307" s="3"/>
      <c r="R307" s="96"/>
      <c r="S307" s="3"/>
      <c r="T307" s="3"/>
      <c r="U307" s="3"/>
      <c r="V307" s="3"/>
      <c r="W307" s="3"/>
      <c r="X307" s="3"/>
      <c r="Y307" s="3"/>
      <c r="Z307" s="3"/>
      <c r="AA307" s="3"/>
      <c r="AB307" s="3"/>
      <c r="AC307" s="3"/>
    </row>
    <row r="308" spans="1:29" ht="12.6" collapsed="1" thickTop="1" thickBot="1" x14ac:dyDescent="0.25">
      <c r="A308" s="3"/>
      <c r="B308" s="893" t="str">
        <f>B288</f>
        <v>Mining</v>
      </c>
      <c r="C308" s="619" t="str">
        <f>'WK5a - Impact on Rates'!D216</f>
        <v>TOTAL AVERAGE</v>
      </c>
      <c r="D308" s="3"/>
      <c r="E308" s="135"/>
      <c r="F308" s="3"/>
      <c r="G308" s="96"/>
      <c r="H308" s="652" t="str">
        <f>'WK5a - Impact on Rates'!E216</f>
        <v>.</v>
      </c>
      <c r="I308" s="653" t="str">
        <f>'WK5a - Impact on Rates'!F216</f>
        <v>.</v>
      </c>
      <c r="J308" s="653" t="str">
        <f>'WK5a - Impact on Rates'!G216</f>
        <v>.</v>
      </c>
      <c r="K308" s="653" t="str">
        <f>'WK5a - Impact on Rates'!H216</f>
        <v>.</v>
      </c>
      <c r="L308" s="653" t="str">
        <f>'WK5a - Impact on Rates'!I216</f>
        <v>.</v>
      </c>
      <c r="M308" s="653" t="str">
        <f>'WK5a - Impact on Rates'!J216</f>
        <v>.</v>
      </c>
      <c r="N308" s="653" t="str">
        <f>'WK5a - Impact on Rates'!K216</f>
        <v>.</v>
      </c>
      <c r="O308" s="654" t="str">
        <f>'WK5a - Impact on Rates'!L216</f>
        <v>.</v>
      </c>
      <c r="P308" s="3"/>
      <c r="Q308" s="3"/>
      <c r="R308" s="96"/>
      <c r="S308" s="3"/>
      <c r="T308" s="3"/>
      <c r="U308" s="3"/>
      <c r="V308" s="3"/>
      <c r="W308" s="3"/>
      <c r="X308" s="3"/>
      <c r="Y308" s="3"/>
      <c r="Z308" s="3"/>
      <c r="AA308" s="3"/>
      <c r="AB308" s="3"/>
      <c r="AC308" s="3"/>
    </row>
    <row r="309" spans="1:29" ht="12" thickTop="1" x14ac:dyDescent="0.2">
      <c r="A309" s="3"/>
      <c r="B309" s="135"/>
      <c r="C309" s="3"/>
      <c r="D309" s="3"/>
      <c r="E309" s="135"/>
      <c r="F309" s="3"/>
      <c r="G309" s="96"/>
      <c r="H309" s="565"/>
      <c r="I309" s="77"/>
      <c r="J309" s="77"/>
      <c r="K309" s="77"/>
      <c r="L309" s="77"/>
      <c r="M309" s="77"/>
      <c r="N309" s="77"/>
      <c r="O309" s="566"/>
      <c r="P309" s="3"/>
      <c r="Q309" s="3"/>
      <c r="R309" s="96"/>
      <c r="S309" s="3"/>
      <c r="T309" s="3"/>
      <c r="U309" s="3"/>
      <c r="V309" s="3"/>
      <c r="W309" s="3"/>
      <c r="X309" s="3"/>
      <c r="Y309" s="3"/>
      <c r="Z309" s="3"/>
      <c r="AA309" s="3"/>
      <c r="AB309" s="3"/>
      <c r="AC309" s="3"/>
    </row>
    <row r="310" spans="1:29" ht="12" x14ac:dyDescent="0.25">
      <c r="A310" s="3"/>
      <c r="B310" s="632" t="str">
        <f>'WK5a - Impact on Rates'!C220</f>
        <v>Average Ordinary and Special Rates - without proposed special variation (assumed rate peg only)</v>
      </c>
      <c r="C310" s="3"/>
      <c r="D310" s="3"/>
      <c r="E310" s="135"/>
      <c r="F310" s="3"/>
      <c r="G310" s="96"/>
      <c r="H310" s="565"/>
      <c r="I310" s="77"/>
      <c r="J310" s="77"/>
      <c r="K310" s="77"/>
      <c r="L310" s="77"/>
      <c r="M310" s="77"/>
      <c r="N310" s="77"/>
      <c r="O310" s="566"/>
      <c r="P310" s="3"/>
      <c r="Q310" s="3"/>
      <c r="R310" s="96"/>
      <c r="S310" s="3"/>
      <c r="T310" s="3"/>
      <c r="U310" s="3"/>
      <c r="V310" s="3"/>
      <c r="W310" s="3"/>
      <c r="X310" s="3"/>
      <c r="Y310" s="3"/>
      <c r="Z310" s="3"/>
      <c r="AA310" s="3"/>
      <c r="AB310" s="3"/>
      <c r="AC310" s="3"/>
    </row>
    <row r="311" spans="1:29" x14ac:dyDescent="0.2">
      <c r="A311" s="3"/>
      <c r="B311" s="630" t="str">
        <f>'WK5a - Impact on Rates'!C223</f>
        <v>Residential</v>
      </c>
      <c r="C311" s="3"/>
      <c r="D311" s="3"/>
      <c r="E311" s="135"/>
      <c r="F311" s="3"/>
      <c r="G311" s="96"/>
      <c r="H311" s="652">
        <f>'WK5a - Impact on Rates'!E253</f>
        <v>1271.6436324105043</v>
      </c>
      <c r="I311" s="653">
        <f>'WK5a - Impact on Rates'!F253</f>
        <v>1318.6944468096931</v>
      </c>
      <c r="J311" s="653">
        <f>'WK5a - Impact on Rates'!G253</f>
        <v>1351.6618079799352</v>
      </c>
      <c r="K311" s="653">
        <f>'WK5a - Impact on Rates'!H253</f>
        <v>1385.4533531794334</v>
      </c>
      <c r="L311" s="653">
        <f>'WK5a - Impact on Rates'!I253</f>
        <v>1420.0896870089191</v>
      </c>
      <c r="M311" s="653">
        <f>'WK5a - Impact on Rates'!J253</f>
        <v>1455.5919291841419</v>
      </c>
      <c r="N311" s="653">
        <f>'WK5a - Impact on Rates'!K253</f>
        <v>1491.9817274137454</v>
      </c>
      <c r="O311" s="654">
        <f>'WK5a - Impact on Rates'!L253</f>
        <v>1529.2812705990889</v>
      </c>
      <c r="P311" s="3"/>
      <c r="Q311" s="3"/>
      <c r="R311" s="96"/>
      <c r="S311" s="3"/>
      <c r="T311" s="3"/>
      <c r="U311" s="3"/>
      <c r="V311" s="3"/>
      <c r="W311" s="3"/>
      <c r="X311" s="3"/>
      <c r="Y311" s="3"/>
      <c r="Z311" s="3"/>
      <c r="AA311" s="3"/>
      <c r="AB311" s="3"/>
      <c r="AC311" s="3"/>
    </row>
    <row r="312" spans="1:29" x14ac:dyDescent="0.2">
      <c r="A312" s="3"/>
      <c r="B312" s="630" t="str">
        <f>'WK5a - Impact on Rates'!C254</f>
        <v>Business</v>
      </c>
      <c r="C312" s="3"/>
      <c r="D312" s="3"/>
      <c r="E312" s="135"/>
      <c r="F312" s="3"/>
      <c r="G312" s="96"/>
      <c r="H312" s="652">
        <f>'WK5a - Impact on Rates'!E299</f>
        <v>3440.6532788065088</v>
      </c>
      <c r="I312" s="653">
        <f>'WK5a - Impact on Rates'!F299</f>
        <v>3567.9574501223492</v>
      </c>
      <c r="J312" s="653">
        <f>'WK5a - Impact on Rates'!G299</f>
        <v>3657.1563863754068</v>
      </c>
      <c r="K312" s="653">
        <f>'WK5a - Impact on Rates'!H299</f>
        <v>3748.5852960347925</v>
      </c>
      <c r="L312" s="653">
        <f>'WK5a - Impact on Rates'!I299</f>
        <v>3842.2999284356611</v>
      </c>
      <c r="M312" s="653">
        <f>'WK5a - Impact on Rates'!J299</f>
        <v>3938.3574266465525</v>
      </c>
      <c r="N312" s="653">
        <f>'WK5a - Impact on Rates'!K299</f>
        <v>4036.8163623127152</v>
      </c>
      <c r="O312" s="654">
        <f>'WK5a - Impact on Rates'!L299</f>
        <v>4137.7367713705326</v>
      </c>
      <c r="P312" s="3"/>
      <c r="Q312" s="3"/>
      <c r="R312" s="96"/>
      <c r="S312" s="3"/>
      <c r="T312" s="3"/>
      <c r="U312" s="3"/>
      <c r="V312" s="3"/>
      <c r="W312" s="3"/>
      <c r="X312" s="3"/>
      <c r="Y312" s="3"/>
      <c r="Z312" s="3"/>
      <c r="AA312" s="3"/>
      <c r="AB312" s="3"/>
      <c r="AC312" s="3"/>
    </row>
    <row r="313" spans="1:29" x14ac:dyDescent="0.2">
      <c r="A313" s="3"/>
      <c r="B313" s="630" t="str">
        <f>'WK5a - Impact on Rates'!C300</f>
        <v>Farmland</v>
      </c>
      <c r="C313" s="3"/>
      <c r="D313" s="3"/>
      <c r="E313" s="135"/>
      <c r="F313" s="3"/>
      <c r="G313" s="96"/>
      <c r="H313" s="652">
        <f>'WK5a - Impact on Rates'!E320</f>
        <v>2133.7065429712461</v>
      </c>
      <c r="I313" s="653">
        <f>'WK5a - Impact on Rates'!F320</f>
        <v>2212.6536850611819</v>
      </c>
      <c r="J313" s="653">
        <f>'WK5a - Impact on Rates'!G320</f>
        <v>2267.9700271877109</v>
      </c>
      <c r="K313" s="653">
        <f>'WK5a - Impact on Rates'!H320</f>
        <v>2324.6692778674033</v>
      </c>
      <c r="L313" s="653">
        <f>'WK5a - Impact on Rates'!I320</f>
        <v>2382.7860098140886</v>
      </c>
      <c r="M313" s="653">
        <f>'WK5a - Impact on Rates'!J320</f>
        <v>2442.3556600594407</v>
      </c>
      <c r="N313" s="653">
        <f>'WK5a - Impact on Rates'!K320</f>
        <v>2503.4145515609262</v>
      </c>
      <c r="O313" s="654">
        <f>'WK5a - Impact on Rates'!L320</f>
        <v>2565.9999153499493</v>
      </c>
      <c r="P313" s="3"/>
      <c r="Q313" s="3"/>
      <c r="R313" s="96"/>
      <c r="S313" s="3"/>
      <c r="T313" s="3"/>
      <c r="U313" s="3"/>
      <c r="V313" s="3"/>
      <c r="W313" s="3"/>
      <c r="X313" s="3"/>
      <c r="Y313" s="3"/>
      <c r="Z313" s="3"/>
      <c r="AA313" s="3"/>
      <c r="AB313" s="3"/>
      <c r="AC313" s="3"/>
    </row>
    <row r="314" spans="1:29" x14ac:dyDescent="0.2">
      <c r="A314" s="3"/>
      <c r="B314" s="630" t="str">
        <f>'WK5a - Impact on Rates'!C321</f>
        <v>Mining</v>
      </c>
      <c r="C314" s="3"/>
      <c r="D314" s="3"/>
      <c r="E314" s="135"/>
      <c r="F314" s="3"/>
      <c r="G314" s="96"/>
      <c r="H314" s="652" t="str">
        <f>'WK5a - Impact on Rates'!E341</f>
        <v>.</v>
      </c>
      <c r="I314" s="653" t="str">
        <f>'WK5a - Impact on Rates'!F341</f>
        <v>.</v>
      </c>
      <c r="J314" s="653" t="str">
        <f>'WK5a - Impact on Rates'!G341</f>
        <v>.</v>
      </c>
      <c r="K314" s="653" t="str">
        <f>'WK5a - Impact on Rates'!H341</f>
        <v>.</v>
      </c>
      <c r="L314" s="653" t="str">
        <f>'WK5a - Impact on Rates'!I341</f>
        <v>.</v>
      </c>
      <c r="M314" s="653" t="str">
        <f>'WK5a - Impact on Rates'!J341</f>
        <v>.</v>
      </c>
      <c r="N314" s="653" t="str">
        <f>'WK5a - Impact on Rates'!K341</f>
        <v>.</v>
      </c>
      <c r="O314" s="654" t="str">
        <f>'WK5a - Impact on Rates'!L341</f>
        <v>.</v>
      </c>
      <c r="P314" s="3"/>
      <c r="Q314" s="3"/>
      <c r="R314" s="96"/>
      <c r="S314" s="3"/>
      <c r="T314" s="3"/>
      <c r="U314" s="3"/>
      <c r="V314" s="3"/>
      <c r="W314" s="3"/>
      <c r="X314" s="3"/>
      <c r="Y314" s="3"/>
      <c r="Z314" s="3"/>
      <c r="AA314" s="3"/>
      <c r="AB314" s="3"/>
      <c r="AC314" s="3"/>
    </row>
    <row r="315" spans="1:29" x14ac:dyDescent="0.2">
      <c r="A315" s="3"/>
      <c r="B315" s="97"/>
      <c r="C315" s="93"/>
      <c r="D315" s="93"/>
      <c r="E315" s="97"/>
      <c r="F315" s="93"/>
      <c r="G315" s="98"/>
      <c r="H315" s="97"/>
      <c r="I315" s="93"/>
      <c r="J315" s="93"/>
      <c r="K315" s="93"/>
      <c r="L315" s="93"/>
      <c r="M315" s="93"/>
      <c r="N315" s="93"/>
      <c r="O315" s="98"/>
      <c r="P315" s="93"/>
      <c r="Q315" s="93"/>
      <c r="R315" s="98"/>
      <c r="S315" s="3"/>
      <c r="T315" s="3"/>
      <c r="U315" s="3"/>
      <c r="V315" s="3"/>
      <c r="W315" s="3"/>
      <c r="X315" s="3"/>
      <c r="Y315" s="3"/>
      <c r="Z315" s="3"/>
      <c r="AA315" s="3"/>
      <c r="AB315" s="3"/>
      <c r="AC315" s="3"/>
    </row>
    <row r="316" spans="1:29"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ht="12" thickBo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x14ac:dyDescent="0.2">
      <c r="A319" s="3"/>
      <c r="B319" s="1005" t="s">
        <v>129</v>
      </c>
      <c r="C319" s="1006" t="s">
        <v>130</v>
      </c>
      <c r="D319" s="1007"/>
      <c r="E319" s="1007"/>
      <c r="F319" s="1007"/>
      <c r="G319" s="1007"/>
      <c r="H319" s="1007"/>
      <c r="I319" s="1008"/>
      <c r="J319" s="1008"/>
      <c r="K319" s="1008"/>
      <c r="L319" s="1008"/>
      <c r="M319" s="1008"/>
      <c r="N319" s="1008"/>
      <c r="O319" s="1008"/>
      <c r="P319" s="1008"/>
      <c r="Q319" s="1008"/>
      <c r="R319" s="1009"/>
      <c r="S319" s="3"/>
      <c r="T319" s="3"/>
      <c r="U319" s="3"/>
      <c r="V319" s="3"/>
      <c r="W319" s="3"/>
      <c r="X319" s="3"/>
      <c r="Y319" s="3"/>
      <c r="Z319" s="3"/>
      <c r="AA319" s="3"/>
      <c r="AB319" s="3"/>
      <c r="AC319" s="3"/>
    </row>
    <row r="320" spans="1:29" ht="12" x14ac:dyDescent="0.25">
      <c r="A320" s="3"/>
      <c r="B320" s="1010" t="s">
        <v>129</v>
      </c>
      <c r="C320" s="3"/>
      <c r="D320" s="620"/>
      <c r="E320" s="2"/>
      <c r="F320" s="3"/>
      <c r="G320" s="3"/>
      <c r="H320" s="3"/>
      <c r="I320" s="455"/>
      <c r="J320" s="455"/>
      <c r="K320" s="455"/>
      <c r="L320" s="455"/>
      <c r="M320" s="455"/>
      <c r="N320" s="455"/>
      <c r="O320" s="455"/>
      <c r="P320" s="455"/>
      <c r="Q320" s="455"/>
      <c r="R320" s="1011"/>
      <c r="S320" s="3"/>
      <c r="T320" s="3"/>
      <c r="U320" s="3"/>
      <c r="V320" s="3"/>
      <c r="W320" s="3"/>
      <c r="X320" s="3"/>
      <c r="Y320" s="3"/>
      <c r="Z320" s="3"/>
      <c r="AA320" s="3"/>
      <c r="AB320" s="3"/>
      <c r="AC320" s="3"/>
    </row>
    <row r="321" spans="1:29" x14ac:dyDescent="0.2">
      <c r="A321" s="3"/>
      <c r="B321" s="1012" t="s">
        <v>129</v>
      </c>
      <c r="C321" s="815"/>
      <c r="D321" s="918"/>
      <c r="E321" s="1201"/>
      <c r="F321" s="919"/>
      <c r="G321" s="920"/>
      <c r="H321" s="1200"/>
      <c r="I321" s="872"/>
      <c r="J321" s="872"/>
      <c r="K321" s="872"/>
      <c r="L321" s="872"/>
      <c r="M321" s="872"/>
      <c r="N321" s="872"/>
      <c r="O321" s="872"/>
      <c r="P321" s="1201"/>
      <c r="Q321" s="919"/>
      <c r="R321" s="1013"/>
      <c r="S321" s="3"/>
      <c r="T321" s="3"/>
      <c r="U321" s="3"/>
      <c r="V321" s="3"/>
      <c r="W321" s="3"/>
      <c r="X321" s="3"/>
      <c r="Y321" s="3"/>
      <c r="Z321" s="3"/>
      <c r="AA321" s="3"/>
      <c r="AB321" s="3"/>
      <c r="AC321" s="3"/>
    </row>
    <row r="322" spans="1:29" ht="12" x14ac:dyDescent="0.25">
      <c r="A322" s="3"/>
      <c r="B322" s="1014"/>
      <c r="C322" s="93"/>
      <c r="D322" s="98"/>
      <c r="E322" s="622"/>
      <c r="F322" s="623"/>
      <c r="G322" s="624"/>
      <c r="H322" s="625"/>
      <c r="I322" s="626"/>
      <c r="J322" s="626"/>
      <c r="K322" s="626"/>
      <c r="L322" s="626"/>
      <c r="M322" s="626"/>
      <c r="N322" s="626"/>
      <c r="O322" s="626"/>
      <c r="P322" s="622"/>
      <c r="Q322" s="623"/>
      <c r="R322" s="1015"/>
      <c r="S322" s="3"/>
      <c r="T322" s="3"/>
      <c r="U322" s="3"/>
      <c r="V322" s="3"/>
      <c r="W322" s="3"/>
      <c r="X322" s="3"/>
      <c r="Y322" s="3"/>
      <c r="Z322" s="3"/>
      <c r="AA322" s="3"/>
      <c r="AB322" s="3"/>
      <c r="AC322" s="3"/>
    </row>
    <row r="323" spans="1:29" ht="56.25" hidden="1" customHeight="1" outlineLevel="1" x14ac:dyDescent="0.2">
      <c r="A323" s="3"/>
      <c r="B323" s="1016" t="s">
        <v>129</v>
      </c>
      <c r="C323" s="899"/>
      <c r="D323" s="899"/>
      <c r="E323" s="751"/>
      <c r="F323" s="173"/>
      <c r="G323" s="198"/>
      <c r="H323" s="751"/>
      <c r="I323" s="173"/>
      <c r="J323" s="173"/>
      <c r="K323" s="173"/>
      <c r="L323" s="173"/>
      <c r="M323" s="173"/>
      <c r="N323" s="173"/>
      <c r="O323" s="173"/>
      <c r="P323" s="751"/>
      <c r="Q323" s="173"/>
      <c r="R323" s="1017"/>
      <c r="S323" s="3"/>
      <c r="T323" s="3"/>
      <c r="U323" s="3"/>
      <c r="V323" s="3"/>
      <c r="W323" s="3"/>
      <c r="X323" s="3"/>
      <c r="Y323" s="3"/>
      <c r="Z323" s="3"/>
      <c r="AA323" s="3"/>
      <c r="AB323" s="3"/>
      <c r="AC323" s="3"/>
    </row>
    <row r="324" spans="1:29" hidden="1" outlineLevel="1" x14ac:dyDescent="0.2">
      <c r="A324" s="3"/>
      <c r="B324" s="1010" t="s">
        <v>129</v>
      </c>
      <c r="C324" s="3"/>
      <c r="D324" s="3"/>
      <c r="E324" s="135"/>
      <c r="F324" s="3"/>
      <c r="G324" s="96"/>
      <c r="H324" s="135"/>
      <c r="I324" s="3"/>
      <c r="J324" s="3"/>
      <c r="K324" s="3"/>
      <c r="L324" s="3"/>
      <c r="M324" s="3"/>
      <c r="N324" s="3"/>
      <c r="O324" s="3"/>
      <c r="P324" s="135"/>
      <c r="Q324" s="3"/>
      <c r="R324" s="1018"/>
      <c r="S324" s="3"/>
      <c r="T324" s="3"/>
      <c r="U324" s="3"/>
      <c r="V324" s="3"/>
      <c r="W324" s="3"/>
      <c r="X324" s="3"/>
      <c r="Y324" s="3"/>
      <c r="Z324" s="3"/>
      <c r="AA324" s="3"/>
      <c r="AB324" s="3"/>
      <c r="AC324" s="3"/>
    </row>
    <row r="325" spans="1:29" hidden="1" outlineLevel="1" x14ac:dyDescent="0.2">
      <c r="A325" s="3"/>
      <c r="B325" s="1019" t="s">
        <v>129</v>
      </c>
      <c r="C325" s="1003" t="s">
        <v>129</v>
      </c>
      <c r="D325" s="1003" t="s">
        <v>129</v>
      </c>
      <c r="E325" s="135"/>
      <c r="F325" s="3"/>
      <c r="G325" s="96"/>
      <c r="H325" s="1004" t="s">
        <v>129</v>
      </c>
      <c r="I325" s="1004" t="s">
        <v>129</v>
      </c>
      <c r="J325" s="1004" t="s">
        <v>129</v>
      </c>
      <c r="K325" s="1004" t="s">
        <v>129</v>
      </c>
      <c r="L325" s="1004" t="s">
        <v>129</v>
      </c>
      <c r="M325" s="1004" t="s">
        <v>129</v>
      </c>
      <c r="N325" s="1004" t="s">
        <v>129</v>
      </c>
      <c r="O325" s="1004" t="s">
        <v>129</v>
      </c>
      <c r="P325" s="135"/>
      <c r="Q325" s="3"/>
      <c r="R325" s="1018"/>
      <c r="S325" s="3"/>
      <c r="T325" s="3"/>
      <c r="U325" s="3"/>
      <c r="V325" s="3"/>
      <c r="W325" s="3"/>
      <c r="X325" s="3"/>
      <c r="Y325" s="3"/>
      <c r="Z325" s="3"/>
      <c r="AA325" s="3"/>
      <c r="AB325" s="3"/>
      <c r="AC325" s="3"/>
    </row>
    <row r="326" spans="1:29" hidden="1" outlineLevel="1" x14ac:dyDescent="0.2">
      <c r="A326" s="3"/>
      <c r="B326" s="1019" t="s">
        <v>129</v>
      </c>
      <c r="C326" s="1003" t="s">
        <v>129</v>
      </c>
      <c r="D326" s="1003" t="s">
        <v>129</v>
      </c>
      <c r="E326" s="135"/>
      <c r="F326" s="3"/>
      <c r="G326" s="96"/>
      <c r="H326" s="1004" t="s">
        <v>129</v>
      </c>
      <c r="I326" s="1004" t="s">
        <v>129</v>
      </c>
      <c r="J326" s="1004" t="s">
        <v>129</v>
      </c>
      <c r="K326" s="1004" t="s">
        <v>129</v>
      </c>
      <c r="L326" s="1004" t="s">
        <v>129</v>
      </c>
      <c r="M326" s="1004" t="s">
        <v>129</v>
      </c>
      <c r="N326" s="1004" t="s">
        <v>129</v>
      </c>
      <c r="O326" s="1004" t="s">
        <v>129</v>
      </c>
      <c r="P326" s="135"/>
      <c r="Q326" s="3"/>
      <c r="R326" s="1018"/>
      <c r="S326" s="3"/>
      <c r="T326" s="3"/>
      <c r="U326" s="3"/>
      <c r="V326" s="3"/>
      <c r="W326" s="3"/>
      <c r="X326" s="3"/>
      <c r="Y326" s="3"/>
      <c r="Z326" s="3"/>
      <c r="AA326" s="3"/>
      <c r="AB326" s="3"/>
      <c r="AC326" s="3"/>
    </row>
    <row r="327" spans="1:29" hidden="1" outlineLevel="1" x14ac:dyDescent="0.2">
      <c r="A327" s="3"/>
      <c r="B327" s="1019" t="s">
        <v>129</v>
      </c>
      <c r="C327" s="1003" t="s">
        <v>129</v>
      </c>
      <c r="D327" s="1003" t="s">
        <v>129</v>
      </c>
      <c r="E327" s="135"/>
      <c r="F327" s="3"/>
      <c r="G327" s="96"/>
      <c r="H327" s="1004" t="s">
        <v>129</v>
      </c>
      <c r="I327" s="1004" t="s">
        <v>129</v>
      </c>
      <c r="J327" s="1004" t="s">
        <v>129</v>
      </c>
      <c r="K327" s="1004" t="s">
        <v>129</v>
      </c>
      <c r="L327" s="1004" t="s">
        <v>129</v>
      </c>
      <c r="M327" s="1004" t="s">
        <v>129</v>
      </c>
      <c r="N327" s="1004" t="s">
        <v>129</v>
      </c>
      <c r="O327" s="1004" t="s">
        <v>129</v>
      </c>
      <c r="P327" s="135"/>
      <c r="Q327" s="3"/>
      <c r="R327" s="1018"/>
      <c r="S327" s="3"/>
      <c r="T327" s="3"/>
      <c r="U327" s="3"/>
      <c r="V327" s="3"/>
      <c r="W327" s="3"/>
      <c r="X327" s="3"/>
      <c r="Y327" s="3"/>
      <c r="Z327" s="3"/>
      <c r="AA327" s="3"/>
      <c r="AB327" s="3"/>
      <c r="AC327" s="3"/>
    </row>
    <row r="328" spans="1:29" hidden="1" outlineLevel="1" x14ac:dyDescent="0.2">
      <c r="A328" s="3"/>
      <c r="B328" s="1019" t="s">
        <v>129</v>
      </c>
      <c r="C328" s="1003" t="s">
        <v>129</v>
      </c>
      <c r="D328" s="1003" t="s">
        <v>129</v>
      </c>
      <c r="E328" s="135"/>
      <c r="F328" s="3"/>
      <c r="G328" s="96"/>
      <c r="H328" s="1004" t="s">
        <v>129</v>
      </c>
      <c r="I328" s="1004" t="s">
        <v>129</v>
      </c>
      <c r="J328" s="1004" t="s">
        <v>129</v>
      </c>
      <c r="K328" s="1004" t="s">
        <v>129</v>
      </c>
      <c r="L328" s="1004" t="s">
        <v>129</v>
      </c>
      <c r="M328" s="1004" t="s">
        <v>129</v>
      </c>
      <c r="N328" s="1004" t="s">
        <v>129</v>
      </c>
      <c r="O328" s="1004" t="s">
        <v>129</v>
      </c>
      <c r="P328" s="135"/>
      <c r="Q328" s="3"/>
      <c r="R328" s="1018"/>
      <c r="S328" s="3"/>
      <c r="T328" s="3"/>
      <c r="U328" s="3"/>
      <c r="V328" s="3"/>
      <c r="W328" s="3"/>
      <c r="X328" s="3"/>
      <c r="Y328" s="3"/>
      <c r="Z328" s="3"/>
      <c r="AA328" s="3"/>
      <c r="AB328" s="3"/>
      <c r="AC328" s="3"/>
    </row>
    <row r="329" spans="1:29" hidden="1" outlineLevel="1" x14ac:dyDescent="0.2">
      <c r="A329" s="3"/>
      <c r="B329" s="1019" t="s">
        <v>129</v>
      </c>
      <c r="C329" s="1003" t="s">
        <v>129</v>
      </c>
      <c r="D329" s="1003" t="s">
        <v>129</v>
      </c>
      <c r="E329" s="135"/>
      <c r="F329" s="3"/>
      <c r="G329" s="96"/>
      <c r="H329" s="1004" t="s">
        <v>129</v>
      </c>
      <c r="I329" s="1004" t="s">
        <v>129</v>
      </c>
      <c r="J329" s="1004" t="s">
        <v>129</v>
      </c>
      <c r="K329" s="1004" t="s">
        <v>129</v>
      </c>
      <c r="L329" s="1004" t="s">
        <v>129</v>
      </c>
      <c r="M329" s="1004" t="s">
        <v>129</v>
      </c>
      <c r="N329" s="1004" t="s">
        <v>129</v>
      </c>
      <c r="O329" s="1004" t="s">
        <v>129</v>
      </c>
      <c r="P329" s="135"/>
      <c r="Q329" s="3"/>
      <c r="R329" s="1018"/>
      <c r="S329" s="3"/>
      <c r="T329" s="3"/>
      <c r="U329" s="3"/>
      <c r="V329" s="3"/>
      <c r="W329" s="3"/>
      <c r="X329" s="3"/>
      <c r="Y329" s="3"/>
      <c r="Z329" s="3"/>
      <c r="AA329" s="3"/>
      <c r="AB329" s="3"/>
      <c r="AC329" s="3"/>
    </row>
    <row r="330" spans="1:29" hidden="1" outlineLevel="1" x14ac:dyDescent="0.2">
      <c r="A330" s="3"/>
      <c r="B330" s="1019" t="s">
        <v>129</v>
      </c>
      <c r="C330" s="1003" t="s">
        <v>129</v>
      </c>
      <c r="D330" s="1003" t="s">
        <v>129</v>
      </c>
      <c r="E330" s="135"/>
      <c r="F330" s="3"/>
      <c r="G330" s="96"/>
      <c r="H330" s="1004" t="s">
        <v>129</v>
      </c>
      <c r="I330" s="1004" t="s">
        <v>129</v>
      </c>
      <c r="J330" s="1004" t="s">
        <v>129</v>
      </c>
      <c r="K330" s="1004" t="s">
        <v>129</v>
      </c>
      <c r="L330" s="1004" t="s">
        <v>129</v>
      </c>
      <c r="M330" s="1004" t="s">
        <v>129</v>
      </c>
      <c r="N330" s="1004" t="s">
        <v>129</v>
      </c>
      <c r="O330" s="1004" t="s">
        <v>129</v>
      </c>
      <c r="P330" s="135"/>
      <c r="Q330" s="3"/>
      <c r="R330" s="1018"/>
      <c r="S330" s="3"/>
      <c r="T330" s="3"/>
      <c r="U330" s="3"/>
      <c r="V330" s="3"/>
      <c r="W330" s="3"/>
      <c r="X330" s="3"/>
      <c r="Y330" s="3"/>
      <c r="Z330" s="3"/>
      <c r="AA330" s="3"/>
      <c r="AB330" s="3"/>
      <c r="AC330" s="3"/>
    </row>
    <row r="331" spans="1:29" hidden="1" outlineLevel="1" x14ac:dyDescent="0.2">
      <c r="A331" s="3"/>
      <c r="B331" s="1019" t="s">
        <v>129</v>
      </c>
      <c r="C331" s="1003" t="s">
        <v>129</v>
      </c>
      <c r="D331" s="1003" t="s">
        <v>129</v>
      </c>
      <c r="E331" s="135"/>
      <c r="F331" s="3"/>
      <c r="G331" s="96"/>
      <c r="H331" s="1004" t="s">
        <v>129</v>
      </c>
      <c r="I331" s="1004" t="s">
        <v>129</v>
      </c>
      <c r="J331" s="1004" t="s">
        <v>129</v>
      </c>
      <c r="K331" s="1004" t="s">
        <v>129</v>
      </c>
      <c r="L331" s="1004" t="s">
        <v>129</v>
      </c>
      <c r="M331" s="1004" t="s">
        <v>129</v>
      </c>
      <c r="N331" s="1004" t="s">
        <v>129</v>
      </c>
      <c r="O331" s="1004" t="s">
        <v>129</v>
      </c>
      <c r="P331" s="135"/>
      <c r="Q331" s="3"/>
      <c r="R331" s="1018"/>
      <c r="S331" s="3"/>
      <c r="T331" s="3"/>
      <c r="U331" s="3"/>
      <c r="V331" s="3"/>
      <c r="W331" s="3"/>
      <c r="X331" s="3"/>
      <c r="Y331" s="3"/>
      <c r="Z331" s="3"/>
      <c r="AA331" s="3"/>
      <c r="AB331" s="3"/>
      <c r="AC331" s="3"/>
    </row>
    <row r="332" spans="1:29" hidden="1" outlineLevel="1" x14ac:dyDescent="0.2">
      <c r="A332" s="3"/>
      <c r="B332" s="1019" t="s">
        <v>129</v>
      </c>
      <c r="C332" s="1003" t="s">
        <v>129</v>
      </c>
      <c r="D332" s="1003" t="s">
        <v>129</v>
      </c>
      <c r="E332" s="135"/>
      <c r="F332" s="3"/>
      <c r="G332" s="96"/>
      <c r="H332" s="1004" t="s">
        <v>129</v>
      </c>
      <c r="I332" s="1004" t="s">
        <v>129</v>
      </c>
      <c r="J332" s="1004" t="s">
        <v>129</v>
      </c>
      <c r="K332" s="1004" t="s">
        <v>129</v>
      </c>
      <c r="L332" s="1004" t="s">
        <v>129</v>
      </c>
      <c r="M332" s="1004" t="s">
        <v>129</v>
      </c>
      <c r="N332" s="1004" t="s">
        <v>129</v>
      </c>
      <c r="O332" s="1004" t="s">
        <v>129</v>
      </c>
      <c r="P332" s="135"/>
      <c r="Q332" s="3"/>
      <c r="R332" s="1018"/>
      <c r="S332" s="3"/>
      <c r="T332" s="3"/>
      <c r="U332" s="3"/>
      <c r="V332" s="3"/>
      <c r="W332" s="3"/>
      <c r="X332" s="3"/>
      <c r="Y332" s="3"/>
      <c r="Z332" s="3"/>
      <c r="AA332" s="3"/>
      <c r="AB332" s="3"/>
      <c r="AC332" s="3"/>
    </row>
    <row r="333" spans="1:29" hidden="1" outlineLevel="1" x14ac:dyDescent="0.2">
      <c r="A333" s="3"/>
      <c r="B333" s="1019" t="s">
        <v>129</v>
      </c>
      <c r="C333" s="1003" t="s">
        <v>129</v>
      </c>
      <c r="D333" s="1003" t="s">
        <v>129</v>
      </c>
      <c r="E333" s="135"/>
      <c r="F333" s="3"/>
      <c r="G333" s="96"/>
      <c r="H333" s="1004" t="s">
        <v>129</v>
      </c>
      <c r="I333" s="1004" t="s">
        <v>129</v>
      </c>
      <c r="J333" s="1004" t="s">
        <v>129</v>
      </c>
      <c r="K333" s="1004" t="s">
        <v>129</v>
      </c>
      <c r="L333" s="1004" t="s">
        <v>129</v>
      </c>
      <c r="M333" s="1004" t="s">
        <v>129</v>
      </c>
      <c r="N333" s="1004" t="s">
        <v>129</v>
      </c>
      <c r="O333" s="1004" t="s">
        <v>129</v>
      </c>
      <c r="P333" s="135"/>
      <c r="Q333" s="3"/>
      <c r="R333" s="1018"/>
      <c r="S333" s="3"/>
      <c r="T333" s="3"/>
      <c r="U333" s="3"/>
      <c r="V333" s="3"/>
      <c r="W333" s="3"/>
      <c r="X333" s="3"/>
      <c r="Y333" s="3"/>
      <c r="Z333" s="3"/>
      <c r="AA333" s="3"/>
      <c r="AB333" s="3"/>
      <c r="AC333" s="3"/>
    </row>
    <row r="334" spans="1:29" hidden="1" outlineLevel="1" x14ac:dyDescent="0.2">
      <c r="A334" s="3"/>
      <c r="B334" s="1019" t="s">
        <v>129</v>
      </c>
      <c r="C334" s="1003" t="s">
        <v>129</v>
      </c>
      <c r="D334" s="1003" t="s">
        <v>129</v>
      </c>
      <c r="E334" s="135"/>
      <c r="F334" s="3"/>
      <c r="G334" s="96"/>
      <c r="H334" s="1004" t="s">
        <v>129</v>
      </c>
      <c r="I334" s="1004" t="s">
        <v>129</v>
      </c>
      <c r="J334" s="1004" t="s">
        <v>129</v>
      </c>
      <c r="K334" s="1004" t="s">
        <v>129</v>
      </c>
      <c r="L334" s="1004" t="s">
        <v>129</v>
      </c>
      <c r="M334" s="1004" t="s">
        <v>129</v>
      </c>
      <c r="N334" s="1004" t="s">
        <v>129</v>
      </c>
      <c r="O334" s="1004" t="s">
        <v>129</v>
      </c>
      <c r="P334" s="135"/>
      <c r="Q334" s="3"/>
      <c r="R334" s="1018"/>
      <c r="S334" s="3"/>
      <c r="T334" s="3"/>
      <c r="U334" s="3"/>
      <c r="V334" s="3"/>
      <c r="W334" s="3"/>
      <c r="X334" s="3"/>
      <c r="Y334" s="3"/>
      <c r="Z334" s="3"/>
      <c r="AA334" s="3"/>
      <c r="AB334" s="3"/>
      <c r="AC334" s="3"/>
    </row>
    <row r="335" spans="1:29" hidden="1" outlineLevel="1" x14ac:dyDescent="0.2">
      <c r="A335" s="3"/>
      <c r="B335" s="1019" t="s">
        <v>129</v>
      </c>
      <c r="C335" s="1003" t="s">
        <v>129</v>
      </c>
      <c r="D335" s="1003" t="s">
        <v>129</v>
      </c>
      <c r="E335" s="135"/>
      <c r="F335" s="3"/>
      <c r="G335" s="96"/>
      <c r="H335" s="1004" t="s">
        <v>129</v>
      </c>
      <c r="I335" s="1004" t="s">
        <v>129</v>
      </c>
      <c r="J335" s="1004" t="s">
        <v>129</v>
      </c>
      <c r="K335" s="1004" t="s">
        <v>129</v>
      </c>
      <c r="L335" s="1004" t="s">
        <v>129</v>
      </c>
      <c r="M335" s="1004" t="s">
        <v>129</v>
      </c>
      <c r="N335" s="1004" t="s">
        <v>129</v>
      </c>
      <c r="O335" s="1004" t="s">
        <v>129</v>
      </c>
      <c r="P335" s="135"/>
      <c r="Q335" s="3"/>
      <c r="R335" s="1018"/>
      <c r="S335" s="3"/>
      <c r="T335" s="3"/>
      <c r="U335" s="3"/>
      <c r="V335" s="3"/>
      <c r="W335" s="3"/>
      <c r="X335" s="3"/>
      <c r="Y335" s="3"/>
      <c r="Z335" s="3"/>
      <c r="AA335" s="3"/>
      <c r="AB335" s="3"/>
      <c r="AC335" s="3"/>
    </row>
    <row r="336" spans="1:29" hidden="1" outlineLevel="1" x14ac:dyDescent="0.2">
      <c r="A336" s="3"/>
      <c r="B336" s="1019" t="s">
        <v>129</v>
      </c>
      <c r="C336" s="1003" t="s">
        <v>129</v>
      </c>
      <c r="D336" s="1003" t="s">
        <v>129</v>
      </c>
      <c r="E336" s="135"/>
      <c r="F336" s="3"/>
      <c r="G336" s="96"/>
      <c r="H336" s="1004" t="s">
        <v>129</v>
      </c>
      <c r="I336" s="1004" t="s">
        <v>129</v>
      </c>
      <c r="J336" s="1004" t="s">
        <v>129</v>
      </c>
      <c r="K336" s="1004" t="s">
        <v>129</v>
      </c>
      <c r="L336" s="1004" t="s">
        <v>129</v>
      </c>
      <c r="M336" s="1004" t="s">
        <v>129</v>
      </c>
      <c r="N336" s="1004" t="s">
        <v>129</v>
      </c>
      <c r="O336" s="1004" t="s">
        <v>129</v>
      </c>
      <c r="P336" s="135"/>
      <c r="Q336" s="3"/>
      <c r="R336" s="1018"/>
      <c r="S336" s="3"/>
      <c r="T336" s="3"/>
      <c r="U336" s="3"/>
      <c r="V336" s="3"/>
      <c r="W336" s="3"/>
      <c r="X336" s="3"/>
      <c r="Y336" s="3"/>
      <c r="Z336" s="3"/>
      <c r="AA336" s="3"/>
      <c r="AB336" s="3"/>
      <c r="AC336" s="3"/>
    </row>
    <row r="337" spans="1:29" hidden="1" outlineLevel="1" x14ac:dyDescent="0.2">
      <c r="A337" s="3"/>
      <c r="B337" s="1019" t="s">
        <v>129</v>
      </c>
      <c r="C337" s="1003" t="s">
        <v>129</v>
      </c>
      <c r="D337" s="1003" t="s">
        <v>129</v>
      </c>
      <c r="E337" s="135"/>
      <c r="F337" s="3"/>
      <c r="G337" s="96"/>
      <c r="H337" s="1004" t="s">
        <v>129</v>
      </c>
      <c r="I337" s="1004" t="s">
        <v>129</v>
      </c>
      <c r="J337" s="1004" t="s">
        <v>129</v>
      </c>
      <c r="K337" s="1004" t="s">
        <v>129</v>
      </c>
      <c r="L337" s="1004" t="s">
        <v>129</v>
      </c>
      <c r="M337" s="1004" t="s">
        <v>129</v>
      </c>
      <c r="N337" s="1004" t="s">
        <v>129</v>
      </c>
      <c r="O337" s="1004" t="s">
        <v>129</v>
      </c>
      <c r="P337" s="135"/>
      <c r="Q337" s="3"/>
      <c r="R337" s="1018"/>
      <c r="S337" s="3"/>
      <c r="T337" s="3"/>
      <c r="U337" s="3"/>
      <c r="V337" s="3"/>
      <c r="W337" s="3"/>
      <c r="X337" s="3"/>
      <c r="Y337" s="3"/>
      <c r="Z337" s="3"/>
      <c r="AA337" s="3"/>
      <c r="AB337" s="3"/>
      <c r="AC337" s="3"/>
    </row>
    <row r="338" spans="1:29" hidden="1" outlineLevel="1" x14ac:dyDescent="0.2">
      <c r="A338" s="3"/>
      <c r="B338" s="1019" t="s">
        <v>129</v>
      </c>
      <c r="C338" s="1003" t="s">
        <v>129</v>
      </c>
      <c r="D338" s="1003" t="s">
        <v>129</v>
      </c>
      <c r="E338" s="135"/>
      <c r="F338" s="3"/>
      <c r="G338" s="96"/>
      <c r="H338" s="1004" t="s">
        <v>129</v>
      </c>
      <c r="I338" s="1004" t="s">
        <v>129</v>
      </c>
      <c r="J338" s="1004" t="s">
        <v>129</v>
      </c>
      <c r="K338" s="1004" t="s">
        <v>129</v>
      </c>
      <c r="L338" s="1004" t="s">
        <v>129</v>
      </c>
      <c r="M338" s="1004" t="s">
        <v>129</v>
      </c>
      <c r="N338" s="1004" t="s">
        <v>129</v>
      </c>
      <c r="O338" s="1004" t="s">
        <v>129</v>
      </c>
      <c r="P338" s="135"/>
      <c r="Q338" s="3"/>
      <c r="R338" s="1018"/>
      <c r="S338" s="3"/>
      <c r="T338" s="3"/>
      <c r="U338" s="3"/>
      <c r="V338" s="3"/>
      <c r="W338" s="3"/>
      <c r="X338" s="3"/>
      <c r="Y338" s="3"/>
      <c r="Z338" s="3"/>
      <c r="AA338" s="3"/>
      <c r="AB338" s="3"/>
      <c r="AC338" s="3"/>
    </row>
    <row r="339" spans="1:29" hidden="1" outlineLevel="1" x14ac:dyDescent="0.2">
      <c r="A339" s="3"/>
      <c r="B339" s="1019" t="s">
        <v>129</v>
      </c>
      <c r="C339" s="3"/>
      <c r="D339" s="3"/>
      <c r="E339" s="135"/>
      <c r="F339" s="3"/>
      <c r="G339" s="96"/>
      <c r="H339" s="135"/>
      <c r="I339" s="3"/>
      <c r="J339" s="3"/>
      <c r="K339" s="3"/>
      <c r="L339" s="3"/>
      <c r="M339" s="3"/>
      <c r="N339" s="3"/>
      <c r="O339" s="3"/>
      <c r="P339" s="135"/>
      <c r="Q339" s="3"/>
      <c r="R339" s="1018"/>
      <c r="S339" s="3"/>
      <c r="T339" s="3"/>
      <c r="U339" s="3"/>
      <c r="V339" s="3"/>
      <c r="W339" s="3"/>
      <c r="X339" s="3"/>
      <c r="Y339" s="3"/>
      <c r="Z339" s="3"/>
      <c r="AA339" s="3"/>
      <c r="AB339" s="3"/>
      <c r="AC339" s="3"/>
    </row>
    <row r="340" spans="1:29" hidden="1" outlineLevel="1" x14ac:dyDescent="0.2">
      <c r="A340" s="3"/>
      <c r="B340" s="1019" t="s">
        <v>129</v>
      </c>
      <c r="C340" s="3"/>
      <c r="D340" s="3"/>
      <c r="E340" s="135"/>
      <c r="F340" s="3"/>
      <c r="G340" s="96"/>
      <c r="H340" s="133"/>
      <c r="I340" s="133"/>
      <c r="J340" s="133"/>
      <c r="K340" s="133"/>
      <c r="L340" s="133"/>
      <c r="M340" s="133"/>
      <c r="N340" s="133"/>
      <c r="O340" s="133"/>
      <c r="P340" s="135"/>
      <c r="Q340" s="3"/>
      <c r="R340" s="1018"/>
      <c r="S340" s="3"/>
      <c r="T340" s="3"/>
      <c r="U340" s="3"/>
      <c r="V340" s="3"/>
      <c r="W340" s="3"/>
      <c r="X340" s="3"/>
      <c r="Y340" s="3"/>
      <c r="Z340" s="3"/>
      <c r="AA340" s="3"/>
      <c r="AB340" s="3"/>
      <c r="AC340" s="3"/>
    </row>
    <row r="341" spans="1:29" hidden="1" outlineLevel="1" x14ac:dyDescent="0.2">
      <c r="A341" s="3"/>
      <c r="B341" s="1019" t="s">
        <v>129</v>
      </c>
      <c r="C341" s="1003" t="s">
        <v>129</v>
      </c>
      <c r="D341" s="1003" t="s">
        <v>129</v>
      </c>
      <c r="E341" s="135"/>
      <c r="F341" s="3"/>
      <c r="G341" s="96"/>
      <c r="H341" s="1004" t="s">
        <v>129</v>
      </c>
      <c r="I341" s="1004" t="s">
        <v>129</v>
      </c>
      <c r="J341" s="1004" t="s">
        <v>129</v>
      </c>
      <c r="K341" s="1004" t="s">
        <v>129</v>
      </c>
      <c r="L341" s="1004" t="s">
        <v>129</v>
      </c>
      <c r="M341" s="1004" t="s">
        <v>129</v>
      </c>
      <c r="N341" s="1004" t="s">
        <v>129</v>
      </c>
      <c r="O341" s="1004" t="s">
        <v>129</v>
      </c>
      <c r="P341" s="135"/>
      <c r="Q341" s="3"/>
      <c r="R341" s="1018"/>
      <c r="S341" s="3"/>
      <c r="T341" s="3"/>
      <c r="U341" s="3"/>
      <c r="V341" s="3"/>
      <c r="W341" s="3"/>
      <c r="X341" s="3"/>
      <c r="Y341" s="3"/>
      <c r="Z341" s="3"/>
      <c r="AA341" s="3"/>
      <c r="AB341" s="3"/>
      <c r="AC341" s="3"/>
    </row>
    <row r="342" spans="1:29" hidden="1" outlineLevel="1" x14ac:dyDescent="0.2">
      <c r="A342" s="3"/>
      <c r="B342" s="1019" t="s">
        <v>129</v>
      </c>
      <c r="C342" s="1003" t="s">
        <v>129</v>
      </c>
      <c r="D342" s="1003" t="s">
        <v>129</v>
      </c>
      <c r="E342" s="135"/>
      <c r="F342" s="3"/>
      <c r="G342" s="96"/>
      <c r="H342" s="1004" t="s">
        <v>129</v>
      </c>
      <c r="I342" s="1004" t="s">
        <v>129</v>
      </c>
      <c r="J342" s="1004" t="s">
        <v>129</v>
      </c>
      <c r="K342" s="1004" t="s">
        <v>129</v>
      </c>
      <c r="L342" s="1004" t="s">
        <v>129</v>
      </c>
      <c r="M342" s="1004" t="s">
        <v>129</v>
      </c>
      <c r="N342" s="1004" t="s">
        <v>129</v>
      </c>
      <c r="O342" s="1004" t="s">
        <v>129</v>
      </c>
      <c r="P342" s="135"/>
      <c r="Q342" s="3"/>
      <c r="R342" s="1018"/>
      <c r="S342" s="3"/>
      <c r="T342" s="3"/>
      <c r="U342" s="3"/>
      <c r="V342" s="3"/>
      <c r="W342" s="3"/>
      <c r="X342" s="3"/>
      <c r="Y342" s="3"/>
      <c r="Z342" s="3"/>
      <c r="AA342" s="3"/>
      <c r="AB342" s="3"/>
      <c r="AC342" s="3"/>
    </row>
    <row r="343" spans="1:29" hidden="1" outlineLevel="1" x14ac:dyDescent="0.2">
      <c r="A343" s="3"/>
      <c r="B343" s="1019" t="s">
        <v>129</v>
      </c>
      <c r="C343" s="1003" t="s">
        <v>129</v>
      </c>
      <c r="D343" s="1003" t="s">
        <v>129</v>
      </c>
      <c r="E343" s="135"/>
      <c r="F343" s="3"/>
      <c r="G343" s="96"/>
      <c r="H343" s="1004" t="s">
        <v>129</v>
      </c>
      <c r="I343" s="1004" t="s">
        <v>129</v>
      </c>
      <c r="J343" s="1004" t="s">
        <v>129</v>
      </c>
      <c r="K343" s="1004" t="s">
        <v>129</v>
      </c>
      <c r="L343" s="1004" t="s">
        <v>129</v>
      </c>
      <c r="M343" s="1004" t="s">
        <v>129</v>
      </c>
      <c r="N343" s="1004" t="s">
        <v>129</v>
      </c>
      <c r="O343" s="1004" t="s">
        <v>129</v>
      </c>
      <c r="P343" s="135"/>
      <c r="Q343" s="3"/>
      <c r="R343" s="1018"/>
      <c r="S343" s="3"/>
      <c r="T343" s="3"/>
      <c r="U343" s="3"/>
      <c r="V343" s="3"/>
      <c r="W343" s="3"/>
      <c r="X343" s="3"/>
      <c r="Y343" s="3"/>
      <c r="Z343" s="3"/>
      <c r="AA343" s="3"/>
      <c r="AB343" s="3"/>
      <c r="AC343" s="3"/>
    </row>
    <row r="344" spans="1:29" hidden="1" outlineLevel="1" x14ac:dyDescent="0.2">
      <c r="A344" s="3"/>
      <c r="B344" s="1019" t="s">
        <v>129</v>
      </c>
      <c r="C344" s="1003" t="s">
        <v>129</v>
      </c>
      <c r="D344" s="1003" t="s">
        <v>129</v>
      </c>
      <c r="E344" s="135"/>
      <c r="F344" s="3"/>
      <c r="G344" s="96"/>
      <c r="H344" s="1004" t="s">
        <v>129</v>
      </c>
      <c r="I344" s="1004" t="s">
        <v>129</v>
      </c>
      <c r="J344" s="1004" t="s">
        <v>129</v>
      </c>
      <c r="K344" s="1004" t="s">
        <v>129</v>
      </c>
      <c r="L344" s="1004" t="s">
        <v>129</v>
      </c>
      <c r="M344" s="1004" t="s">
        <v>129</v>
      </c>
      <c r="N344" s="1004" t="s">
        <v>129</v>
      </c>
      <c r="O344" s="1004" t="s">
        <v>129</v>
      </c>
      <c r="P344" s="135"/>
      <c r="Q344" s="3"/>
      <c r="R344" s="1018"/>
      <c r="S344" s="3"/>
      <c r="T344" s="3"/>
      <c r="U344" s="3"/>
      <c r="V344" s="3"/>
      <c r="W344" s="3"/>
      <c r="X344" s="3"/>
      <c r="Y344" s="3"/>
      <c r="Z344" s="3"/>
      <c r="AA344" s="3"/>
      <c r="AB344" s="3"/>
      <c r="AC344" s="3"/>
    </row>
    <row r="345" spans="1:29" hidden="1" outlineLevel="1" x14ac:dyDescent="0.2">
      <c r="A345" s="3"/>
      <c r="B345" s="1019" t="s">
        <v>129</v>
      </c>
      <c r="C345" s="1003" t="s">
        <v>129</v>
      </c>
      <c r="D345" s="1003" t="s">
        <v>129</v>
      </c>
      <c r="E345" s="135"/>
      <c r="F345" s="3"/>
      <c r="G345" s="96"/>
      <c r="H345" s="1004" t="s">
        <v>129</v>
      </c>
      <c r="I345" s="1004" t="s">
        <v>129</v>
      </c>
      <c r="J345" s="1004" t="s">
        <v>129</v>
      </c>
      <c r="K345" s="1004" t="s">
        <v>129</v>
      </c>
      <c r="L345" s="1004" t="s">
        <v>129</v>
      </c>
      <c r="M345" s="1004" t="s">
        <v>129</v>
      </c>
      <c r="N345" s="1004" t="s">
        <v>129</v>
      </c>
      <c r="O345" s="1004" t="s">
        <v>129</v>
      </c>
      <c r="P345" s="135"/>
      <c r="Q345" s="3"/>
      <c r="R345" s="1018"/>
      <c r="S345" s="3"/>
      <c r="T345" s="3"/>
      <c r="U345" s="3"/>
      <c r="V345" s="3"/>
      <c r="W345" s="3"/>
      <c r="X345" s="3"/>
      <c r="Y345" s="3"/>
      <c r="Z345" s="3"/>
      <c r="AA345" s="3"/>
      <c r="AB345" s="3"/>
      <c r="AC345" s="3"/>
    </row>
    <row r="346" spans="1:29" hidden="1" outlineLevel="1" x14ac:dyDescent="0.2">
      <c r="A346" s="3"/>
      <c r="B346" s="1019" t="s">
        <v>129</v>
      </c>
      <c r="C346" s="1003" t="s">
        <v>129</v>
      </c>
      <c r="D346" s="1003" t="s">
        <v>129</v>
      </c>
      <c r="E346" s="135"/>
      <c r="F346" s="3"/>
      <c r="G346" s="96"/>
      <c r="H346" s="1004" t="s">
        <v>129</v>
      </c>
      <c r="I346" s="1004" t="s">
        <v>129</v>
      </c>
      <c r="J346" s="1004" t="s">
        <v>129</v>
      </c>
      <c r="K346" s="1004" t="s">
        <v>129</v>
      </c>
      <c r="L346" s="1004" t="s">
        <v>129</v>
      </c>
      <c r="M346" s="1004" t="s">
        <v>129</v>
      </c>
      <c r="N346" s="1004" t="s">
        <v>129</v>
      </c>
      <c r="O346" s="1004" t="s">
        <v>129</v>
      </c>
      <c r="P346" s="135"/>
      <c r="Q346" s="3"/>
      <c r="R346" s="1018"/>
      <c r="S346" s="3"/>
      <c r="T346" s="3"/>
      <c r="U346" s="3"/>
      <c r="V346" s="3"/>
      <c r="W346" s="3"/>
      <c r="X346" s="3"/>
      <c r="Y346" s="3"/>
      <c r="Z346" s="3"/>
      <c r="AA346" s="3"/>
      <c r="AB346" s="3"/>
      <c r="AC346" s="3"/>
    </row>
    <row r="347" spans="1:29" hidden="1" outlineLevel="1" x14ac:dyDescent="0.2">
      <c r="A347" s="3"/>
      <c r="B347" s="1019" t="s">
        <v>129</v>
      </c>
      <c r="C347" s="1003" t="s">
        <v>129</v>
      </c>
      <c r="D347" s="1003" t="s">
        <v>129</v>
      </c>
      <c r="E347" s="135"/>
      <c r="F347" s="3"/>
      <c r="G347" s="96"/>
      <c r="H347" s="1004" t="s">
        <v>129</v>
      </c>
      <c r="I347" s="1004" t="s">
        <v>129</v>
      </c>
      <c r="J347" s="1004" t="s">
        <v>129</v>
      </c>
      <c r="K347" s="1004" t="s">
        <v>129</v>
      </c>
      <c r="L347" s="1004" t="s">
        <v>129</v>
      </c>
      <c r="M347" s="1004" t="s">
        <v>129</v>
      </c>
      <c r="N347" s="1004" t="s">
        <v>129</v>
      </c>
      <c r="O347" s="1004" t="s">
        <v>129</v>
      </c>
      <c r="P347" s="135"/>
      <c r="Q347" s="3"/>
      <c r="R347" s="1018"/>
      <c r="S347" s="3"/>
      <c r="T347" s="3"/>
      <c r="U347" s="3"/>
      <c r="V347" s="3"/>
      <c r="W347" s="3"/>
      <c r="X347" s="3"/>
      <c r="Y347" s="3"/>
      <c r="Z347" s="3"/>
      <c r="AA347" s="3"/>
      <c r="AB347" s="3"/>
      <c r="AC347" s="3"/>
    </row>
    <row r="348" spans="1:29" hidden="1" outlineLevel="1" x14ac:dyDescent="0.2">
      <c r="A348" s="3"/>
      <c r="B348" s="1019" t="s">
        <v>129</v>
      </c>
      <c r="C348" s="1003" t="s">
        <v>129</v>
      </c>
      <c r="D348" s="1003" t="s">
        <v>129</v>
      </c>
      <c r="E348" s="135"/>
      <c r="F348" s="3"/>
      <c r="G348" s="96"/>
      <c r="H348" s="1004" t="s">
        <v>129</v>
      </c>
      <c r="I348" s="1004" t="s">
        <v>129</v>
      </c>
      <c r="J348" s="1004" t="s">
        <v>129</v>
      </c>
      <c r="K348" s="1004" t="s">
        <v>129</v>
      </c>
      <c r="L348" s="1004" t="s">
        <v>129</v>
      </c>
      <c r="M348" s="1004" t="s">
        <v>129</v>
      </c>
      <c r="N348" s="1004" t="s">
        <v>129</v>
      </c>
      <c r="O348" s="1004" t="s">
        <v>129</v>
      </c>
      <c r="P348" s="135"/>
      <c r="Q348" s="3"/>
      <c r="R348" s="1018"/>
      <c r="S348" s="3"/>
      <c r="T348" s="3"/>
      <c r="U348" s="3"/>
      <c r="V348" s="3"/>
      <c r="W348" s="3"/>
      <c r="X348" s="3"/>
      <c r="Y348" s="3"/>
      <c r="Z348" s="3"/>
      <c r="AA348" s="3"/>
      <c r="AB348" s="3"/>
      <c r="AC348" s="3"/>
    </row>
    <row r="349" spans="1:29" hidden="1" outlineLevel="1" x14ac:dyDescent="0.2">
      <c r="A349" s="3"/>
      <c r="B349" s="1019" t="s">
        <v>129</v>
      </c>
      <c r="C349" s="1003" t="s">
        <v>129</v>
      </c>
      <c r="D349" s="1003" t="s">
        <v>129</v>
      </c>
      <c r="E349" s="135"/>
      <c r="F349" s="3"/>
      <c r="G349" s="96"/>
      <c r="H349" s="1004" t="s">
        <v>129</v>
      </c>
      <c r="I349" s="1004" t="s">
        <v>129</v>
      </c>
      <c r="J349" s="1004" t="s">
        <v>129</v>
      </c>
      <c r="K349" s="1004" t="s">
        <v>129</v>
      </c>
      <c r="L349" s="1004" t="s">
        <v>129</v>
      </c>
      <c r="M349" s="1004" t="s">
        <v>129</v>
      </c>
      <c r="N349" s="1004" t="s">
        <v>129</v>
      </c>
      <c r="O349" s="1004" t="s">
        <v>129</v>
      </c>
      <c r="P349" s="135"/>
      <c r="Q349" s="3"/>
      <c r="R349" s="1018"/>
      <c r="S349" s="3"/>
      <c r="T349" s="3"/>
      <c r="U349" s="3"/>
      <c r="V349" s="3"/>
      <c r="W349" s="3"/>
      <c r="X349" s="3"/>
      <c r="Y349" s="3"/>
      <c r="Z349" s="3"/>
      <c r="AA349" s="3"/>
      <c r="AB349" s="3"/>
      <c r="AC349" s="3"/>
    </row>
    <row r="350" spans="1:29" hidden="1" outlineLevel="1" x14ac:dyDescent="0.2">
      <c r="A350" s="3"/>
      <c r="B350" s="1019" t="s">
        <v>129</v>
      </c>
      <c r="C350" s="1003" t="s">
        <v>129</v>
      </c>
      <c r="D350" s="1003" t="s">
        <v>129</v>
      </c>
      <c r="E350" s="135"/>
      <c r="F350" s="3"/>
      <c r="G350" s="96"/>
      <c r="H350" s="1004" t="s">
        <v>129</v>
      </c>
      <c r="I350" s="1004" t="s">
        <v>129</v>
      </c>
      <c r="J350" s="1004" t="s">
        <v>129</v>
      </c>
      <c r="K350" s="1004" t="s">
        <v>129</v>
      </c>
      <c r="L350" s="1004" t="s">
        <v>129</v>
      </c>
      <c r="M350" s="1004" t="s">
        <v>129</v>
      </c>
      <c r="N350" s="1004" t="s">
        <v>129</v>
      </c>
      <c r="O350" s="1004" t="s">
        <v>129</v>
      </c>
      <c r="P350" s="135"/>
      <c r="Q350" s="3"/>
      <c r="R350" s="1018"/>
      <c r="S350" s="3"/>
      <c r="T350" s="3"/>
      <c r="U350" s="3"/>
      <c r="V350" s="3"/>
      <c r="W350" s="3"/>
      <c r="X350" s="3"/>
      <c r="Y350" s="3"/>
      <c r="Z350" s="3"/>
      <c r="AA350" s="3"/>
      <c r="AB350" s="3"/>
      <c r="AC350" s="3"/>
    </row>
    <row r="351" spans="1:29" hidden="1" outlineLevel="1" x14ac:dyDescent="0.2">
      <c r="A351" s="3"/>
      <c r="B351" s="1019" t="s">
        <v>129</v>
      </c>
      <c r="C351" s="1003" t="s">
        <v>129</v>
      </c>
      <c r="D351" s="1003" t="s">
        <v>129</v>
      </c>
      <c r="E351" s="135"/>
      <c r="F351" s="3"/>
      <c r="G351" s="96"/>
      <c r="H351" s="1004" t="s">
        <v>129</v>
      </c>
      <c r="I351" s="1004" t="s">
        <v>129</v>
      </c>
      <c r="J351" s="1004" t="s">
        <v>129</v>
      </c>
      <c r="K351" s="1004" t="s">
        <v>129</v>
      </c>
      <c r="L351" s="1004" t="s">
        <v>129</v>
      </c>
      <c r="M351" s="1004" t="s">
        <v>129</v>
      </c>
      <c r="N351" s="1004" t="s">
        <v>129</v>
      </c>
      <c r="O351" s="1004" t="s">
        <v>129</v>
      </c>
      <c r="P351" s="135"/>
      <c r="Q351" s="3"/>
      <c r="R351" s="1018"/>
      <c r="S351" s="3"/>
      <c r="T351" s="3"/>
      <c r="U351" s="3"/>
      <c r="V351" s="3"/>
      <c r="W351" s="3"/>
      <c r="X351" s="3"/>
      <c r="Y351" s="3"/>
      <c r="Z351" s="3"/>
      <c r="AA351" s="3"/>
      <c r="AB351" s="3"/>
      <c r="AC351" s="3"/>
    </row>
    <row r="352" spans="1:29" hidden="1" outlineLevel="1" x14ac:dyDescent="0.2">
      <c r="A352" s="3"/>
      <c r="B352" s="1019" t="s">
        <v>129</v>
      </c>
      <c r="C352" s="1003" t="s">
        <v>129</v>
      </c>
      <c r="D352" s="1003" t="s">
        <v>129</v>
      </c>
      <c r="E352" s="135"/>
      <c r="F352" s="3"/>
      <c r="G352" s="96"/>
      <c r="H352" s="1004" t="s">
        <v>129</v>
      </c>
      <c r="I352" s="1004" t="s">
        <v>129</v>
      </c>
      <c r="J352" s="1004" t="s">
        <v>129</v>
      </c>
      <c r="K352" s="1004" t="s">
        <v>129</v>
      </c>
      <c r="L352" s="1004" t="s">
        <v>129</v>
      </c>
      <c r="M352" s="1004" t="s">
        <v>129</v>
      </c>
      <c r="N352" s="1004" t="s">
        <v>129</v>
      </c>
      <c r="O352" s="1004" t="s">
        <v>129</v>
      </c>
      <c r="P352" s="135"/>
      <c r="Q352" s="3"/>
      <c r="R352" s="1018"/>
      <c r="S352" s="3"/>
      <c r="T352" s="3"/>
      <c r="U352" s="3"/>
      <c r="V352" s="3"/>
      <c r="W352" s="3"/>
      <c r="X352" s="3"/>
      <c r="Y352" s="3"/>
      <c r="Z352" s="3"/>
      <c r="AA352" s="3"/>
      <c r="AB352" s="3"/>
      <c r="AC352" s="3"/>
    </row>
    <row r="353" spans="1:29" hidden="1" outlineLevel="1" x14ac:dyDescent="0.2">
      <c r="A353" s="3"/>
      <c r="B353" s="1019" t="s">
        <v>129</v>
      </c>
      <c r="C353" s="1003" t="s">
        <v>129</v>
      </c>
      <c r="D353" s="1003" t="s">
        <v>129</v>
      </c>
      <c r="E353" s="135"/>
      <c r="F353" s="3"/>
      <c r="G353" s="96"/>
      <c r="H353" s="1004" t="s">
        <v>129</v>
      </c>
      <c r="I353" s="1004" t="s">
        <v>129</v>
      </c>
      <c r="J353" s="1004" t="s">
        <v>129</v>
      </c>
      <c r="K353" s="1004" t="s">
        <v>129</v>
      </c>
      <c r="L353" s="1004" t="s">
        <v>129</v>
      </c>
      <c r="M353" s="1004" t="s">
        <v>129</v>
      </c>
      <c r="N353" s="1004" t="s">
        <v>129</v>
      </c>
      <c r="O353" s="1004" t="s">
        <v>129</v>
      </c>
      <c r="P353" s="135"/>
      <c r="Q353" s="3"/>
      <c r="R353" s="1018"/>
      <c r="S353" s="3"/>
      <c r="T353" s="3"/>
      <c r="U353" s="3"/>
      <c r="V353" s="3"/>
      <c r="W353" s="3"/>
      <c r="X353" s="3"/>
      <c r="Y353" s="3"/>
      <c r="Z353" s="3"/>
      <c r="AA353" s="3"/>
      <c r="AB353" s="3"/>
      <c r="AC353" s="3"/>
    </row>
    <row r="354" spans="1:29" hidden="1" outlineLevel="1" x14ac:dyDescent="0.2">
      <c r="A354" s="3"/>
      <c r="B354" s="1019" t="s">
        <v>129</v>
      </c>
      <c r="C354" s="1003" t="s">
        <v>129</v>
      </c>
      <c r="D354" s="1003" t="s">
        <v>129</v>
      </c>
      <c r="E354" s="135"/>
      <c r="F354" s="3"/>
      <c r="G354" s="96"/>
      <c r="H354" s="1004" t="s">
        <v>129</v>
      </c>
      <c r="I354" s="1004" t="s">
        <v>129</v>
      </c>
      <c r="J354" s="1004" t="s">
        <v>129</v>
      </c>
      <c r="K354" s="1004" t="s">
        <v>129</v>
      </c>
      <c r="L354" s="1004" t="s">
        <v>129</v>
      </c>
      <c r="M354" s="1004" t="s">
        <v>129</v>
      </c>
      <c r="N354" s="1004" t="s">
        <v>129</v>
      </c>
      <c r="O354" s="1004" t="s">
        <v>129</v>
      </c>
      <c r="P354" s="135"/>
      <c r="Q354" s="3"/>
      <c r="R354" s="1018"/>
      <c r="S354" s="3"/>
      <c r="T354" s="3"/>
      <c r="U354" s="3"/>
      <c r="V354" s="3"/>
      <c r="W354" s="3"/>
      <c r="X354" s="3"/>
      <c r="Y354" s="3"/>
      <c r="Z354" s="3"/>
      <c r="AA354" s="3"/>
      <c r="AB354" s="3"/>
      <c r="AC354" s="3"/>
    </row>
    <row r="355" spans="1:29" hidden="1" outlineLevel="1" x14ac:dyDescent="0.2">
      <c r="A355" s="3"/>
      <c r="B355" s="1019" t="s">
        <v>129</v>
      </c>
      <c r="C355" s="3"/>
      <c r="D355" s="3"/>
      <c r="E355" s="135"/>
      <c r="F355" s="3"/>
      <c r="G355" s="96"/>
      <c r="H355" s="135"/>
      <c r="I355" s="3"/>
      <c r="J355" s="3"/>
      <c r="K355" s="3"/>
      <c r="L355" s="3"/>
      <c r="M355" s="3"/>
      <c r="N355" s="3"/>
      <c r="O355" s="3"/>
      <c r="P355" s="135"/>
      <c r="Q355" s="3"/>
      <c r="R355" s="1018"/>
      <c r="S355" s="3"/>
      <c r="T355" s="3"/>
      <c r="U355" s="3"/>
      <c r="V355" s="3"/>
      <c r="W355" s="3"/>
      <c r="X355" s="3"/>
      <c r="Y355" s="3"/>
      <c r="Z355" s="3"/>
      <c r="AA355" s="3"/>
      <c r="AB355" s="3"/>
      <c r="AC355" s="3"/>
    </row>
    <row r="356" spans="1:29" hidden="1" outlineLevel="1" x14ac:dyDescent="0.2">
      <c r="A356" s="3"/>
      <c r="B356" s="1019" t="s">
        <v>129</v>
      </c>
      <c r="C356" s="3"/>
      <c r="D356" s="3"/>
      <c r="E356" s="135"/>
      <c r="F356" s="3"/>
      <c r="G356" s="96"/>
      <c r="H356" s="133"/>
      <c r="I356" s="133"/>
      <c r="J356" s="133"/>
      <c r="K356" s="133"/>
      <c r="L356" s="133"/>
      <c r="M356" s="133"/>
      <c r="N356" s="133"/>
      <c r="O356" s="133"/>
      <c r="P356" s="135"/>
      <c r="Q356" s="3"/>
      <c r="R356" s="1018"/>
      <c r="S356" s="3"/>
      <c r="T356" s="3"/>
      <c r="U356" s="3"/>
      <c r="V356" s="3"/>
      <c r="W356" s="3"/>
      <c r="X356" s="3"/>
      <c r="Y356" s="3"/>
      <c r="Z356" s="3"/>
      <c r="AA356" s="3"/>
      <c r="AB356" s="3"/>
      <c r="AC356" s="3"/>
    </row>
    <row r="357" spans="1:29" hidden="1" outlineLevel="1" x14ac:dyDescent="0.2">
      <c r="A357" s="3"/>
      <c r="B357" s="1019" t="s">
        <v>129</v>
      </c>
      <c r="C357" s="1003" t="s">
        <v>129</v>
      </c>
      <c r="D357" s="1003" t="s">
        <v>129</v>
      </c>
      <c r="E357" s="135"/>
      <c r="F357" s="3"/>
      <c r="G357" s="96"/>
      <c r="H357" s="1004" t="s">
        <v>129</v>
      </c>
      <c r="I357" s="1004" t="s">
        <v>129</v>
      </c>
      <c r="J357" s="1004" t="s">
        <v>129</v>
      </c>
      <c r="K357" s="1004" t="s">
        <v>129</v>
      </c>
      <c r="L357" s="1004" t="s">
        <v>129</v>
      </c>
      <c r="M357" s="1004" t="s">
        <v>129</v>
      </c>
      <c r="N357" s="1004" t="s">
        <v>129</v>
      </c>
      <c r="O357" s="1004" t="s">
        <v>129</v>
      </c>
      <c r="P357" s="135"/>
      <c r="Q357" s="3"/>
      <c r="R357" s="1018"/>
      <c r="S357" s="3"/>
      <c r="T357" s="3"/>
      <c r="U357" s="3"/>
      <c r="V357" s="3"/>
      <c r="W357" s="3"/>
      <c r="X357" s="3"/>
      <c r="Y357" s="3"/>
      <c r="Z357" s="3"/>
      <c r="AA357" s="3"/>
      <c r="AB357" s="3"/>
      <c r="AC357" s="3"/>
    </row>
    <row r="358" spans="1:29" hidden="1" outlineLevel="1" x14ac:dyDescent="0.2">
      <c r="A358" s="3"/>
      <c r="B358" s="1019" t="s">
        <v>129</v>
      </c>
      <c r="C358" s="1003" t="s">
        <v>129</v>
      </c>
      <c r="D358" s="1003" t="s">
        <v>129</v>
      </c>
      <c r="E358" s="135"/>
      <c r="F358" s="3"/>
      <c r="G358" s="96"/>
      <c r="H358" s="1004" t="s">
        <v>129</v>
      </c>
      <c r="I358" s="1004" t="s">
        <v>129</v>
      </c>
      <c r="J358" s="1004" t="s">
        <v>129</v>
      </c>
      <c r="K358" s="1004" t="s">
        <v>129</v>
      </c>
      <c r="L358" s="1004" t="s">
        <v>129</v>
      </c>
      <c r="M358" s="1004" t="s">
        <v>129</v>
      </c>
      <c r="N358" s="1004" t="s">
        <v>129</v>
      </c>
      <c r="O358" s="1004" t="s">
        <v>129</v>
      </c>
      <c r="P358" s="135"/>
      <c r="Q358" s="3"/>
      <c r="R358" s="1018"/>
      <c r="S358" s="3"/>
      <c r="T358" s="3"/>
      <c r="U358" s="3"/>
      <c r="V358" s="3"/>
      <c r="W358" s="3"/>
      <c r="X358" s="3"/>
      <c r="Y358" s="3"/>
      <c r="Z358" s="3"/>
      <c r="AA358" s="3"/>
      <c r="AB358" s="3"/>
      <c r="AC358" s="3"/>
    </row>
    <row r="359" spans="1:29" hidden="1" outlineLevel="1" x14ac:dyDescent="0.2">
      <c r="A359" s="3"/>
      <c r="B359" s="1019" t="s">
        <v>129</v>
      </c>
      <c r="C359" s="1003" t="s">
        <v>129</v>
      </c>
      <c r="D359" s="1003" t="s">
        <v>129</v>
      </c>
      <c r="E359" s="135"/>
      <c r="F359" s="3"/>
      <c r="G359" s="96"/>
      <c r="H359" s="1004" t="s">
        <v>129</v>
      </c>
      <c r="I359" s="1004" t="s">
        <v>129</v>
      </c>
      <c r="J359" s="1004" t="s">
        <v>129</v>
      </c>
      <c r="K359" s="1004" t="s">
        <v>129</v>
      </c>
      <c r="L359" s="1004" t="s">
        <v>129</v>
      </c>
      <c r="M359" s="1004" t="s">
        <v>129</v>
      </c>
      <c r="N359" s="1004" t="s">
        <v>129</v>
      </c>
      <c r="O359" s="1004" t="s">
        <v>129</v>
      </c>
      <c r="P359" s="135"/>
      <c r="Q359" s="3"/>
      <c r="R359" s="1018"/>
      <c r="S359" s="3"/>
      <c r="T359" s="3"/>
      <c r="U359" s="3"/>
      <c r="V359" s="3"/>
      <c r="W359" s="3"/>
      <c r="X359" s="3"/>
      <c r="Y359" s="3"/>
      <c r="Z359" s="3"/>
      <c r="AA359" s="3"/>
      <c r="AB359" s="3"/>
      <c r="AC359" s="3"/>
    </row>
    <row r="360" spans="1:29" hidden="1" outlineLevel="1" x14ac:dyDescent="0.2">
      <c r="A360" s="3"/>
      <c r="B360" s="1019" t="s">
        <v>129</v>
      </c>
      <c r="C360" s="1003" t="s">
        <v>129</v>
      </c>
      <c r="D360" s="1003" t="s">
        <v>129</v>
      </c>
      <c r="E360" s="135"/>
      <c r="F360" s="3"/>
      <c r="G360" s="96"/>
      <c r="H360" s="1004" t="s">
        <v>129</v>
      </c>
      <c r="I360" s="1004" t="s">
        <v>129</v>
      </c>
      <c r="J360" s="1004" t="s">
        <v>129</v>
      </c>
      <c r="K360" s="1004" t="s">
        <v>129</v>
      </c>
      <c r="L360" s="1004" t="s">
        <v>129</v>
      </c>
      <c r="M360" s="1004" t="s">
        <v>129</v>
      </c>
      <c r="N360" s="1004" t="s">
        <v>129</v>
      </c>
      <c r="O360" s="1004" t="s">
        <v>129</v>
      </c>
      <c r="P360" s="135"/>
      <c r="Q360" s="3"/>
      <c r="R360" s="1018"/>
      <c r="S360" s="3"/>
      <c r="T360" s="3"/>
      <c r="U360" s="3"/>
      <c r="V360" s="3"/>
      <c r="W360" s="3"/>
      <c r="X360" s="3"/>
      <c r="Y360" s="3"/>
      <c r="Z360" s="3"/>
      <c r="AA360" s="3"/>
      <c r="AB360" s="3"/>
      <c r="AC360" s="3"/>
    </row>
    <row r="361" spans="1:29" hidden="1" outlineLevel="1" x14ac:dyDescent="0.2">
      <c r="A361" s="3"/>
      <c r="B361" s="1019" t="s">
        <v>129</v>
      </c>
      <c r="C361" s="1003" t="s">
        <v>129</v>
      </c>
      <c r="D361" s="1003" t="s">
        <v>129</v>
      </c>
      <c r="E361" s="135"/>
      <c r="F361" s="3"/>
      <c r="G361" s="96"/>
      <c r="H361" s="1004" t="s">
        <v>129</v>
      </c>
      <c r="I361" s="1004" t="s">
        <v>129</v>
      </c>
      <c r="J361" s="1004" t="s">
        <v>129</v>
      </c>
      <c r="K361" s="1004" t="s">
        <v>129</v>
      </c>
      <c r="L361" s="1004" t="s">
        <v>129</v>
      </c>
      <c r="M361" s="1004" t="s">
        <v>129</v>
      </c>
      <c r="N361" s="1004" t="s">
        <v>129</v>
      </c>
      <c r="O361" s="1004" t="s">
        <v>129</v>
      </c>
      <c r="P361" s="135"/>
      <c r="Q361" s="3"/>
      <c r="R361" s="1018"/>
      <c r="S361" s="3"/>
      <c r="T361" s="3"/>
      <c r="U361" s="3"/>
      <c r="V361" s="3"/>
      <c r="W361" s="3"/>
      <c r="X361" s="3"/>
      <c r="Y361" s="3"/>
      <c r="Z361" s="3"/>
      <c r="AA361" s="3"/>
      <c r="AB361" s="3"/>
      <c r="AC361" s="3"/>
    </row>
    <row r="362" spans="1:29" hidden="1" outlineLevel="1" x14ac:dyDescent="0.2">
      <c r="A362" s="3"/>
      <c r="B362" s="1019" t="s">
        <v>129</v>
      </c>
      <c r="C362" s="1003" t="s">
        <v>129</v>
      </c>
      <c r="D362" s="1003" t="s">
        <v>129</v>
      </c>
      <c r="E362" s="135"/>
      <c r="F362" s="3"/>
      <c r="G362" s="96"/>
      <c r="H362" s="1004" t="s">
        <v>129</v>
      </c>
      <c r="I362" s="1004" t="s">
        <v>129</v>
      </c>
      <c r="J362" s="1004" t="s">
        <v>129</v>
      </c>
      <c r="K362" s="1004" t="s">
        <v>129</v>
      </c>
      <c r="L362" s="1004" t="s">
        <v>129</v>
      </c>
      <c r="M362" s="1004" t="s">
        <v>129</v>
      </c>
      <c r="N362" s="1004" t="s">
        <v>129</v>
      </c>
      <c r="O362" s="1004" t="s">
        <v>129</v>
      </c>
      <c r="P362" s="135"/>
      <c r="Q362" s="3"/>
      <c r="R362" s="1018"/>
      <c r="S362" s="3"/>
      <c r="T362" s="3"/>
      <c r="U362" s="3"/>
      <c r="V362" s="3"/>
      <c r="W362" s="3"/>
      <c r="X362" s="3"/>
      <c r="Y362" s="3"/>
      <c r="Z362" s="3"/>
      <c r="AA362" s="3"/>
      <c r="AB362" s="3"/>
      <c r="AC362" s="3"/>
    </row>
    <row r="363" spans="1:29" hidden="1" outlineLevel="1" x14ac:dyDescent="0.2">
      <c r="A363" s="3"/>
      <c r="B363" s="1019" t="s">
        <v>129</v>
      </c>
      <c r="C363" s="1003" t="s">
        <v>129</v>
      </c>
      <c r="D363" s="1003" t="s">
        <v>129</v>
      </c>
      <c r="E363" s="135"/>
      <c r="F363" s="3"/>
      <c r="G363" s="96"/>
      <c r="H363" s="1004" t="s">
        <v>129</v>
      </c>
      <c r="I363" s="1004" t="s">
        <v>129</v>
      </c>
      <c r="J363" s="1004" t="s">
        <v>129</v>
      </c>
      <c r="K363" s="1004" t="s">
        <v>129</v>
      </c>
      <c r="L363" s="1004" t="s">
        <v>129</v>
      </c>
      <c r="M363" s="1004" t="s">
        <v>129</v>
      </c>
      <c r="N363" s="1004" t="s">
        <v>129</v>
      </c>
      <c r="O363" s="1004" t="s">
        <v>129</v>
      </c>
      <c r="P363" s="135"/>
      <c r="Q363" s="3"/>
      <c r="R363" s="1018"/>
      <c r="S363" s="3"/>
      <c r="T363" s="3"/>
      <c r="U363" s="3"/>
      <c r="V363" s="3"/>
      <c r="W363" s="3"/>
      <c r="X363" s="3"/>
      <c r="Y363" s="3"/>
      <c r="Z363" s="3"/>
      <c r="AA363" s="3"/>
      <c r="AB363" s="3"/>
      <c r="AC363" s="3"/>
    </row>
    <row r="364" spans="1:29" hidden="1" outlineLevel="1" x14ac:dyDescent="0.2">
      <c r="A364" s="3"/>
      <c r="B364" s="1019" t="s">
        <v>129</v>
      </c>
      <c r="C364" s="1003" t="s">
        <v>129</v>
      </c>
      <c r="D364" s="1003" t="s">
        <v>129</v>
      </c>
      <c r="E364" s="135"/>
      <c r="F364" s="3"/>
      <c r="G364" s="96"/>
      <c r="H364" s="1004" t="s">
        <v>129</v>
      </c>
      <c r="I364" s="1004" t="s">
        <v>129</v>
      </c>
      <c r="J364" s="1004" t="s">
        <v>129</v>
      </c>
      <c r="K364" s="1004" t="s">
        <v>129</v>
      </c>
      <c r="L364" s="1004" t="s">
        <v>129</v>
      </c>
      <c r="M364" s="1004" t="s">
        <v>129</v>
      </c>
      <c r="N364" s="1004" t="s">
        <v>129</v>
      </c>
      <c r="O364" s="1004" t="s">
        <v>129</v>
      </c>
      <c r="P364" s="135"/>
      <c r="Q364" s="3"/>
      <c r="R364" s="1018"/>
      <c r="S364" s="3"/>
      <c r="T364" s="3"/>
      <c r="U364" s="3"/>
      <c r="V364" s="3"/>
      <c r="W364" s="3"/>
      <c r="X364" s="3"/>
      <c r="Y364" s="3"/>
      <c r="Z364" s="3"/>
      <c r="AA364" s="3"/>
      <c r="AB364" s="3"/>
      <c r="AC364" s="3"/>
    </row>
    <row r="365" spans="1:29" hidden="1" outlineLevel="1" x14ac:dyDescent="0.2">
      <c r="A365" s="3"/>
      <c r="B365" s="1019" t="s">
        <v>129</v>
      </c>
      <c r="C365" s="1003" t="s">
        <v>129</v>
      </c>
      <c r="D365" s="1003" t="s">
        <v>129</v>
      </c>
      <c r="E365" s="135"/>
      <c r="F365" s="3"/>
      <c r="G365" s="96"/>
      <c r="H365" s="1004" t="s">
        <v>129</v>
      </c>
      <c r="I365" s="1004" t="s">
        <v>129</v>
      </c>
      <c r="J365" s="1004" t="s">
        <v>129</v>
      </c>
      <c r="K365" s="1004" t="s">
        <v>129</v>
      </c>
      <c r="L365" s="1004" t="s">
        <v>129</v>
      </c>
      <c r="M365" s="1004" t="s">
        <v>129</v>
      </c>
      <c r="N365" s="1004" t="s">
        <v>129</v>
      </c>
      <c r="O365" s="1004" t="s">
        <v>129</v>
      </c>
      <c r="P365" s="135"/>
      <c r="Q365" s="3"/>
      <c r="R365" s="1018"/>
      <c r="S365" s="3"/>
      <c r="T365" s="3"/>
      <c r="U365" s="3"/>
      <c r="V365" s="3"/>
      <c r="W365" s="3"/>
      <c r="X365" s="3"/>
      <c r="Y365" s="3"/>
      <c r="Z365" s="3"/>
      <c r="AA365" s="3"/>
      <c r="AB365" s="3"/>
      <c r="AC365" s="3"/>
    </row>
    <row r="366" spans="1:29" hidden="1" outlineLevel="1" x14ac:dyDescent="0.2">
      <c r="A366" s="3"/>
      <c r="B366" s="1019" t="s">
        <v>129</v>
      </c>
      <c r="C366" s="1003" t="s">
        <v>129</v>
      </c>
      <c r="D366" s="1003" t="s">
        <v>129</v>
      </c>
      <c r="E366" s="135"/>
      <c r="F366" s="3"/>
      <c r="G366" s="96"/>
      <c r="H366" s="1004" t="s">
        <v>129</v>
      </c>
      <c r="I366" s="1004" t="s">
        <v>129</v>
      </c>
      <c r="J366" s="1004" t="s">
        <v>129</v>
      </c>
      <c r="K366" s="1004" t="s">
        <v>129</v>
      </c>
      <c r="L366" s="1004" t="s">
        <v>129</v>
      </c>
      <c r="M366" s="1004" t="s">
        <v>129</v>
      </c>
      <c r="N366" s="1004" t="s">
        <v>129</v>
      </c>
      <c r="O366" s="1004" t="s">
        <v>129</v>
      </c>
      <c r="P366" s="135"/>
      <c r="Q366" s="3"/>
      <c r="R366" s="1018"/>
      <c r="S366" s="3"/>
      <c r="T366" s="3"/>
      <c r="U366" s="3"/>
      <c r="V366" s="3"/>
      <c r="W366" s="3"/>
      <c r="X366" s="3"/>
      <c r="Y366" s="3"/>
      <c r="Z366" s="3"/>
      <c r="AA366" s="3"/>
      <c r="AB366" s="3"/>
      <c r="AC366" s="3"/>
    </row>
    <row r="367" spans="1:29" hidden="1" outlineLevel="1" x14ac:dyDescent="0.2">
      <c r="A367" s="3"/>
      <c r="B367" s="1019" t="s">
        <v>129</v>
      </c>
      <c r="C367" s="1003" t="s">
        <v>129</v>
      </c>
      <c r="D367" s="1003" t="s">
        <v>129</v>
      </c>
      <c r="E367" s="135"/>
      <c r="F367" s="3"/>
      <c r="G367" s="96"/>
      <c r="H367" s="1004" t="s">
        <v>129</v>
      </c>
      <c r="I367" s="1004" t="s">
        <v>129</v>
      </c>
      <c r="J367" s="1004" t="s">
        <v>129</v>
      </c>
      <c r="K367" s="1004" t="s">
        <v>129</v>
      </c>
      <c r="L367" s="1004" t="s">
        <v>129</v>
      </c>
      <c r="M367" s="1004" t="s">
        <v>129</v>
      </c>
      <c r="N367" s="1004" t="s">
        <v>129</v>
      </c>
      <c r="O367" s="1004" t="s">
        <v>129</v>
      </c>
      <c r="P367" s="135"/>
      <c r="Q367" s="3"/>
      <c r="R367" s="1018"/>
      <c r="S367" s="3"/>
      <c r="T367" s="3"/>
      <c r="U367" s="3"/>
      <c r="V367" s="3"/>
      <c r="W367" s="3"/>
      <c r="X367" s="3"/>
      <c r="Y367" s="3"/>
      <c r="Z367" s="3"/>
      <c r="AA367" s="3"/>
      <c r="AB367" s="3"/>
      <c r="AC367" s="3"/>
    </row>
    <row r="368" spans="1:29" hidden="1" outlineLevel="1" x14ac:dyDescent="0.2">
      <c r="A368" s="3"/>
      <c r="B368" s="1019" t="s">
        <v>129</v>
      </c>
      <c r="C368" s="1003" t="s">
        <v>129</v>
      </c>
      <c r="D368" s="1003" t="s">
        <v>129</v>
      </c>
      <c r="E368" s="135"/>
      <c r="F368" s="3"/>
      <c r="G368" s="96"/>
      <c r="H368" s="1004" t="s">
        <v>129</v>
      </c>
      <c r="I368" s="1004" t="s">
        <v>129</v>
      </c>
      <c r="J368" s="1004" t="s">
        <v>129</v>
      </c>
      <c r="K368" s="1004" t="s">
        <v>129</v>
      </c>
      <c r="L368" s="1004" t="s">
        <v>129</v>
      </c>
      <c r="M368" s="1004" t="s">
        <v>129</v>
      </c>
      <c r="N368" s="1004" t="s">
        <v>129</v>
      </c>
      <c r="O368" s="1004" t="s">
        <v>129</v>
      </c>
      <c r="P368" s="135"/>
      <c r="Q368" s="3"/>
      <c r="R368" s="1018"/>
      <c r="S368" s="3"/>
      <c r="T368" s="3"/>
      <c r="U368" s="3"/>
      <c r="V368" s="3"/>
      <c r="W368" s="3"/>
      <c r="X368" s="3"/>
      <c r="Y368" s="3"/>
      <c r="Z368" s="3"/>
      <c r="AA368" s="3"/>
      <c r="AB368" s="3"/>
      <c r="AC368" s="3"/>
    </row>
    <row r="369" spans="1:29" hidden="1" outlineLevel="1" x14ac:dyDescent="0.2">
      <c r="A369" s="3"/>
      <c r="B369" s="1019" t="s">
        <v>129</v>
      </c>
      <c r="C369" s="1003" t="s">
        <v>129</v>
      </c>
      <c r="D369" s="1003" t="s">
        <v>129</v>
      </c>
      <c r="E369" s="135"/>
      <c r="F369" s="3"/>
      <c r="G369" s="96"/>
      <c r="H369" s="1004" t="s">
        <v>129</v>
      </c>
      <c r="I369" s="1004" t="s">
        <v>129</v>
      </c>
      <c r="J369" s="1004" t="s">
        <v>129</v>
      </c>
      <c r="K369" s="1004" t="s">
        <v>129</v>
      </c>
      <c r="L369" s="1004" t="s">
        <v>129</v>
      </c>
      <c r="M369" s="1004" t="s">
        <v>129</v>
      </c>
      <c r="N369" s="1004" t="s">
        <v>129</v>
      </c>
      <c r="O369" s="1004" t="s">
        <v>129</v>
      </c>
      <c r="P369" s="135"/>
      <c r="Q369" s="3"/>
      <c r="R369" s="1018"/>
      <c r="S369" s="3"/>
      <c r="T369" s="3"/>
      <c r="U369" s="3"/>
      <c r="V369" s="3"/>
      <c r="W369" s="3"/>
      <c r="X369" s="3"/>
      <c r="Y369" s="3"/>
      <c r="Z369" s="3"/>
      <c r="AA369" s="3"/>
      <c r="AB369" s="3"/>
      <c r="AC369" s="3"/>
    </row>
    <row r="370" spans="1:29" hidden="1" outlineLevel="1" x14ac:dyDescent="0.2">
      <c r="A370" s="3"/>
      <c r="B370" s="1019" t="s">
        <v>129</v>
      </c>
      <c r="C370" s="1003" t="s">
        <v>129</v>
      </c>
      <c r="D370" s="1003" t="s">
        <v>129</v>
      </c>
      <c r="E370" s="135"/>
      <c r="F370" s="3"/>
      <c r="G370" s="96"/>
      <c r="H370" s="1004" t="s">
        <v>129</v>
      </c>
      <c r="I370" s="1004" t="s">
        <v>129</v>
      </c>
      <c r="J370" s="1004" t="s">
        <v>129</v>
      </c>
      <c r="K370" s="1004" t="s">
        <v>129</v>
      </c>
      <c r="L370" s="1004" t="s">
        <v>129</v>
      </c>
      <c r="M370" s="1004" t="s">
        <v>129</v>
      </c>
      <c r="N370" s="1004" t="s">
        <v>129</v>
      </c>
      <c r="O370" s="1004" t="s">
        <v>129</v>
      </c>
      <c r="P370" s="135"/>
      <c r="Q370" s="3"/>
      <c r="R370" s="1018"/>
      <c r="S370" s="3"/>
      <c r="T370" s="3"/>
      <c r="U370" s="3"/>
      <c r="V370" s="3"/>
      <c r="W370" s="3"/>
      <c r="X370" s="3"/>
      <c r="Y370" s="3"/>
      <c r="Z370" s="3"/>
      <c r="AA370" s="3"/>
      <c r="AB370" s="3"/>
      <c r="AC370" s="3"/>
    </row>
    <row r="371" spans="1:29" hidden="1" outlineLevel="1" x14ac:dyDescent="0.2">
      <c r="A371" s="3"/>
      <c r="B371" s="1019" t="s">
        <v>129</v>
      </c>
      <c r="C371" s="3"/>
      <c r="D371" s="3"/>
      <c r="E371" s="135"/>
      <c r="F371" s="3"/>
      <c r="G371" s="96"/>
      <c r="H371" s="135"/>
      <c r="I371" s="3"/>
      <c r="J371" s="3"/>
      <c r="K371" s="3"/>
      <c r="L371" s="3"/>
      <c r="M371" s="3"/>
      <c r="N371" s="3"/>
      <c r="O371" s="3"/>
      <c r="P371" s="135"/>
      <c r="Q371" s="3"/>
      <c r="R371" s="1018"/>
      <c r="S371" s="3"/>
      <c r="T371" s="3"/>
      <c r="U371" s="3"/>
      <c r="V371" s="3"/>
      <c r="W371" s="3"/>
      <c r="X371" s="3"/>
      <c r="Y371" s="3"/>
      <c r="Z371" s="3"/>
      <c r="AA371" s="3"/>
      <c r="AB371" s="3"/>
      <c r="AC371" s="3"/>
    </row>
    <row r="372" spans="1:29" hidden="1" outlineLevel="1" x14ac:dyDescent="0.2">
      <c r="A372" s="3"/>
      <c r="B372" s="1019" t="s">
        <v>129</v>
      </c>
      <c r="C372" s="3"/>
      <c r="D372" s="3"/>
      <c r="E372" s="135"/>
      <c r="F372" s="3"/>
      <c r="G372" s="96"/>
      <c r="H372" s="133"/>
      <c r="I372" s="133"/>
      <c r="J372" s="133"/>
      <c r="K372" s="133"/>
      <c r="L372" s="133"/>
      <c r="M372" s="133"/>
      <c r="N372" s="133"/>
      <c r="O372" s="133"/>
      <c r="P372" s="135"/>
      <c r="Q372" s="3"/>
      <c r="R372" s="1018"/>
      <c r="S372" s="3"/>
      <c r="T372" s="3"/>
      <c r="U372" s="3"/>
      <c r="V372" s="3"/>
      <c r="W372" s="3"/>
      <c r="X372" s="3"/>
      <c r="Y372" s="3"/>
      <c r="Z372" s="3"/>
      <c r="AA372" s="3"/>
      <c r="AB372" s="3"/>
      <c r="AC372" s="3"/>
    </row>
    <row r="373" spans="1:29" hidden="1" outlineLevel="1" x14ac:dyDescent="0.2">
      <c r="A373" s="3"/>
      <c r="B373" s="1019" t="s">
        <v>129</v>
      </c>
      <c r="C373" s="1003" t="s">
        <v>129</v>
      </c>
      <c r="D373" s="1003" t="s">
        <v>129</v>
      </c>
      <c r="E373" s="135"/>
      <c r="F373" s="3"/>
      <c r="G373" s="96"/>
      <c r="H373" s="1004" t="s">
        <v>129</v>
      </c>
      <c r="I373" s="1004" t="s">
        <v>129</v>
      </c>
      <c r="J373" s="1004" t="s">
        <v>129</v>
      </c>
      <c r="K373" s="1004" t="s">
        <v>129</v>
      </c>
      <c r="L373" s="1004" t="s">
        <v>129</v>
      </c>
      <c r="M373" s="1004" t="s">
        <v>129</v>
      </c>
      <c r="N373" s="1004" t="s">
        <v>129</v>
      </c>
      <c r="O373" s="1004" t="s">
        <v>129</v>
      </c>
      <c r="P373" s="135"/>
      <c r="Q373" s="3"/>
      <c r="R373" s="1018"/>
      <c r="S373" s="3"/>
      <c r="T373" s="3"/>
      <c r="U373" s="3"/>
      <c r="V373" s="3"/>
      <c r="W373" s="3"/>
      <c r="X373" s="3"/>
      <c r="Y373" s="3"/>
      <c r="Z373" s="3"/>
      <c r="AA373" s="3"/>
      <c r="AB373" s="3"/>
      <c r="AC373" s="3"/>
    </row>
    <row r="374" spans="1:29" hidden="1" outlineLevel="1" x14ac:dyDescent="0.2">
      <c r="A374" s="3"/>
      <c r="B374" s="1019" t="s">
        <v>129</v>
      </c>
      <c r="C374" s="1003" t="s">
        <v>129</v>
      </c>
      <c r="D374" s="1003" t="s">
        <v>129</v>
      </c>
      <c r="E374" s="135"/>
      <c r="F374" s="3"/>
      <c r="G374" s="96"/>
      <c r="H374" s="1004" t="s">
        <v>129</v>
      </c>
      <c r="I374" s="1004" t="s">
        <v>129</v>
      </c>
      <c r="J374" s="1004" t="s">
        <v>129</v>
      </c>
      <c r="K374" s="1004" t="s">
        <v>129</v>
      </c>
      <c r="L374" s="1004" t="s">
        <v>129</v>
      </c>
      <c r="M374" s="1004" t="s">
        <v>129</v>
      </c>
      <c r="N374" s="1004" t="s">
        <v>129</v>
      </c>
      <c r="O374" s="1004" t="s">
        <v>129</v>
      </c>
      <c r="P374" s="135"/>
      <c r="Q374" s="3"/>
      <c r="R374" s="1018"/>
      <c r="S374" s="3"/>
      <c r="T374" s="3"/>
      <c r="U374" s="3"/>
      <c r="V374" s="3"/>
      <c r="W374" s="3"/>
      <c r="X374" s="3"/>
      <c r="Y374" s="3"/>
      <c r="Z374" s="3"/>
      <c r="AA374" s="3"/>
      <c r="AB374" s="3"/>
      <c r="AC374" s="3"/>
    </row>
    <row r="375" spans="1:29" hidden="1" outlineLevel="1" x14ac:dyDescent="0.2">
      <c r="A375" s="3"/>
      <c r="B375" s="1019" t="s">
        <v>129</v>
      </c>
      <c r="C375" s="1003" t="s">
        <v>129</v>
      </c>
      <c r="D375" s="1003" t="s">
        <v>129</v>
      </c>
      <c r="E375" s="135"/>
      <c r="F375" s="3"/>
      <c r="G375" s="96"/>
      <c r="H375" s="1004" t="s">
        <v>129</v>
      </c>
      <c r="I375" s="1004" t="s">
        <v>129</v>
      </c>
      <c r="J375" s="1004" t="s">
        <v>129</v>
      </c>
      <c r="K375" s="1004" t="s">
        <v>129</v>
      </c>
      <c r="L375" s="1004" t="s">
        <v>129</v>
      </c>
      <c r="M375" s="1004" t="s">
        <v>129</v>
      </c>
      <c r="N375" s="1004" t="s">
        <v>129</v>
      </c>
      <c r="O375" s="1004" t="s">
        <v>129</v>
      </c>
      <c r="P375" s="135"/>
      <c r="Q375" s="3"/>
      <c r="R375" s="1018"/>
      <c r="S375" s="3"/>
      <c r="T375" s="3"/>
      <c r="U375" s="3"/>
      <c r="V375" s="3"/>
      <c r="W375" s="3"/>
      <c r="X375" s="3"/>
      <c r="Y375" s="3"/>
      <c r="Z375" s="3"/>
      <c r="AA375" s="3"/>
      <c r="AB375" s="3"/>
      <c r="AC375" s="3"/>
    </row>
    <row r="376" spans="1:29" hidden="1" outlineLevel="1" x14ac:dyDescent="0.2">
      <c r="A376" s="3"/>
      <c r="B376" s="1019" t="s">
        <v>129</v>
      </c>
      <c r="C376" s="1003" t="s">
        <v>129</v>
      </c>
      <c r="D376" s="1003" t="s">
        <v>129</v>
      </c>
      <c r="E376" s="135"/>
      <c r="F376" s="3"/>
      <c r="G376" s="96"/>
      <c r="H376" s="1004" t="s">
        <v>129</v>
      </c>
      <c r="I376" s="1004" t="s">
        <v>129</v>
      </c>
      <c r="J376" s="1004" t="s">
        <v>129</v>
      </c>
      <c r="K376" s="1004" t="s">
        <v>129</v>
      </c>
      <c r="L376" s="1004" t="s">
        <v>129</v>
      </c>
      <c r="M376" s="1004" t="s">
        <v>129</v>
      </c>
      <c r="N376" s="1004" t="s">
        <v>129</v>
      </c>
      <c r="O376" s="1004" t="s">
        <v>129</v>
      </c>
      <c r="P376" s="135"/>
      <c r="Q376" s="3"/>
      <c r="R376" s="1018"/>
      <c r="S376" s="3"/>
      <c r="T376" s="3"/>
      <c r="U376" s="3"/>
      <c r="V376" s="3"/>
      <c r="W376" s="3"/>
      <c r="X376" s="3"/>
      <c r="Y376" s="3"/>
      <c r="Z376" s="3"/>
      <c r="AA376" s="3"/>
      <c r="AB376" s="3"/>
      <c r="AC376" s="3"/>
    </row>
    <row r="377" spans="1:29" hidden="1" outlineLevel="1" x14ac:dyDescent="0.2">
      <c r="A377" s="3"/>
      <c r="B377" s="1019" t="s">
        <v>129</v>
      </c>
      <c r="C377" s="1003" t="s">
        <v>129</v>
      </c>
      <c r="D377" s="1003" t="s">
        <v>129</v>
      </c>
      <c r="E377" s="135"/>
      <c r="F377" s="3"/>
      <c r="G377" s="96"/>
      <c r="H377" s="1004" t="s">
        <v>129</v>
      </c>
      <c r="I377" s="1004" t="s">
        <v>129</v>
      </c>
      <c r="J377" s="1004" t="s">
        <v>129</v>
      </c>
      <c r="K377" s="1004" t="s">
        <v>129</v>
      </c>
      <c r="L377" s="1004" t="s">
        <v>129</v>
      </c>
      <c r="M377" s="1004" t="s">
        <v>129</v>
      </c>
      <c r="N377" s="1004" t="s">
        <v>129</v>
      </c>
      <c r="O377" s="1004" t="s">
        <v>129</v>
      </c>
      <c r="P377" s="135"/>
      <c r="Q377" s="3"/>
      <c r="R377" s="1018"/>
      <c r="S377" s="3"/>
      <c r="T377" s="3"/>
      <c r="U377" s="3"/>
      <c r="V377" s="3"/>
      <c r="W377" s="3"/>
      <c r="X377" s="3"/>
      <c r="Y377" s="3"/>
      <c r="Z377" s="3"/>
      <c r="AA377" s="3"/>
      <c r="AB377" s="3"/>
      <c r="AC377" s="3"/>
    </row>
    <row r="378" spans="1:29" hidden="1" outlineLevel="1" x14ac:dyDescent="0.2">
      <c r="A378" s="3"/>
      <c r="B378" s="1019" t="s">
        <v>129</v>
      </c>
      <c r="C378" s="1003" t="s">
        <v>129</v>
      </c>
      <c r="D378" s="1003" t="s">
        <v>129</v>
      </c>
      <c r="E378" s="135"/>
      <c r="F378" s="3"/>
      <c r="G378" s="96"/>
      <c r="H378" s="1004" t="s">
        <v>129</v>
      </c>
      <c r="I378" s="1004" t="s">
        <v>129</v>
      </c>
      <c r="J378" s="1004" t="s">
        <v>129</v>
      </c>
      <c r="K378" s="1004" t="s">
        <v>129</v>
      </c>
      <c r="L378" s="1004" t="s">
        <v>129</v>
      </c>
      <c r="M378" s="1004" t="s">
        <v>129</v>
      </c>
      <c r="N378" s="1004" t="s">
        <v>129</v>
      </c>
      <c r="O378" s="1004" t="s">
        <v>129</v>
      </c>
      <c r="P378" s="135"/>
      <c r="Q378" s="3"/>
      <c r="R378" s="1018"/>
      <c r="S378" s="3"/>
      <c r="T378" s="3"/>
      <c r="U378" s="3"/>
      <c r="V378" s="3"/>
      <c r="W378" s="3"/>
      <c r="X378" s="3"/>
      <c r="Y378" s="3"/>
      <c r="Z378" s="3"/>
      <c r="AA378" s="3"/>
      <c r="AB378" s="3"/>
      <c r="AC378" s="3"/>
    </row>
    <row r="379" spans="1:29" hidden="1" outlineLevel="1" x14ac:dyDescent="0.2">
      <c r="A379" s="3"/>
      <c r="B379" s="1019" t="s">
        <v>129</v>
      </c>
      <c r="C379" s="1003" t="s">
        <v>129</v>
      </c>
      <c r="D379" s="1003" t="s">
        <v>129</v>
      </c>
      <c r="E379" s="135"/>
      <c r="F379" s="3"/>
      <c r="G379" s="96"/>
      <c r="H379" s="1004" t="s">
        <v>129</v>
      </c>
      <c r="I379" s="1004" t="s">
        <v>129</v>
      </c>
      <c r="J379" s="1004" t="s">
        <v>129</v>
      </c>
      <c r="K379" s="1004" t="s">
        <v>129</v>
      </c>
      <c r="L379" s="1004" t="s">
        <v>129</v>
      </c>
      <c r="M379" s="1004" t="s">
        <v>129</v>
      </c>
      <c r="N379" s="1004" t="s">
        <v>129</v>
      </c>
      <c r="O379" s="1004" t="s">
        <v>129</v>
      </c>
      <c r="P379" s="135"/>
      <c r="Q379" s="3"/>
      <c r="R379" s="1018"/>
      <c r="S379" s="3"/>
      <c r="T379" s="3"/>
      <c r="U379" s="3"/>
      <c r="V379" s="3"/>
      <c r="W379" s="3"/>
      <c r="X379" s="3"/>
      <c r="Y379" s="3"/>
      <c r="Z379" s="3"/>
      <c r="AA379" s="3"/>
      <c r="AB379" s="3"/>
      <c r="AC379" s="3"/>
    </row>
    <row r="380" spans="1:29" hidden="1" outlineLevel="1" x14ac:dyDescent="0.2">
      <c r="A380" s="3"/>
      <c r="B380" s="1019" t="s">
        <v>129</v>
      </c>
      <c r="C380" s="1003" t="s">
        <v>129</v>
      </c>
      <c r="D380" s="1003" t="s">
        <v>129</v>
      </c>
      <c r="E380" s="135"/>
      <c r="F380" s="3"/>
      <c r="G380" s="96"/>
      <c r="H380" s="1004" t="s">
        <v>129</v>
      </c>
      <c r="I380" s="1004" t="s">
        <v>129</v>
      </c>
      <c r="J380" s="1004" t="s">
        <v>129</v>
      </c>
      <c r="K380" s="1004" t="s">
        <v>129</v>
      </c>
      <c r="L380" s="1004" t="s">
        <v>129</v>
      </c>
      <c r="M380" s="1004" t="s">
        <v>129</v>
      </c>
      <c r="N380" s="1004" t="s">
        <v>129</v>
      </c>
      <c r="O380" s="1004" t="s">
        <v>129</v>
      </c>
      <c r="P380" s="135"/>
      <c r="Q380" s="3"/>
      <c r="R380" s="1018"/>
      <c r="S380" s="3"/>
      <c r="T380" s="3"/>
      <c r="U380" s="3"/>
      <c r="V380" s="3"/>
      <c r="W380" s="3"/>
      <c r="X380" s="3"/>
      <c r="Y380" s="3"/>
      <c r="Z380" s="3"/>
      <c r="AA380" s="3"/>
      <c r="AB380" s="3"/>
      <c r="AC380" s="3"/>
    </row>
    <row r="381" spans="1:29" hidden="1" outlineLevel="1" x14ac:dyDescent="0.2">
      <c r="A381" s="3"/>
      <c r="B381" s="1019" t="s">
        <v>129</v>
      </c>
      <c r="C381" s="1003" t="s">
        <v>129</v>
      </c>
      <c r="D381" s="1003" t="s">
        <v>129</v>
      </c>
      <c r="E381" s="135"/>
      <c r="F381" s="3"/>
      <c r="G381" s="96"/>
      <c r="H381" s="1004" t="s">
        <v>129</v>
      </c>
      <c r="I381" s="1004" t="s">
        <v>129</v>
      </c>
      <c r="J381" s="1004" t="s">
        <v>129</v>
      </c>
      <c r="K381" s="1004" t="s">
        <v>129</v>
      </c>
      <c r="L381" s="1004" t="s">
        <v>129</v>
      </c>
      <c r="M381" s="1004" t="s">
        <v>129</v>
      </c>
      <c r="N381" s="1004" t="s">
        <v>129</v>
      </c>
      <c r="O381" s="1004" t="s">
        <v>129</v>
      </c>
      <c r="P381" s="135"/>
      <c r="Q381" s="3"/>
      <c r="R381" s="1018"/>
      <c r="S381" s="3"/>
      <c r="T381" s="3"/>
      <c r="U381" s="3"/>
      <c r="V381" s="3"/>
      <c r="W381" s="3"/>
      <c r="X381" s="3"/>
      <c r="Y381" s="3"/>
      <c r="Z381" s="3"/>
      <c r="AA381" s="3"/>
      <c r="AB381" s="3"/>
      <c r="AC381" s="3"/>
    </row>
    <row r="382" spans="1:29" hidden="1" outlineLevel="1" x14ac:dyDescent="0.2">
      <c r="A382" s="3"/>
      <c r="B382" s="1019" t="s">
        <v>129</v>
      </c>
      <c r="C382" s="1003" t="s">
        <v>129</v>
      </c>
      <c r="D382" s="1003" t="s">
        <v>129</v>
      </c>
      <c r="E382" s="135"/>
      <c r="F382" s="3"/>
      <c r="G382" s="96"/>
      <c r="H382" s="1004" t="s">
        <v>129</v>
      </c>
      <c r="I382" s="1004" t="s">
        <v>129</v>
      </c>
      <c r="J382" s="1004" t="s">
        <v>129</v>
      </c>
      <c r="K382" s="1004" t="s">
        <v>129</v>
      </c>
      <c r="L382" s="1004" t="s">
        <v>129</v>
      </c>
      <c r="M382" s="1004" t="s">
        <v>129</v>
      </c>
      <c r="N382" s="1004" t="s">
        <v>129</v>
      </c>
      <c r="O382" s="1004" t="s">
        <v>129</v>
      </c>
      <c r="P382" s="135"/>
      <c r="Q382" s="3"/>
      <c r="R382" s="1018"/>
      <c r="S382" s="3"/>
      <c r="T382" s="3"/>
      <c r="U382" s="3"/>
      <c r="V382" s="3"/>
      <c r="W382" s="3"/>
      <c r="X382" s="3"/>
      <c r="Y382" s="3"/>
      <c r="Z382" s="3"/>
      <c r="AA382" s="3"/>
      <c r="AB382" s="3"/>
      <c r="AC382" s="3"/>
    </row>
    <row r="383" spans="1:29" hidden="1" outlineLevel="1" x14ac:dyDescent="0.2">
      <c r="A383" s="3"/>
      <c r="B383" s="1019" t="s">
        <v>129</v>
      </c>
      <c r="C383" s="1003" t="s">
        <v>129</v>
      </c>
      <c r="D383" s="1003" t="s">
        <v>129</v>
      </c>
      <c r="E383" s="135"/>
      <c r="F383" s="3"/>
      <c r="G383" s="96"/>
      <c r="H383" s="1004" t="s">
        <v>129</v>
      </c>
      <c r="I383" s="1004" t="s">
        <v>129</v>
      </c>
      <c r="J383" s="1004" t="s">
        <v>129</v>
      </c>
      <c r="K383" s="1004" t="s">
        <v>129</v>
      </c>
      <c r="L383" s="1004" t="s">
        <v>129</v>
      </c>
      <c r="M383" s="1004" t="s">
        <v>129</v>
      </c>
      <c r="N383" s="1004" t="s">
        <v>129</v>
      </c>
      <c r="O383" s="1004" t="s">
        <v>129</v>
      </c>
      <c r="P383" s="135"/>
      <c r="Q383" s="3"/>
      <c r="R383" s="1018"/>
      <c r="S383" s="3"/>
      <c r="T383" s="3"/>
      <c r="U383" s="3"/>
      <c r="V383" s="3"/>
      <c r="W383" s="3"/>
      <c r="X383" s="3"/>
      <c r="Y383" s="3"/>
      <c r="Z383" s="3"/>
      <c r="AA383" s="3"/>
      <c r="AB383" s="3"/>
      <c r="AC383" s="3"/>
    </row>
    <row r="384" spans="1:29" hidden="1" outlineLevel="1" x14ac:dyDescent="0.2">
      <c r="A384" s="3"/>
      <c r="B384" s="1019" t="s">
        <v>129</v>
      </c>
      <c r="C384" s="1003" t="s">
        <v>129</v>
      </c>
      <c r="D384" s="1003" t="s">
        <v>129</v>
      </c>
      <c r="E384" s="135"/>
      <c r="F384" s="3"/>
      <c r="G384" s="96"/>
      <c r="H384" s="1004" t="s">
        <v>129</v>
      </c>
      <c r="I384" s="1004" t="s">
        <v>129</v>
      </c>
      <c r="J384" s="1004" t="s">
        <v>129</v>
      </c>
      <c r="K384" s="1004" t="s">
        <v>129</v>
      </c>
      <c r="L384" s="1004" t="s">
        <v>129</v>
      </c>
      <c r="M384" s="1004" t="s">
        <v>129</v>
      </c>
      <c r="N384" s="1004" t="s">
        <v>129</v>
      </c>
      <c r="O384" s="1004" t="s">
        <v>129</v>
      </c>
      <c r="P384" s="135"/>
      <c r="Q384" s="3"/>
      <c r="R384" s="1018"/>
      <c r="S384" s="3"/>
      <c r="T384" s="3"/>
      <c r="U384" s="3"/>
      <c r="V384" s="3"/>
      <c r="W384" s="3"/>
      <c r="X384" s="3"/>
      <c r="Y384" s="3"/>
      <c r="Z384" s="3"/>
      <c r="AA384" s="3"/>
      <c r="AB384" s="3"/>
      <c r="AC384" s="3"/>
    </row>
    <row r="385" spans="1:29" hidden="1" outlineLevel="1" x14ac:dyDescent="0.2">
      <c r="A385" s="3"/>
      <c r="B385" s="1019" t="s">
        <v>129</v>
      </c>
      <c r="C385" s="1003" t="s">
        <v>129</v>
      </c>
      <c r="D385" s="1003" t="s">
        <v>129</v>
      </c>
      <c r="E385" s="135"/>
      <c r="F385" s="3"/>
      <c r="G385" s="96"/>
      <c r="H385" s="1004" t="s">
        <v>129</v>
      </c>
      <c r="I385" s="1004" t="s">
        <v>129</v>
      </c>
      <c r="J385" s="1004" t="s">
        <v>129</v>
      </c>
      <c r="K385" s="1004" t="s">
        <v>129</v>
      </c>
      <c r="L385" s="1004" t="s">
        <v>129</v>
      </c>
      <c r="M385" s="1004" t="s">
        <v>129</v>
      </c>
      <c r="N385" s="1004" t="s">
        <v>129</v>
      </c>
      <c r="O385" s="1004" t="s">
        <v>129</v>
      </c>
      <c r="P385" s="135"/>
      <c r="Q385" s="3"/>
      <c r="R385" s="1018"/>
      <c r="S385" s="3"/>
      <c r="T385" s="3"/>
      <c r="U385" s="3"/>
      <c r="V385" s="3"/>
      <c r="W385" s="3"/>
      <c r="X385" s="3"/>
      <c r="Y385" s="3"/>
      <c r="Z385" s="3"/>
      <c r="AA385" s="3"/>
      <c r="AB385" s="3"/>
      <c r="AC385" s="3"/>
    </row>
    <row r="386" spans="1:29" hidden="1" outlineLevel="1" x14ac:dyDescent="0.2">
      <c r="A386" s="3"/>
      <c r="B386" s="1019" t="s">
        <v>129</v>
      </c>
      <c r="C386" s="1003" t="s">
        <v>129</v>
      </c>
      <c r="D386" s="1003" t="s">
        <v>129</v>
      </c>
      <c r="E386" s="135"/>
      <c r="F386" s="3"/>
      <c r="G386" s="96"/>
      <c r="H386" s="1004" t="s">
        <v>129</v>
      </c>
      <c r="I386" s="1004" t="s">
        <v>129</v>
      </c>
      <c r="J386" s="1004" t="s">
        <v>129</v>
      </c>
      <c r="K386" s="1004" t="s">
        <v>129</v>
      </c>
      <c r="L386" s="1004" t="s">
        <v>129</v>
      </c>
      <c r="M386" s="1004" t="s">
        <v>129</v>
      </c>
      <c r="N386" s="1004" t="s">
        <v>129</v>
      </c>
      <c r="O386" s="1004" t="s">
        <v>129</v>
      </c>
      <c r="P386" s="135"/>
      <c r="Q386" s="3"/>
      <c r="R386" s="1018"/>
      <c r="S386" s="3"/>
      <c r="T386" s="3"/>
      <c r="U386" s="3"/>
      <c r="V386" s="3"/>
      <c r="W386" s="3"/>
      <c r="X386" s="3"/>
      <c r="Y386" s="3"/>
      <c r="Z386" s="3"/>
      <c r="AA386" s="3"/>
      <c r="AB386" s="3"/>
      <c r="AC386" s="3"/>
    </row>
    <row r="387" spans="1:29" hidden="1" outlineLevel="1" x14ac:dyDescent="0.2">
      <c r="A387" s="3"/>
      <c r="B387" s="1019" t="s">
        <v>129</v>
      </c>
      <c r="C387" s="3"/>
      <c r="D387" s="3"/>
      <c r="E387" s="135"/>
      <c r="F387" s="3"/>
      <c r="G387" s="96"/>
      <c r="H387" s="135"/>
      <c r="I387" s="3"/>
      <c r="J387" s="3"/>
      <c r="K387" s="3"/>
      <c r="L387" s="3"/>
      <c r="M387" s="3"/>
      <c r="N387" s="3"/>
      <c r="O387" s="3"/>
      <c r="P387" s="135"/>
      <c r="Q387" s="3"/>
      <c r="R387" s="1018"/>
      <c r="S387" s="3"/>
      <c r="T387" s="3"/>
      <c r="U387" s="3"/>
      <c r="V387" s="3"/>
      <c r="W387" s="3"/>
      <c r="X387" s="3"/>
      <c r="Y387" s="3"/>
      <c r="Z387" s="3"/>
      <c r="AA387" s="3"/>
      <c r="AB387" s="3"/>
      <c r="AC387" s="3"/>
    </row>
    <row r="388" spans="1:29" hidden="1" outlineLevel="1" x14ac:dyDescent="0.2">
      <c r="A388" s="3"/>
      <c r="B388" s="1019" t="s">
        <v>129</v>
      </c>
      <c r="C388" s="3"/>
      <c r="D388" s="3"/>
      <c r="E388" s="135"/>
      <c r="F388" s="3"/>
      <c r="G388" s="96"/>
      <c r="H388" s="133"/>
      <c r="I388" s="133"/>
      <c r="J388" s="133"/>
      <c r="K388" s="133"/>
      <c r="L388" s="133"/>
      <c r="M388" s="133"/>
      <c r="N388" s="133"/>
      <c r="O388" s="133"/>
      <c r="P388" s="135"/>
      <c r="Q388" s="3"/>
      <c r="R388" s="1018"/>
      <c r="S388" s="3"/>
      <c r="T388" s="3"/>
      <c r="U388" s="3"/>
      <c r="V388" s="3"/>
      <c r="W388" s="3"/>
      <c r="X388" s="3"/>
      <c r="Y388" s="3"/>
      <c r="Z388" s="3"/>
      <c r="AA388" s="3"/>
      <c r="AB388" s="3"/>
      <c r="AC388" s="3"/>
    </row>
    <row r="389" spans="1:29" hidden="1" outlineLevel="1" x14ac:dyDescent="0.2">
      <c r="A389" s="3"/>
      <c r="B389" s="1019" t="s">
        <v>129</v>
      </c>
      <c r="C389" s="1003" t="s">
        <v>129</v>
      </c>
      <c r="D389" s="1003" t="s">
        <v>129</v>
      </c>
      <c r="E389" s="135"/>
      <c r="F389" s="3"/>
      <c r="G389" s="96"/>
      <c r="H389" s="1004" t="s">
        <v>129</v>
      </c>
      <c r="I389" s="1004" t="s">
        <v>129</v>
      </c>
      <c r="J389" s="1004" t="s">
        <v>129</v>
      </c>
      <c r="K389" s="1004" t="s">
        <v>129</v>
      </c>
      <c r="L389" s="1004" t="s">
        <v>129</v>
      </c>
      <c r="M389" s="1004" t="s">
        <v>129</v>
      </c>
      <c r="N389" s="1004" t="s">
        <v>129</v>
      </c>
      <c r="O389" s="1004" t="s">
        <v>129</v>
      </c>
      <c r="P389" s="135"/>
      <c r="Q389" s="3"/>
      <c r="R389" s="1018"/>
      <c r="S389" s="3"/>
      <c r="T389" s="3"/>
      <c r="U389" s="3"/>
      <c r="V389" s="3"/>
      <c r="W389" s="3"/>
      <c r="X389" s="3"/>
      <c r="Y389" s="3"/>
      <c r="Z389" s="3"/>
      <c r="AA389" s="3"/>
      <c r="AB389" s="3"/>
      <c r="AC389" s="3"/>
    </row>
    <row r="390" spans="1:29" hidden="1" outlineLevel="1" x14ac:dyDescent="0.2">
      <c r="A390" s="3"/>
      <c r="B390" s="1019" t="s">
        <v>129</v>
      </c>
      <c r="C390" s="1003" t="s">
        <v>129</v>
      </c>
      <c r="D390" s="1003" t="s">
        <v>129</v>
      </c>
      <c r="E390" s="135"/>
      <c r="F390" s="3"/>
      <c r="G390" s="96"/>
      <c r="H390" s="1004" t="s">
        <v>129</v>
      </c>
      <c r="I390" s="1004" t="s">
        <v>129</v>
      </c>
      <c r="J390" s="1004" t="s">
        <v>129</v>
      </c>
      <c r="K390" s="1004" t="s">
        <v>129</v>
      </c>
      <c r="L390" s="1004" t="s">
        <v>129</v>
      </c>
      <c r="M390" s="1004" t="s">
        <v>129</v>
      </c>
      <c r="N390" s="1004" t="s">
        <v>129</v>
      </c>
      <c r="O390" s="1004" t="s">
        <v>129</v>
      </c>
      <c r="P390" s="135"/>
      <c r="Q390" s="3"/>
      <c r="R390" s="1018"/>
      <c r="S390" s="3"/>
      <c r="T390" s="3"/>
      <c r="U390" s="3"/>
      <c r="V390" s="3"/>
      <c r="W390" s="3"/>
      <c r="X390" s="3"/>
      <c r="Y390" s="3"/>
      <c r="Z390" s="3"/>
      <c r="AA390" s="3"/>
      <c r="AB390" s="3"/>
      <c r="AC390" s="3"/>
    </row>
    <row r="391" spans="1:29" hidden="1" outlineLevel="1" x14ac:dyDescent="0.2">
      <c r="A391" s="3"/>
      <c r="B391" s="1019" t="s">
        <v>129</v>
      </c>
      <c r="C391" s="1003" t="s">
        <v>129</v>
      </c>
      <c r="D391" s="1003" t="s">
        <v>129</v>
      </c>
      <c r="E391" s="135"/>
      <c r="F391" s="3"/>
      <c r="G391" s="96"/>
      <c r="H391" s="1004" t="s">
        <v>129</v>
      </c>
      <c r="I391" s="1004" t="s">
        <v>129</v>
      </c>
      <c r="J391" s="1004" t="s">
        <v>129</v>
      </c>
      <c r="K391" s="1004" t="s">
        <v>129</v>
      </c>
      <c r="L391" s="1004" t="s">
        <v>129</v>
      </c>
      <c r="M391" s="1004" t="s">
        <v>129</v>
      </c>
      <c r="N391" s="1004" t="s">
        <v>129</v>
      </c>
      <c r="O391" s="1004" t="s">
        <v>129</v>
      </c>
      <c r="P391" s="135"/>
      <c r="Q391" s="3"/>
      <c r="R391" s="1018"/>
      <c r="S391" s="3"/>
      <c r="T391" s="3"/>
      <c r="U391" s="3"/>
      <c r="V391" s="3"/>
      <c r="W391" s="3"/>
      <c r="X391" s="3"/>
      <c r="Y391" s="3"/>
      <c r="Z391" s="3"/>
      <c r="AA391" s="3"/>
      <c r="AB391" s="3"/>
      <c r="AC391" s="3"/>
    </row>
    <row r="392" spans="1:29" hidden="1" outlineLevel="1" x14ac:dyDescent="0.2">
      <c r="A392" s="3"/>
      <c r="B392" s="1019" t="s">
        <v>129</v>
      </c>
      <c r="C392" s="1003" t="s">
        <v>129</v>
      </c>
      <c r="D392" s="1003" t="s">
        <v>129</v>
      </c>
      <c r="E392" s="135"/>
      <c r="F392" s="3"/>
      <c r="G392" s="96"/>
      <c r="H392" s="1004" t="s">
        <v>129</v>
      </c>
      <c r="I392" s="1004" t="s">
        <v>129</v>
      </c>
      <c r="J392" s="1004" t="s">
        <v>129</v>
      </c>
      <c r="K392" s="1004" t="s">
        <v>129</v>
      </c>
      <c r="L392" s="1004" t="s">
        <v>129</v>
      </c>
      <c r="M392" s="1004" t="s">
        <v>129</v>
      </c>
      <c r="N392" s="1004" t="s">
        <v>129</v>
      </c>
      <c r="O392" s="1004" t="s">
        <v>129</v>
      </c>
      <c r="P392" s="135"/>
      <c r="Q392" s="3"/>
      <c r="R392" s="1018"/>
      <c r="S392" s="3"/>
      <c r="T392" s="3"/>
      <c r="U392" s="3"/>
      <c r="V392" s="3"/>
      <c r="W392" s="3"/>
      <c r="X392" s="3"/>
      <c r="Y392" s="3"/>
      <c r="Z392" s="3"/>
      <c r="AA392" s="3"/>
      <c r="AB392" s="3"/>
      <c r="AC392" s="3"/>
    </row>
    <row r="393" spans="1:29" hidden="1" outlineLevel="1" x14ac:dyDescent="0.2">
      <c r="A393" s="3"/>
      <c r="B393" s="1019" t="s">
        <v>129</v>
      </c>
      <c r="C393" s="1003" t="s">
        <v>129</v>
      </c>
      <c r="D393" s="1003" t="s">
        <v>129</v>
      </c>
      <c r="E393" s="135"/>
      <c r="F393" s="3"/>
      <c r="G393" s="96"/>
      <c r="H393" s="1004" t="s">
        <v>129</v>
      </c>
      <c r="I393" s="1004" t="s">
        <v>129</v>
      </c>
      <c r="J393" s="1004" t="s">
        <v>129</v>
      </c>
      <c r="K393" s="1004" t="s">
        <v>129</v>
      </c>
      <c r="L393" s="1004" t="s">
        <v>129</v>
      </c>
      <c r="M393" s="1004" t="s">
        <v>129</v>
      </c>
      <c r="N393" s="1004" t="s">
        <v>129</v>
      </c>
      <c r="O393" s="1004" t="s">
        <v>129</v>
      </c>
      <c r="P393" s="135"/>
      <c r="Q393" s="3"/>
      <c r="R393" s="1018"/>
      <c r="S393" s="3"/>
      <c r="T393" s="3"/>
      <c r="U393" s="3"/>
      <c r="V393" s="3"/>
      <c r="W393" s="3"/>
      <c r="X393" s="3"/>
      <c r="Y393" s="3"/>
      <c r="Z393" s="3"/>
      <c r="AA393" s="3"/>
      <c r="AB393" s="3"/>
      <c r="AC393" s="3"/>
    </row>
    <row r="394" spans="1:29" hidden="1" outlineLevel="1" x14ac:dyDescent="0.2">
      <c r="A394" s="3"/>
      <c r="B394" s="1019" t="s">
        <v>129</v>
      </c>
      <c r="C394" s="1003" t="s">
        <v>129</v>
      </c>
      <c r="D394" s="1003" t="s">
        <v>129</v>
      </c>
      <c r="E394" s="135"/>
      <c r="F394" s="3"/>
      <c r="G394" s="96"/>
      <c r="H394" s="1004" t="s">
        <v>129</v>
      </c>
      <c r="I394" s="1004" t="s">
        <v>129</v>
      </c>
      <c r="J394" s="1004" t="s">
        <v>129</v>
      </c>
      <c r="K394" s="1004" t="s">
        <v>129</v>
      </c>
      <c r="L394" s="1004" t="s">
        <v>129</v>
      </c>
      <c r="M394" s="1004" t="s">
        <v>129</v>
      </c>
      <c r="N394" s="1004" t="s">
        <v>129</v>
      </c>
      <c r="O394" s="1004" t="s">
        <v>129</v>
      </c>
      <c r="P394" s="135"/>
      <c r="Q394" s="3"/>
      <c r="R394" s="1018"/>
      <c r="S394" s="3"/>
      <c r="T394" s="3"/>
      <c r="U394" s="3"/>
      <c r="V394" s="3"/>
      <c r="W394" s="3"/>
      <c r="X394" s="3"/>
      <c r="Y394" s="3"/>
      <c r="Z394" s="3"/>
      <c r="AA394" s="3"/>
      <c r="AB394" s="3"/>
      <c r="AC394" s="3"/>
    </row>
    <row r="395" spans="1:29" hidden="1" outlineLevel="1" x14ac:dyDescent="0.2">
      <c r="A395" s="3"/>
      <c r="B395" s="1019" t="s">
        <v>129</v>
      </c>
      <c r="C395" s="1003" t="s">
        <v>129</v>
      </c>
      <c r="D395" s="1003" t="s">
        <v>129</v>
      </c>
      <c r="E395" s="135"/>
      <c r="F395" s="3"/>
      <c r="G395" s="96"/>
      <c r="H395" s="1004" t="s">
        <v>129</v>
      </c>
      <c r="I395" s="1004" t="s">
        <v>129</v>
      </c>
      <c r="J395" s="1004" t="s">
        <v>129</v>
      </c>
      <c r="K395" s="1004" t="s">
        <v>129</v>
      </c>
      <c r="L395" s="1004" t="s">
        <v>129</v>
      </c>
      <c r="M395" s="1004" t="s">
        <v>129</v>
      </c>
      <c r="N395" s="1004" t="s">
        <v>129</v>
      </c>
      <c r="O395" s="1004" t="s">
        <v>129</v>
      </c>
      <c r="P395" s="135"/>
      <c r="Q395" s="3"/>
      <c r="R395" s="1018"/>
      <c r="S395" s="3"/>
      <c r="T395" s="3"/>
      <c r="U395" s="3"/>
      <c r="V395" s="3"/>
      <c r="W395" s="3"/>
      <c r="X395" s="3"/>
      <c r="Y395" s="3"/>
      <c r="Z395" s="3"/>
      <c r="AA395" s="3"/>
      <c r="AB395" s="3"/>
      <c r="AC395" s="3"/>
    </row>
    <row r="396" spans="1:29" hidden="1" outlineLevel="1" x14ac:dyDescent="0.2">
      <c r="A396" s="3"/>
      <c r="B396" s="1019" t="s">
        <v>129</v>
      </c>
      <c r="C396" s="1003" t="s">
        <v>129</v>
      </c>
      <c r="D396" s="1003" t="s">
        <v>129</v>
      </c>
      <c r="E396" s="135"/>
      <c r="F396" s="3"/>
      <c r="G396" s="96"/>
      <c r="H396" s="1004" t="s">
        <v>129</v>
      </c>
      <c r="I396" s="1004" t="s">
        <v>129</v>
      </c>
      <c r="J396" s="1004" t="s">
        <v>129</v>
      </c>
      <c r="K396" s="1004" t="s">
        <v>129</v>
      </c>
      <c r="L396" s="1004" t="s">
        <v>129</v>
      </c>
      <c r="M396" s="1004" t="s">
        <v>129</v>
      </c>
      <c r="N396" s="1004" t="s">
        <v>129</v>
      </c>
      <c r="O396" s="1004" t="s">
        <v>129</v>
      </c>
      <c r="P396" s="135"/>
      <c r="Q396" s="3"/>
      <c r="R396" s="1018"/>
      <c r="S396" s="3"/>
      <c r="T396" s="3"/>
      <c r="U396" s="3"/>
      <c r="V396" s="3"/>
      <c r="W396" s="3"/>
      <c r="X396" s="3"/>
      <c r="Y396" s="3"/>
      <c r="Z396" s="3"/>
      <c r="AA396" s="3"/>
      <c r="AB396" s="3"/>
      <c r="AC396" s="3"/>
    </row>
    <row r="397" spans="1:29" hidden="1" outlineLevel="1" x14ac:dyDescent="0.2">
      <c r="A397" s="3"/>
      <c r="B397" s="1019" t="s">
        <v>129</v>
      </c>
      <c r="C397" s="1003" t="s">
        <v>129</v>
      </c>
      <c r="D397" s="1003" t="s">
        <v>129</v>
      </c>
      <c r="E397" s="135"/>
      <c r="F397" s="3"/>
      <c r="G397" s="96"/>
      <c r="H397" s="1004" t="s">
        <v>129</v>
      </c>
      <c r="I397" s="1004" t="s">
        <v>129</v>
      </c>
      <c r="J397" s="1004" t="s">
        <v>129</v>
      </c>
      <c r="K397" s="1004" t="s">
        <v>129</v>
      </c>
      <c r="L397" s="1004" t="s">
        <v>129</v>
      </c>
      <c r="M397" s="1004" t="s">
        <v>129</v>
      </c>
      <c r="N397" s="1004" t="s">
        <v>129</v>
      </c>
      <c r="O397" s="1004" t="s">
        <v>129</v>
      </c>
      <c r="P397" s="135"/>
      <c r="Q397" s="3"/>
      <c r="R397" s="1018"/>
      <c r="S397" s="3"/>
      <c r="T397" s="3"/>
      <c r="U397" s="3"/>
      <c r="V397" s="3"/>
      <c r="W397" s="3"/>
      <c r="X397" s="3"/>
      <c r="Y397" s="3"/>
      <c r="Z397" s="3"/>
      <c r="AA397" s="3"/>
      <c r="AB397" s="3"/>
      <c r="AC397" s="3"/>
    </row>
    <row r="398" spans="1:29" hidden="1" outlineLevel="1" x14ac:dyDescent="0.2">
      <c r="A398" s="3"/>
      <c r="B398" s="1019" t="s">
        <v>129</v>
      </c>
      <c r="C398" s="1003" t="s">
        <v>129</v>
      </c>
      <c r="D398" s="1003" t="s">
        <v>129</v>
      </c>
      <c r="E398" s="135"/>
      <c r="F398" s="3"/>
      <c r="G398" s="96"/>
      <c r="H398" s="1004" t="s">
        <v>129</v>
      </c>
      <c r="I398" s="1004" t="s">
        <v>129</v>
      </c>
      <c r="J398" s="1004" t="s">
        <v>129</v>
      </c>
      <c r="K398" s="1004" t="s">
        <v>129</v>
      </c>
      <c r="L398" s="1004" t="s">
        <v>129</v>
      </c>
      <c r="M398" s="1004" t="s">
        <v>129</v>
      </c>
      <c r="N398" s="1004" t="s">
        <v>129</v>
      </c>
      <c r="O398" s="1004" t="s">
        <v>129</v>
      </c>
      <c r="P398" s="135"/>
      <c r="Q398" s="3"/>
      <c r="R398" s="1018"/>
      <c r="S398" s="3"/>
      <c r="T398" s="3"/>
      <c r="U398" s="3"/>
      <c r="V398" s="3"/>
      <c r="W398" s="3"/>
      <c r="X398" s="3"/>
      <c r="Y398" s="3"/>
      <c r="Z398" s="3"/>
      <c r="AA398" s="3"/>
      <c r="AB398" s="3"/>
      <c r="AC398" s="3"/>
    </row>
    <row r="399" spans="1:29" hidden="1" outlineLevel="1" x14ac:dyDescent="0.2">
      <c r="A399" s="3"/>
      <c r="B399" s="1019" t="s">
        <v>129</v>
      </c>
      <c r="C399" s="1003" t="s">
        <v>129</v>
      </c>
      <c r="D399" s="1003" t="s">
        <v>129</v>
      </c>
      <c r="E399" s="135"/>
      <c r="F399" s="3"/>
      <c r="G399" s="96"/>
      <c r="H399" s="1004" t="s">
        <v>129</v>
      </c>
      <c r="I399" s="1004" t="s">
        <v>129</v>
      </c>
      <c r="J399" s="1004" t="s">
        <v>129</v>
      </c>
      <c r="K399" s="1004" t="s">
        <v>129</v>
      </c>
      <c r="L399" s="1004" t="s">
        <v>129</v>
      </c>
      <c r="M399" s="1004" t="s">
        <v>129</v>
      </c>
      <c r="N399" s="1004" t="s">
        <v>129</v>
      </c>
      <c r="O399" s="1004" t="s">
        <v>129</v>
      </c>
      <c r="P399" s="135"/>
      <c r="Q399" s="3"/>
      <c r="R399" s="1018"/>
      <c r="S399" s="3"/>
      <c r="T399" s="3"/>
      <c r="U399" s="3"/>
      <c r="V399" s="3"/>
      <c r="W399" s="3"/>
      <c r="X399" s="3"/>
      <c r="Y399" s="3"/>
      <c r="Z399" s="3"/>
      <c r="AA399" s="3"/>
      <c r="AB399" s="3"/>
      <c r="AC399" s="3"/>
    </row>
    <row r="400" spans="1:29" hidden="1" outlineLevel="1" x14ac:dyDescent="0.2">
      <c r="A400" s="3"/>
      <c r="B400" s="1019" t="s">
        <v>129</v>
      </c>
      <c r="C400" s="1003" t="s">
        <v>129</v>
      </c>
      <c r="D400" s="1003" t="s">
        <v>129</v>
      </c>
      <c r="E400" s="135"/>
      <c r="F400" s="3"/>
      <c r="G400" s="96"/>
      <c r="H400" s="1004" t="s">
        <v>129</v>
      </c>
      <c r="I400" s="1004" t="s">
        <v>129</v>
      </c>
      <c r="J400" s="1004" t="s">
        <v>129</v>
      </c>
      <c r="K400" s="1004" t="s">
        <v>129</v>
      </c>
      <c r="L400" s="1004" t="s">
        <v>129</v>
      </c>
      <c r="M400" s="1004" t="s">
        <v>129</v>
      </c>
      <c r="N400" s="1004" t="s">
        <v>129</v>
      </c>
      <c r="O400" s="1004" t="s">
        <v>129</v>
      </c>
      <c r="P400" s="135"/>
      <c r="Q400" s="3"/>
      <c r="R400" s="1018"/>
      <c r="S400" s="3"/>
      <c r="T400" s="3"/>
      <c r="U400" s="3"/>
      <c r="V400" s="3"/>
      <c r="W400" s="3"/>
      <c r="X400" s="3"/>
      <c r="Y400" s="3"/>
      <c r="Z400" s="3"/>
      <c r="AA400" s="3"/>
      <c r="AB400" s="3"/>
      <c r="AC400" s="3"/>
    </row>
    <row r="401" spans="1:29" hidden="1" outlineLevel="1" x14ac:dyDescent="0.2">
      <c r="A401" s="3"/>
      <c r="B401" s="1019" t="s">
        <v>129</v>
      </c>
      <c r="C401" s="1003" t="s">
        <v>129</v>
      </c>
      <c r="D401" s="1003" t="s">
        <v>129</v>
      </c>
      <c r="E401" s="135"/>
      <c r="F401" s="3"/>
      <c r="G401" s="96"/>
      <c r="H401" s="1004" t="s">
        <v>129</v>
      </c>
      <c r="I401" s="1004" t="s">
        <v>129</v>
      </c>
      <c r="J401" s="1004" t="s">
        <v>129</v>
      </c>
      <c r="K401" s="1004" t="s">
        <v>129</v>
      </c>
      <c r="L401" s="1004" t="s">
        <v>129</v>
      </c>
      <c r="M401" s="1004" t="s">
        <v>129</v>
      </c>
      <c r="N401" s="1004" t="s">
        <v>129</v>
      </c>
      <c r="O401" s="1004" t="s">
        <v>129</v>
      </c>
      <c r="P401" s="135"/>
      <c r="Q401" s="3"/>
      <c r="R401" s="1018"/>
      <c r="S401" s="3"/>
      <c r="T401" s="3"/>
      <c r="U401" s="3"/>
      <c r="V401" s="3"/>
      <c r="W401" s="3"/>
      <c r="X401" s="3"/>
      <c r="Y401" s="3"/>
      <c r="Z401" s="3"/>
      <c r="AA401" s="3"/>
      <c r="AB401" s="3"/>
      <c r="AC401" s="3"/>
    </row>
    <row r="402" spans="1:29" hidden="1" outlineLevel="1" x14ac:dyDescent="0.2">
      <c r="A402" s="3"/>
      <c r="B402" s="1019" t="s">
        <v>129</v>
      </c>
      <c r="C402" s="1003" t="s">
        <v>129</v>
      </c>
      <c r="D402" s="1003" t="s">
        <v>129</v>
      </c>
      <c r="E402" s="135"/>
      <c r="F402" s="3"/>
      <c r="G402" s="96"/>
      <c r="H402" s="1004" t="s">
        <v>129</v>
      </c>
      <c r="I402" s="1004" t="s">
        <v>129</v>
      </c>
      <c r="J402" s="1004" t="s">
        <v>129</v>
      </c>
      <c r="K402" s="1004" t="s">
        <v>129</v>
      </c>
      <c r="L402" s="1004" t="s">
        <v>129</v>
      </c>
      <c r="M402" s="1004" t="s">
        <v>129</v>
      </c>
      <c r="N402" s="1004" t="s">
        <v>129</v>
      </c>
      <c r="O402" s="1004" t="s">
        <v>129</v>
      </c>
      <c r="P402" s="135"/>
      <c r="Q402" s="3"/>
      <c r="R402" s="1018"/>
      <c r="S402" s="3"/>
      <c r="T402" s="3"/>
      <c r="U402" s="3"/>
      <c r="V402" s="3"/>
      <c r="W402" s="3"/>
      <c r="X402" s="3"/>
      <c r="Y402" s="3"/>
      <c r="Z402" s="3"/>
      <c r="AA402" s="3"/>
      <c r="AB402" s="3"/>
      <c r="AC402" s="3"/>
    </row>
    <row r="403" spans="1:29" hidden="1" outlineLevel="1" x14ac:dyDescent="0.2">
      <c r="A403" s="3"/>
      <c r="B403" s="1019" t="s">
        <v>129</v>
      </c>
      <c r="C403" s="3"/>
      <c r="D403" s="3"/>
      <c r="E403" s="135"/>
      <c r="F403" s="3"/>
      <c r="G403" s="96"/>
      <c r="H403" s="135"/>
      <c r="I403" s="3"/>
      <c r="J403" s="3"/>
      <c r="K403" s="3"/>
      <c r="L403" s="3"/>
      <c r="M403" s="3"/>
      <c r="N403" s="3"/>
      <c r="O403" s="3"/>
      <c r="P403" s="135"/>
      <c r="Q403" s="3"/>
      <c r="R403" s="1018"/>
      <c r="S403" s="3"/>
      <c r="T403" s="3"/>
      <c r="U403" s="3"/>
      <c r="V403" s="3"/>
      <c r="W403" s="3"/>
      <c r="X403" s="3"/>
      <c r="Y403" s="3"/>
      <c r="Z403" s="3"/>
      <c r="AA403" s="3"/>
      <c r="AB403" s="3"/>
      <c r="AC403" s="3"/>
    </row>
    <row r="404" spans="1:29" hidden="1" outlineLevel="1" x14ac:dyDescent="0.2">
      <c r="A404" s="3"/>
      <c r="B404" s="1019" t="s">
        <v>129</v>
      </c>
      <c r="C404" s="3"/>
      <c r="D404" s="3"/>
      <c r="E404" s="135"/>
      <c r="F404" s="3"/>
      <c r="G404" s="96"/>
      <c r="H404" s="133"/>
      <c r="I404" s="133"/>
      <c r="J404" s="133"/>
      <c r="K404" s="133"/>
      <c r="L404" s="133"/>
      <c r="M404" s="133"/>
      <c r="N404" s="133"/>
      <c r="O404" s="133"/>
      <c r="P404" s="135"/>
      <c r="Q404" s="3"/>
      <c r="R404" s="1018"/>
      <c r="S404" s="3"/>
      <c r="T404" s="3"/>
      <c r="U404" s="3"/>
      <c r="V404" s="3"/>
      <c r="W404" s="3"/>
      <c r="X404" s="3"/>
      <c r="Y404" s="3"/>
      <c r="Z404" s="3"/>
      <c r="AA404" s="3"/>
      <c r="AB404" s="3"/>
      <c r="AC404" s="3"/>
    </row>
    <row r="405" spans="1:29" hidden="1" outlineLevel="1" x14ac:dyDescent="0.2">
      <c r="A405" s="3"/>
      <c r="B405" s="1019" t="s">
        <v>129</v>
      </c>
      <c r="C405" s="1003" t="s">
        <v>129</v>
      </c>
      <c r="D405" s="1003" t="s">
        <v>129</v>
      </c>
      <c r="E405" s="135"/>
      <c r="F405" s="3"/>
      <c r="G405" s="96"/>
      <c r="H405" s="1004" t="s">
        <v>129</v>
      </c>
      <c r="I405" s="1004" t="s">
        <v>129</v>
      </c>
      <c r="J405" s="1004" t="s">
        <v>129</v>
      </c>
      <c r="K405" s="1004" t="s">
        <v>129</v>
      </c>
      <c r="L405" s="1004" t="s">
        <v>129</v>
      </c>
      <c r="M405" s="1004" t="s">
        <v>129</v>
      </c>
      <c r="N405" s="1004" t="s">
        <v>129</v>
      </c>
      <c r="O405" s="1004" t="s">
        <v>129</v>
      </c>
      <c r="P405" s="135"/>
      <c r="Q405" s="3"/>
      <c r="R405" s="1018"/>
      <c r="S405" s="3"/>
      <c r="T405" s="3"/>
      <c r="U405" s="3"/>
      <c r="V405" s="3"/>
      <c r="W405" s="3"/>
      <c r="X405" s="3"/>
      <c r="Y405" s="3"/>
      <c r="Z405" s="3"/>
      <c r="AA405" s="3"/>
      <c r="AB405" s="3"/>
      <c r="AC405" s="3"/>
    </row>
    <row r="406" spans="1:29" hidden="1" outlineLevel="1" x14ac:dyDescent="0.2">
      <c r="A406" s="3"/>
      <c r="B406" s="1019" t="s">
        <v>129</v>
      </c>
      <c r="C406" s="1003" t="s">
        <v>129</v>
      </c>
      <c r="D406" s="1003" t="s">
        <v>129</v>
      </c>
      <c r="E406" s="135"/>
      <c r="F406" s="3"/>
      <c r="G406" s="96"/>
      <c r="H406" s="1004" t="s">
        <v>129</v>
      </c>
      <c r="I406" s="1004" t="s">
        <v>129</v>
      </c>
      <c r="J406" s="1004" t="s">
        <v>129</v>
      </c>
      <c r="K406" s="1004" t="s">
        <v>129</v>
      </c>
      <c r="L406" s="1004" t="s">
        <v>129</v>
      </c>
      <c r="M406" s="1004" t="s">
        <v>129</v>
      </c>
      <c r="N406" s="1004" t="s">
        <v>129</v>
      </c>
      <c r="O406" s="1004" t="s">
        <v>129</v>
      </c>
      <c r="P406" s="135"/>
      <c r="Q406" s="3"/>
      <c r="R406" s="1018"/>
      <c r="S406" s="3"/>
      <c r="T406" s="3"/>
      <c r="U406" s="3"/>
      <c r="V406" s="3"/>
      <c r="W406" s="3"/>
      <c r="X406" s="3"/>
      <c r="Y406" s="3"/>
      <c r="Z406" s="3"/>
      <c r="AA406" s="3"/>
      <c r="AB406" s="3"/>
      <c r="AC406" s="3"/>
    </row>
    <row r="407" spans="1:29" hidden="1" outlineLevel="1" x14ac:dyDescent="0.2">
      <c r="A407" s="3"/>
      <c r="B407" s="1019" t="s">
        <v>129</v>
      </c>
      <c r="C407" s="1003" t="s">
        <v>129</v>
      </c>
      <c r="D407" s="1003" t="s">
        <v>129</v>
      </c>
      <c r="E407" s="135"/>
      <c r="F407" s="3"/>
      <c r="G407" s="96"/>
      <c r="H407" s="1004" t="s">
        <v>129</v>
      </c>
      <c r="I407" s="1004" t="s">
        <v>129</v>
      </c>
      <c r="J407" s="1004" t="s">
        <v>129</v>
      </c>
      <c r="K407" s="1004" t="s">
        <v>129</v>
      </c>
      <c r="L407" s="1004" t="s">
        <v>129</v>
      </c>
      <c r="M407" s="1004" t="s">
        <v>129</v>
      </c>
      <c r="N407" s="1004" t="s">
        <v>129</v>
      </c>
      <c r="O407" s="1004" t="s">
        <v>129</v>
      </c>
      <c r="P407" s="135"/>
      <c r="Q407" s="3"/>
      <c r="R407" s="1018"/>
      <c r="S407" s="3"/>
      <c r="T407" s="3"/>
      <c r="U407" s="3"/>
      <c r="V407" s="3"/>
      <c r="W407" s="3"/>
      <c r="X407" s="3"/>
      <c r="Y407" s="3"/>
      <c r="Z407" s="3"/>
      <c r="AA407" s="3"/>
      <c r="AB407" s="3"/>
      <c r="AC407" s="3"/>
    </row>
    <row r="408" spans="1:29" hidden="1" outlineLevel="1" x14ac:dyDescent="0.2">
      <c r="A408" s="3"/>
      <c r="B408" s="1019" t="s">
        <v>129</v>
      </c>
      <c r="C408" s="1003" t="s">
        <v>129</v>
      </c>
      <c r="D408" s="1003" t="s">
        <v>129</v>
      </c>
      <c r="E408" s="135"/>
      <c r="F408" s="3"/>
      <c r="G408" s="96"/>
      <c r="H408" s="1004" t="s">
        <v>129</v>
      </c>
      <c r="I408" s="1004" t="s">
        <v>129</v>
      </c>
      <c r="J408" s="1004" t="s">
        <v>129</v>
      </c>
      <c r="K408" s="1004" t="s">
        <v>129</v>
      </c>
      <c r="L408" s="1004" t="s">
        <v>129</v>
      </c>
      <c r="M408" s="1004" t="s">
        <v>129</v>
      </c>
      <c r="N408" s="1004" t="s">
        <v>129</v>
      </c>
      <c r="O408" s="1004" t="s">
        <v>129</v>
      </c>
      <c r="P408" s="135"/>
      <c r="Q408" s="3"/>
      <c r="R408" s="1018"/>
      <c r="S408" s="3"/>
      <c r="T408" s="3"/>
      <c r="U408" s="3"/>
      <c r="V408" s="3"/>
      <c r="W408" s="3"/>
      <c r="X408" s="3"/>
      <c r="Y408" s="3"/>
      <c r="Z408" s="3"/>
      <c r="AA408" s="3"/>
      <c r="AB408" s="3"/>
      <c r="AC408" s="3"/>
    </row>
    <row r="409" spans="1:29" hidden="1" outlineLevel="1" x14ac:dyDescent="0.2">
      <c r="A409" s="3"/>
      <c r="B409" s="1019" t="s">
        <v>129</v>
      </c>
      <c r="C409" s="1003" t="s">
        <v>129</v>
      </c>
      <c r="D409" s="1003" t="s">
        <v>129</v>
      </c>
      <c r="E409" s="135"/>
      <c r="F409" s="3"/>
      <c r="G409" s="96"/>
      <c r="H409" s="1004" t="s">
        <v>129</v>
      </c>
      <c r="I409" s="1004" t="s">
        <v>129</v>
      </c>
      <c r="J409" s="1004" t="s">
        <v>129</v>
      </c>
      <c r="K409" s="1004" t="s">
        <v>129</v>
      </c>
      <c r="L409" s="1004" t="s">
        <v>129</v>
      </c>
      <c r="M409" s="1004" t="s">
        <v>129</v>
      </c>
      <c r="N409" s="1004" t="s">
        <v>129</v>
      </c>
      <c r="O409" s="1004" t="s">
        <v>129</v>
      </c>
      <c r="P409" s="135"/>
      <c r="Q409" s="3"/>
      <c r="R409" s="1018"/>
      <c r="S409" s="3"/>
      <c r="T409" s="3"/>
      <c r="U409" s="3"/>
      <c r="V409" s="3"/>
      <c r="W409" s="3"/>
      <c r="X409" s="3"/>
      <c r="Y409" s="3"/>
      <c r="Z409" s="3"/>
      <c r="AA409" s="3"/>
      <c r="AB409" s="3"/>
      <c r="AC409" s="3"/>
    </row>
    <row r="410" spans="1:29" hidden="1" outlineLevel="1" x14ac:dyDescent="0.2">
      <c r="A410" s="3"/>
      <c r="B410" s="1019" t="s">
        <v>129</v>
      </c>
      <c r="C410" s="1003" t="s">
        <v>129</v>
      </c>
      <c r="D410" s="1003" t="s">
        <v>129</v>
      </c>
      <c r="E410" s="135"/>
      <c r="F410" s="3"/>
      <c r="G410" s="96"/>
      <c r="H410" s="1004" t="s">
        <v>129</v>
      </c>
      <c r="I410" s="1004" t="s">
        <v>129</v>
      </c>
      <c r="J410" s="1004" t="s">
        <v>129</v>
      </c>
      <c r="K410" s="1004" t="s">
        <v>129</v>
      </c>
      <c r="L410" s="1004" t="s">
        <v>129</v>
      </c>
      <c r="M410" s="1004" t="s">
        <v>129</v>
      </c>
      <c r="N410" s="1004" t="s">
        <v>129</v>
      </c>
      <c r="O410" s="1004" t="s">
        <v>129</v>
      </c>
      <c r="P410" s="135"/>
      <c r="Q410" s="3"/>
      <c r="R410" s="1018"/>
      <c r="S410" s="3"/>
      <c r="T410" s="3"/>
      <c r="U410" s="3"/>
      <c r="V410" s="3"/>
      <c r="W410" s="3"/>
      <c r="X410" s="3"/>
      <c r="Y410" s="3"/>
      <c r="Z410" s="3"/>
      <c r="AA410" s="3"/>
      <c r="AB410" s="3"/>
      <c r="AC410" s="3"/>
    </row>
    <row r="411" spans="1:29" hidden="1" outlineLevel="1" x14ac:dyDescent="0.2">
      <c r="A411" s="3"/>
      <c r="B411" s="1019" t="s">
        <v>129</v>
      </c>
      <c r="C411" s="1003" t="s">
        <v>129</v>
      </c>
      <c r="D411" s="1003" t="s">
        <v>129</v>
      </c>
      <c r="E411" s="135"/>
      <c r="F411" s="3"/>
      <c r="G411" s="96"/>
      <c r="H411" s="1004" t="s">
        <v>129</v>
      </c>
      <c r="I411" s="1004" t="s">
        <v>129</v>
      </c>
      <c r="J411" s="1004" t="s">
        <v>129</v>
      </c>
      <c r="K411" s="1004" t="s">
        <v>129</v>
      </c>
      <c r="L411" s="1004" t="s">
        <v>129</v>
      </c>
      <c r="M411" s="1004" t="s">
        <v>129</v>
      </c>
      <c r="N411" s="1004" t="s">
        <v>129</v>
      </c>
      <c r="O411" s="1004" t="s">
        <v>129</v>
      </c>
      <c r="P411" s="135"/>
      <c r="Q411" s="3"/>
      <c r="R411" s="1018"/>
      <c r="S411" s="3"/>
      <c r="T411" s="3"/>
      <c r="U411" s="3"/>
      <c r="V411" s="3"/>
      <c r="W411" s="3"/>
      <c r="X411" s="3"/>
      <c r="Y411" s="3"/>
      <c r="Z411" s="3"/>
      <c r="AA411" s="3"/>
      <c r="AB411" s="3"/>
      <c r="AC411" s="3"/>
    </row>
    <row r="412" spans="1:29" hidden="1" outlineLevel="1" x14ac:dyDescent="0.2">
      <c r="A412" s="3"/>
      <c r="B412" s="1019" t="s">
        <v>129</v>
      </c>
      <c r="C412" s="1003" t="s">
        <v>129</v>
      </c>
      <c r="D412" s="1003" t="s">
        <v>129</v>
      </c>
      <c r="E412" s="135"/>
      <c r="F412" s="3"/>
      <c r="G412" s="96"/>
      <c r="H412" s="1004" t="s">
        <v>129</v>
      </c>
      <c r="I412" s="1004" t="s">
        <v>129</v>
      </c>
      <c r="J412" s="1004" t="s">
        <v>129</v>
      </c>
      <c r="K412" s="1004" t="s">
        <v>129</v>
      </c>
      <c r="L412" s="1004" t="s">
        <v>129</v>
      </c>
      <c r="M412" s="1004" t="s">
        <v>129</v>
      </c>
      <c r="N412" s="1004" t="s">
        <v>129</v>
      </c>
      <c r="O412" s="1004" t="s">
        <v>129</v>
      </c>
      <c r="P412" s="135"/>
      <c r="Q412" s="3"/>
      <c r="R412" s="1018"/>
      <c r="S412" s="3"/>
      <c r="T412" s="3"/>
      <c r="U412" s="3"/>
      <c r="V412" s="3"/>
      <c r="W412" s="3"/>
      <c r="X412" s="3"/>
      <c r="Y412" s="3"/>
      <c r="Z412" s="3"/>
      <c r="AA412" s="3"/>
      <c r="AB412" s="3"/>
      <c r="AC412" s="3"/>
    </row>
    <row r="413" spans="1:29" hidden="1" outlineLevel="1" x14ac:dyDescent="0.2">
      <c r="A413" s="3"/>
      <c r="B413" s="1019" t="s">
        <v>129</v>
      </c>
      <c r="C413" s="1003" t="s">
        <v>129</v>
      </c>
      <c r="D413" s="1003" t="s">
        <v>129</v>
      </c>
      <c r="E413" s="135"/>
      <c r="F413" s="3"/>
      <c r="G413" s="96"/>
      <c r="H413" s="1004" t="s">
        <v>129</v>
      </c>
      <c r="I413" s="1004" t="s">
        <v>129</v>
      </c>
      <c r="J413" s="1004" t="s">
        <v>129</v>
      </c>
      <c r="K413" s="1004" t="s">
        <v>129</v>
      </c>
      <c r="L413" s="1004" t="s">
        <v>129</v>
      </c>
      <c r="M413" s="1004" t="s">
        <v>129</v>
      </c>
      <c r="N413" s="1004" t="s">
        <v>129</v>
      </c>
      <c r="O413" s="1004" t="s">
        <v>129</v>
      </c>
      <c r="P413" s="135"/>
      <c r="Q413" s="3"/>
      <c r="R413" s="1018"/>
      <c r="S413" s="3"/>
      <c r="T413" s="3"/>
      <c r="U413" s="3"/>
      <c r="V413" s="3"/>
      <c r="W413" s="3"/>
      <c r="X413" s="3"/>
      <c r="Y413" s="3"/>
      <c r="Z413" s="3"/>
      <c r="AA413" s="3"/>
      <c r="AB413" s="3"/>
      <c r="AC413" s="3"/>
    </row>
    <row r="414" spans="1:29" hidden="1" outlineLevel="1" x14ac:dyDescent="0.2">
      <c r="A414" s="3"/>
      <c r="B414" s="1019" t="s">
        <v>129</v>
      </c>
      <c r="C414" s="1003" t="s">
        <v>129</v>
      </c>
      <c r="D414" s="1003" t="s">
        <v>129</v>
      </c>
      <c r="E414" s="135"/>
      <c r="F414" s="3"/>
      <c r="G414" s="96"/>
      <c r="H414" s="1004" t="s">
        <v>129</v>
      </c>
      <c r="I414" s="1004" t="s">
        <v>129</v>
      </c>
      <c r="J414" s="1004" t="s">
        <v>129</v>
      </c>
      <c r="K414" s="1004" t="s">
        <v>129</v>
      </c>
      <c r="L414" s="1004" t="s">
        <v>129</v>
      </c>
      <c r="M414" s="1004" t="s">
        <v>129</v>
      </c>
      <c r="N414" s="1004" t="s">
        <v>129</v>
      </c>
      <c r="O414" s="1004" t="s">
        <v>129</v>
      </c>
      <c r="P414" s="135"/>
      <c r="Q414" s="3"/>
      <c r="R414" s="1018"/>
      <c r="S414" s="3"/>
      <c r="T414" s="3"/>
      <c r="U414" s="3"/>
      <c r="V414" s="3"/>
      <c r="W414" s="3"/>
      <c r="X414" s="3"/>
      <c r="Y414" s="3"/>
      <c r="Z414" s="3"/>
      <c r="AA414" s="3"/>
      <c r="AB414" s="3"/>
      <c r="AC414" s="3"/>
    </row>
    <row r="415" spans="1:29" hidden="1" outlineLevel="1" x14ac:dyDescent="0.2">
      <c r="A415" s="3"/>
      <c r="B415" s="1019" t="s">
        <v>129</v>
      </c>
      <c r="C415" s="1003" t="s">
        <v>129</v>
      </c>
      <c r="D415" s="1003" t="s">
        <v>129</v>
      </c>
      <c r="E415" s="135"/>
      <c r="F415" s="3"/>
      <c r="G415" s="96"/>
      <c r="H415" s="1004" t="s">
        <v>129</v>
      </c>
      <c r="I415" s="1004" t="s">
        <v>129</v>
      </c>
      <c r="J415" s="1004" t="s">
        <v>129</v>
      </c>
      <c r="K415" s="1004" t="s">
        <v>129</v>
      </c>
      <c r="L415" s="1004" t="s">
        <v>129</v>
      </c>
      <c r="M415" s="1004" t="s">
        <v>129</v>
      </c>
      <c r="N415" s="1004" t="s">
        <v>129</v>
      </c>
      <c r="O415" s="1004" t="s">
        <v>129</v>
      </c>
      <c r="P415" s="135"/>
      <c r="Q415" s="3"/>
      <c r="R415" s="1018"/>
      <c r="S415" s="3"/>
      <c r="T415" s="3"/>
      <c r="U415" s="3"/>
      <c r="V415" s="3"/>
      <c r="W415" s="3"/>
      <c r="X415" s="3"/>
      <c r="Y415" s="3"/>
      <c r="Z415" s="3"/>
      <c r="AA415" s="3"/>
      <c r="AB415" s="3"/>
      <c r="AC415" s="3"/>
    </row>
    <row r="416" spans="1:29" hidden="1" outlineLevel="1" x14ac:dyDescent="0.2">
      <c r="A416" s="3"/>
      <c r="B416" s="1019" t="s">
        <v>129</v>
      </c>
      <c r="C416" s="1003" t="s">
        <v>129</v>
      </c>
      <c r="D416" s="1003" t="s">
        <v>129</v>
      </c>
      <c r="E416" s="135"/>
      <c r="F416" s="3"/>
      <c r="G416" s="96"/>
      <c r="H416" s="1004" t="s">
        <v>129</v>
      </c>
      <c r="I416" s="1004" t="s">
        <v>129</v>
      </c>
      <c r="J416" s="1004" t="s">
        <v>129</v>
      </c>
      <c r="K416" s="1004" t="s">
        <v>129</v>
      </c>
      <c r="L416" s="1004" t="s">
        <v>129</v>
      </c>
      <c r="M416" s="1004" t="s">
        <v>129</v>
      </c>
      <c r="N416" s="1004" t="s">
        <v>129</v>
      </c>
      <c r="O416" s="1004" t="s">
        <v>129</v>
      </c>
      <c r="P416" s="135"/>
      <c r="Q416" s="3"/>
      <c r="R416" s="1018"/>
      <c r="S416" s="3"/>
      <c r="T416" s="3"/>
      <c r="U416" s="3"/>
      <c r="V416" s="3"/>
      <c r="W416" s="3"/>
      <c r="X416" s="3"/>
      <c r="Y416" s="3"/>
      <c r="Z416" s="3"/>
      <c r="AA416" s="3"/>
      <c r="AB416" s="3"/>
      <c r="AC416" s="3"/>
    </row>
    <row r="417" spans="1:29" hidden="1" outlineLevel="1" x14ac:dyDescent="0.2">
      <c r="A417" s="3"/>
      <c r="B417" s="1019" t="s">
        <v>129</v>
      </c>
      <c r="C417" s="1003" t="s">
        <v>129</v>
      </c>
      <c r="D417" s="1003" t="s">
        <v>129</v>
      </c>
      <c r="E417" s="135"/>
      <c r="F417" s="3"/>
      <c r="G417" s="96"/>
      <c r="H417" s="1004" t="s">
        <v>129</v>
      </c>
      <c r="I417" s="1004" t="s">
        <v>129</v>
      </c>
      <c r="J417" s="1004" t="s">
        <v>129</v>
      </c>
      <c r="K417" s="1004" t="s">
        <v>129</v>
      </c>
      <c r="L417" s="1004" t="s">
        <v>129</v>
      </c>
      <c r="M417" s="1004" t="s">
        <v>129</v>
      </c>
      <c r="N417" s="1004" t="s">
        <v>129</v>
      </c>
      <c r="O417" s="1004" t="s">
        <v>129</v>
      </c>
      <c r="P417" s="135"/>
      <c r="Q417" s="3"/>
      <c r="R417" s="1018"/>
      <c r="S417" s="3"/>
      <c r="T417" s="3"/>
      <c r="U417" s="3"/>
      <c r="V417" s="3"/>
      <c r="W417" s="3"/>
      <c r="X417" s="3"/>
      <c r="Y417" s="3"/>
      <c r="Z417" s="3"/>
      <c r="AA417" s="3"/>
      <c r="AB417" s="3"/>
      <c r="AC417" s="3"/>
    </row>
    <row r="418" spans="1:29" hidden="1" outlineLevel="1" x14ac:dyDescent="0.2">
      <c r="A418" s="3"/>
      <c r="B418" s="1019" t="s">
        <v>131</v>
      </c>
      <c r="C418" s="1001" t="s">
        <v>132</v>
      </c>
      <c r="D418" s="1003" t="s">
        <v>133</v>
      </c>
      <c r="E418" s="1020"/>
      <c r="F418" s="1020"/>
      <c r="G418" s="1020"/>
      <c r="H418" s="1004" t="s">
        <v>134</v>
      </c>
      <c r="I418" s="1002" t="s">
        <v>135</v>
      </c>
      <c r="J418" s="1002" t="s">
        <v>136</v>
      </c>
      <c r="K418" s="1002" t="s">
        <v>137</v>
      </c>
      <c r="L418" s="1002" t="s">
        <v>138</v>
      </c>
      <c r="M418" s="1002" t="s">
        <v>139</v>
      </c>
      <c r="N418" s="1002" t="s">
        <v>140</v>
      </c>
      <c r="O418" s="1002" t="s">
        <v>141</v>
      </c>
      <c r="P418" s="135"/>
      <c r="Q418" s="3"/>
      <c r="R418" s="1018"/>
      <c r="S418" s="3"/>
      <c r="T418" s="3"/>
      <c r="U418" s="3"/>
      <c r="V418" s="3"/>
      <c r="W418" s="3"/>
      <c r="X418" s="3"/>
      <c r="Y418" s="3"/>
      <c r="Z418" s="3"/>
      <c r="AA418" s="3"/>
      <c r="AB418" s="3"/>
      <c r="AC418" s="3"/>
    </row>
    <row r="419" spans="1:29" ht="12" hidden="1" outlineLevel="1" thickBot="1" x14ac:dyDescent="0.25">
      <c r="A419" s="3"/>
      <c r="B419" s="1021"/>
      <c r="C419" s="1022"/>
      <c r="D419" s="1022"/>
      <c r="E419" s="1023"/>
      <c r="F419" s="1024"/>
      <c r="G419" s="1025"/>
      <c r="H419" s="1026"/>
      <c r="I419" s="1026"/>
      <c r="J419" s="1026"/>
      <c r="K419" s="1026"/>
      <c r="L419" s="1026"/>
      <c r="M419" s="1026"/>
      <c r="N419" s="1026"/>
      <c r="O419" s="1026"/>
      <c r="P419" s="1023"/>
      <c r="Q419" s="1024"/>
      <c r="R419" s="1027"/>
      <c r="S419" s="3"/>
      <c r="T419" s="3"/>
      <c r="U419" s="3"/>
      <c r="V419" s="3"/>
      <c r="W419" s="3"/>
      <c r="X419" s="3"/>
      <c r="Y419" s="3"/>
      <c r="Z419" s="3"/>
      <c r="AA419" s="3"/>
      <c r="AB419" s="3"/>
      <c r="AC419" s="3"/>
    </row>
    <row r="420" spans="1:29" hidden="1" outlineLevel="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hidden="1" outlineLevel="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collapsed="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x14ac:dyDescent="0.2">
      <c r="A423" s="3"/>
      <c r="B423" s="619" t="str">
        <f>'WK6 - Expenditure Program'!$J$5</f>
        <v>WORKSHEET 6</v>
      </c>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ht="12" x14ac:dyDescent="0.25">
      <c r="A424" s="3"/>
      <c r="B424" s="620" t="str">
        <f>'WK6 - Expenditure Program'!J7</f>
        <v>PROPOSED ADDITIONAL SPECIAL VARIATION INCOME AND EXPENDITURE</v>
      </c>
      <c r="C424" s="3"/>
      <c r="D424" s="3"/>
      <c r="E424" s="3"/>
      <c r="F424" s="3"/>
      <c r="G424" s="3"/>
      <c r="H424" s="620" t="str">
        <f>'WK6 - Expenditure Program'!G26</f>
        <v>$ nominal per year</v>
      </c>
      <c r="I424" s="3"/>
      <c r="J424" s="3"/>
      <c r="K424" s="3"/>
      <c r="L424" s="3"/>
      <c r="M424" s="3"/>
      <c r="N424" s="3"/>
      <c r="O424" s="3"/>
      <c r="P424" s="3"/>
      <c r="Q424" s="3"/>
      <c r="R424" s="3"/>
      <c r="S424" s="3"/>
      <c r="T424" s="3"/>
      <c r="U424" s="3"/>
      <c r="V424" s="3"/>
      <c r="W424" s="3"/>
      <c r="X424" s="3"/>
      <c r="Y424" s="3"/>
      <c r="Z424" s="3"/>
      <c r="AA424" s="3"/>
      <c r="AB424" s="3"/>
      <c r="AC424" s="3"/>
    </row>
    <row r="425" spans="1:29" x14ac:dyDescent="0.2">
      <c r="A425" s="3"/>
      <c r="B425" s="1198" t="str">
        <f>B$51</f>
        <v>Year number</v>
      </c>
      <c r="C425" s="815"/>
      <c r="D425" s="918"/>
      <c r="E425" s="1201" t="str">
        <f t="shared" ref="E425:R425" si="8">E$51</f>
        <v>Hist yr 3</v>
      </c>
      <c r="F425" s="919" t="str">
        <f t="shared" si="8"/>
        <v>Hist yr 2</v>
      </c>
      <c r="G425" s="919" t="str">
        <f t="shared" si="8"/>
        <v>Hist yr 1</v>
      </c>
      <c r="H425" s="920" t="str">
        <f t="shared" si="8"/>
        <v>Year 0</v>
      </c>
      <c r="I425" s="1200" t="str">
        <f t="shared" si="8"/>
        <v>Year 1</v>
      </c>
      <c r="J425" s="872" t="str">
        <f t="shared" si="8"/>
        <v>Year 2</v>
      </c>
      <c r="K425" s="872" t="str">
        <f t="shared" si="8"/>
        <v>Year 3</v>
      </c>
      <c r="L425" s="872" t="str">
        <f t="shared" si="8"/>
        <v>Year 4</v>
      </c>
      <c r="M425" s="872" t="str">
        <f t="shared" si="8"/>
        <v>Year 5</v>
      </c>
      <c r="N425" s="872" t="str">
        <f t="shared" si="8"/>
        <v>Year 6</v>
      </c>
      <c r="O425" s="872" t="str">
        <f t="shared" si="8"/>
        <v>Year 7</v>
      </c>
      <c r="P425" s="872" t="str">
        <f t="shared" si="8"/>
        <v>Year 8</v>
      </c>
      <c r="Q425" s="872" t="str">
        <f t="shared" si="8"/>
        <v>Year 9</v>
      </c>
      <c r="R425" s="922" t="str">
        <f t="shared" si="8"/>
        <v>Year 10</v>
      </c>
      <c r="S425" s="1202" t="str">
        <f>'WK6 - Expenditure Program'!Q24</f>
        <v>Sum of 10 years</v>
      </c>
      <c r="T425" s="3"/>
      <c r="U425" s="3"/>
      <c r="V425" s="3"/>
      <c r="W425" s="3"/>
      <c r="X425" s="3"/>
      <c r="Y425" s="3"/>
      <c r="Z425" s="3"/>
      <c r="AA425" s="3"/>
      <c r="AB425" s="3"/>
      <c r="AC425" s="3"/>
    </row>
    <row r="426" spans="1:29" ht="12" x14ac:dyDescent="0.25">
      <c r="A426" s="3"/>
      <c r="B426" s="621" t="str">
        <f>B$52</f>
        <v>Financial year</v>
      </c>
      <c r="C426" s="93"/>
      <c r="D426" s="98"/>
      <c r="E426" s="622" t="str">
        <f t="shared" ref="E426:R426" si="9">E$52</f>
        <v>2019-20</v>
      </c>
      <c r="F426" s="623" t="str">
        <f t="shared" si="9"/>
        <v>2020-21</v>
      </c>
      <c r="G426" s="623" t="str">
        <f t="shared" si="9"/>
        <v>2021-22</v>
      </c>
      <c r="H426" s="624" t="str">
        <f t="shared" si="9"/>
        <v>2022-23</v>
      </c>
      <c r="I426" s="625" t="str">
        <f t="shared" si="9"/>
        <v>2023-24</v>
      </c>
      <c r="J426" s="626" t="str">
        <f t="shared" si="9"/>
        <v>2024-25</v>
      </c>
      <c r="K426" s="626" t="str">
        <f t="shared" si="9"/>
        <v>2025-26</v>
      </c>
      <c r="L426" s="626" t="str">
        <f t="shared" si="9"/>
        <v>2026-27</v>
      </c>
      <c r="M426" s="626" t="str">
        <f t="shared" si="9"/>
        <v>2027-28</v>
      </c>
      <c r="N426" s="626" t="str">
        <f t="shared" si="9"/>
        <v>2028-29</v>
      </c>
      <c r="O426" s="626" t="str">
        <f t="shared" si="9"/>
        <v>2029-30</v>
      </c>
      <c r="P426" s="626" t="str">
        <f t="shared" si="9"/>
        <v>2030-31</v>
      </c>
      <c r="Q426" s="626" t="str">
        <f t="shared" si="9"/>
        <v>2031-32</v>
      </c>
      <c r="R426" s="640" t="str">
        <f t="shared" si="9"/>
        <v>2032-33</v>
      </c>
      <c r="S426" s="155"/>
      <c r="T426" s="3"/>
      <c r="U426" s="3"/>
      <c r="V426" s="3"/>
      <c r="W426" s="3"/>
      <c r="X426" s="3"/>
      <c r="Y426" s="3"/>
      <c r="Z426" s="3"/>
      <c r="AA426" s="3"/>
      <c r="AB426" s="3"/>
      <c r="AC426" s="3"/>
    </row>
    <row r="427" spans="1:29" x14ac:dyDescent="0.2">
      <c r="A427" s="3"/>
      <c r="B427" s="135"/>
      <c r="C427" s="3"/>
      <c r="D427" s="3"/>
      <c r="E427" s="135"/>
      <c r="F427" s="3"/>
      <c r="G427" s="3"/>
      <c r="H427" s="96"/>
      <c r="I427" s="135"/>
      <c r="J427" s="3"/>
      <c r="K427" s="3"/>
      <c r="L427" s="3"/>
      <c r="M427" s="3"/>
      <c r="N427" s="3"/>
      <c r="O427" s="3"/>
      <c r="P427" s="3"/>
      <c r="Q427" s="3"/>
      <c r="R427" s="96"/>
      <c r="S427" s="278"/>
      <c r="T427" s="3"/>
      <c r="U427" s="3"/>
      <c r="V427" s="3"/>
      <c r="W427" s="3"/>
      <c r="X427" s="3"/>
      <c r="Y427" s="3"/>
      <c r="Z427" s="3"/>
      <c r="AA427" s="3"/>
      <c r="AB427" s="3"/>
      <c r="AC427" s="3"/>
    </row>
    <row r="428" spans="1:29" x14ac:dyDescent="0.2">
      <c r="A428" s="3"/>
      <c r="B428" s="135"/>
      <c r="C428" s="3"/>
      <c r="D428" s="3"/>
      <c r="E428" s="135"/>
      <c r="F428" s="3"/>
      <c r="G428" s="3"/>
      <c r="H428" s="96"/>
      <c r="I428" s="135"/>
      <c r="J428" s="3"/>
      <c r="K428" s="3"/>
      <c r="L428" s="3"/>
      <c r="M428" s="3"/>
      <c r="N428" s="3"/>
      <c r="O428" s="3"/>
      <c r="P428" s="3"/>
      <c r="Q428" s="3"/>
      <c r="R428" s="96"/>
      <c r="S428" s="278"/>
      <c r="T428" s="3"/>
      <c r="U428" s="3"/>
      <c r="V428" s="3"/>
      <c r="W428" s="3"/>
      <c r="X428" s="3"/>
      <c r="Y428" s="3"/>
      <c r="Z428" s="3"/>
      <c r="AA428" s="3"/>
      <c r="AB428" s="3"/>
      <c r="AC428" s="3"/>
    </row>
    <row r="429" spans="1:29" ht="12" x14ac:dyDescent="0.25">
      <c r="A429" s="3"/>
      <c r="B429" s="632" t="str">
        <f>'WK6 - Expenditure Program'!C27</f>
        <v>Proposed SV income above rate peg</v>
      </c>
      <c r="C429" s="3"/>
      <c r="D429" s="3"/>
      <c r="E429" s="135"/>
      <c r="F429" s="3"/>
      <c r="G429" s="3"/>
      <c r="H429" s="96"/>
      <c r="I429" s="208">
        <f>'WK6 - Expenditure Program'!G27</f>
        <v>3642725.216683507</v>
      </c>
      <c r="J429" s="324">
        <f>'WK6 - Expenditure Program'!H27</f>
        <v>7850831.7430397719</v>
      </c>
      <c r="K429" s="324">
        <f>'WK6 - Expenditure Program'!I27</f>
        <v>11587755.557123452</v>
      </c>
      <c r="L429" s="324">
        <f>'WK6 - Expenditure Program'!J27</f>
        <v>14705546.046182051</v>
      </c>
      <c r="M429" s="324">
        <f>'WK6 - Expenditure Program'!K27</f>
        <v>15073184.697336599</v>
      </c>
      <c r="N429" s="324">
        <f>'WK6 - Expenditure Program'!L27</f>
        <v>15450014.314770013</v>
      </c>
      <c r="O429" s="324">
        <f>'WK6 - Expenditure Program'!M27</f>
        <v>15836264.672639266</v>
      </c>
      <c r="P429" s="324">
        <f>'WK6 - Expenditure Program'!N27</f>
        <v>16232171.289455246</v>
      </c>
      <c r="Q429" s="324">
        <f>'WK6 - Expenditure Program'!O27</f>
        <v>16637975.571691627</v>
      </c>
      <c r="R429" s="645">
        <f>'WK6 - Expenditure Program'!P27</f>
        <v>17053924.960983917</v>
      </c>
      <c r="S429" s="658">
        <f>'WK6 - Expenditure Program'!Q27</f>
        <v>134070394.06990546</v>
      </c>
      <c r="T429" s="3"/>
      <c r="U429" s="3"/>
      <c r="V429" s="3"/>
      <c r="W429" s="3"/>
      <c r="X429" s="3"/>
      <c r="Y429" s="3"/>
      <c r="Z429" s="3"/>
      <c r="AA429" s="3"/>
      <c r="AB429" s="3"/>
      <c r="AC429" s="3"/>
    </row>
    <row r="430" spans="1:29" x14ac:dyDescent="0.2">
      <c r="A430" s="3"/>
      <c r="B430" s="630" t="str">
        <f>'WK6 - Expenditure Program'!C30</f>
        <v>Change in Operating Balance due to proposed SV</v>
      </c>
      <c r="C430" s="3"/>
      <c r="D430" s="3"/>
      <c r="E430" s="135"/>
      <c r="F430" s="3"/>
      <c r="G430" s="3"/>
      <c r="H430" s="96"/>
      <c r="I430" s="208">
        <f>'WK6 - Expenditure Program'!G30</f>
        <v>1628557.216683507</v>
      </c>
      <c r="J430" s="324">
        <f>'WK6 - Expenditure Program'!H30</f>
        <v>6076008.7430397719</v>
      </c>
      <c r="K430" s="324">
        <f>'WK6 - Expenditure Program'!I30</f>
        <v>7973160.3071234524</v>
      </c>
      <c r="L430" s="324">
        <f>'WK6 - Expenditure Program'!J30</f>
        <v>10493153.733682051</v>
      </c>
      <c r="M430" s="324">
        <f>'WK6 - Expenditure Program'!K30</f>
        <v>9159286.8692115992</v>
      </c>
      <c r="N430" s="324">
        <f>'WK6 - Expenditure Program'!L30</f>
        <v>9317978.5452387631</v>
      </c>
      <c r="O430" s="324">
        <f>'WK6 - Expenditure Program'!M30</f>
        <v>10911739.964631453</v>
      </c>
      <c r="P430" s="324">
        <f>'WK6 - Expenditure Program'!N30</f>
        <v>11357662.196047043</v>
      </c>
      <c r="Q430" s="324">
        <f>'WK6 - Expenditure Program'!O30</f>
        <v>11666190.023613013</v>
      </c>
      <c r="R430" s="645">
        <f>'WK6 - Expenditure Program'!P30</f>
        <v>11929976.785501372</v>
      </c>
      <c r="S430" s="658">
        <f>'WK6 - Expenditure Program'!Q30</f>
        <v>90513714.384772032</v>
      </c>
      <c r="T430" s="3"/>
      <c r="U430" s="3"/>
      <c r="V430" s="3"/>
      <c r="W430" s="3"/>
      <c r="X430" s="3"/>
      <c r="Y430" s="3"/>
      <c r="Z430" s="3"/>
      <c r="AA430" s="3"/>
      <c r="AB430" s="3"/>
      <c r="AC430" s="3"/>
    </row>
    <row r="431" spans="1:29" x14ac:dyDescent="0.2">
      <c r="A431" s="3"/>
      <c r="B431" s="135"/>
      <c r="C431" s="3"/>
      <c r="D431" s="3"/>
      <c r="E431" s="135"/>
      <c r="F431" s="3"/>
      <c r="G431" s="3"/>
      <c r="H431" s="96"/>
      <c r="I431" s="565"/>
      <c r="J431" s="77"/>
      <c r="K431" s="77"/>
      <c r="L431" s="77"/>
      <c r="M431" s="77"/>
      <c r="N431" s="77"/>
      <c r="O431" s="77"/>
      <c r="P431" s="77"/>
      <c r="Q431" s="77"/>
      <c r="R431" s="566"/>
      <c r="S431" s="278"/>
      <c r="T431" s="3"/>
      <c r="U431" s="3"/>
      <c r="V431" s="3"/>
      <c r="W431" s="3"/>
      <c r="X431" s="3"/>
      <c r="Y431" s="3"/>
      <c r="Z431" s="3"/>
      <c r="AA431" s="3"/>
      <c r="AB431" s="3"/>
      <c r="AC431" s="3"/>
    </row>
    <row r="432" spans="1:29" ht="12" x14ac:dyDescent="0.25">
      <c r="A432" s="3"/>
      <c r="B432" s="632" t="str">
        <f>'WK6 - Expenditure Program'!C32</f>
        <v>Operating expenses (including loan interest costs)</v>
      </c>
      <c r="C432" s="3"/>
      <c r="D432" s="3"/>
      <c r="E432" s="135"/>
      <c r="F432" s="3"/>
      <c r="G432" s="3"/>
      <c r="H432" s="96"/>
      <c r="I432" s="565"/>
      <c r="J432" s="77"/>
      <c r="K432" s="77"/>
      <c r="L432" s="77"/>
      <c r="M432" s="77"/>
      <c r="N432" s="77"/>
      <c r="O432" s="77"/>
      <c r="P432" s="77"/>
      <c r="Q432" s="77"/>
      <c r="R432" s="566"/>
      <c r="S432" s="278"/>
      <c r="T432" s="3"/>
      <c r="U432" s="3"/>
      <c r="V432" s="3"/>
      <c r="W432" s="3"/>
      <c r="X432" s="3"/>
      <c r="Y432" s="3"/>
      <c r="Z432" s="3"/>
      <c r="AA432" s="3"/>
      <c r="AB432" s="3"/>
      <c r="AC432" s="3"/>
    </row>
    <row r="433" spans="1:29" x14ac:dyDescent="0.2">
      <c r="A433" s="3"/>
      <c r="B433" s="630" t="str">
        <f>'WK6 - Expenditure Program'!C33</f>
        <v>Fund existing service levels (eg, libraries)</v>
      </c>
      <c r="C433" s="3"/>
      <c r="D433" s="3"/>
      <c r="E433" s="135"/>
      <c r="F433" s="3"/>
      <c r="G433" s="3"/>
      <c r="H433" s="96"/>
      <c r="I433" s="208"/>
      <c r="J433" s="324"/>
      <c r="K433" s="324"/>
      <c r="L433" s="324"/>
      <c r="M433" s="324"/>
      <c r="N433" s="324"/>
      <c r="O433" s="324"/>
      <c r="P433" s="324"/>
      <c r="Q433" s="324"/>
      <c r="R433" s="645"/>
      <c r="S433" s="658"/>
      <c r="T433" s="3"/>
      <c r="U433" s="3"/>
      <c r="V433" s="3"/>
      <c r="W433" s="3"/>
      <c r="X433" s="3"/>
      <c r="Y433" s="3"/>
      <c r="Z433" s="3"/>
      <c r="AA433" s="3"/>
      <c r="AB433" s="3"/>
      <c r="AC433" s="3"/>
    </row>
    <row r="434" spans="1:29" x14ac:dyDescent="0.2">
      <c r="A434" s="3"/>
      <c r="B434" s="334" t="str">
        <f>'WK6 - Expenditure Program'!C34</f>
        <v xml:space="preserve">Asset management funding gap </v>
      </c>
      <c r="C434" s="3"/>
      <c r="D434" s="3"/>
      <c r="E434" s="135"/>
      <c r="F434" s="3"/>
      <c r="G434" s="3"/>
      <c r="H434" s="96"/>
      <c r="I434" s="208">
        <f>'WK6 - Expenditure Program'!G34</f>
        <v>393000</v>
      </c>
      <c r="J434" s="324">
        <f>'WK6 - Expenditure Program'!H34</f>
        <v>21000</v>
      </c>
      <c r="K434" s="324">
        <f>'WK6 - Expenditure Program'!I34</f>
        <v>1029000</v>
      </c>
      <c r="L434" s="324">
        <f>'WK6 - Expenditure Program'!J34</f>
        <v>1514000</v>
      </c>
      <c r="M434" s="324">
        <f>'WK6 - Expenditure Program'!K34</f>
        <v>2537000</v>
      </c>
      <c r="N434" s="324">
        <f>'WK6 - Expenditure Program'!L34</f>
        <v>2669000</v>
      </c>
      <c r="O434" s="324">
        <f>'WK6 - Expenditure Program'!M34</f>
        <v>1372000</v>
      </c>
      <c r="P434" s="324">
        <f>'WK6 - Expenditure Program'!N34</f>
        <v>1479000</v>
      </c>
      <c r="Q434" s="324">
        <f>'WK6 - Expenditure Program'!O34</f>
        <v>1478000</v>
      </c>
      <c r="R434" s="324">
        <f>'WK6 - Expenditure Program'!P34</f>
        <v>1528000</v>
      </c>
      <c r="S434" s="658">
        <f>'WK6 - Expenditure Program'!Q34</f>
        <v>14020000</v>
      </c>
      <c r="T434" s="3"/>
      <c r="U434" s="3"/>
      <c r="V434" s="3"/>
      <c r="W434" s="3"/>
      <c r="X434" s="3"/>
      <c r="Y434" s="3"/>
      <c r="Z434" s="3"/>
      <c r="AA434" s="3"/>
      <c r="AB434" s="3"/>
      <c r="AC434" s="3"/>
    </row>
    <row r="435" spans="1:29" x14ac:dyDescent="0.2">
      <c r="A435" s="3"/>
      <c r="B435" s="334">
        <f>'WK6 - Expenditure Program'!C35</f>
        <v>0</v>
      </c>
      <c r="C435" s="3"/>
      <c r="D435" s="3"/>
      <c r="E435" s="135"/>
      <c r="F435" s="3"/>
      <c r="G435" s="3"/>
      <c r="H435" s="96"/>
      <c r="I435" s="208">
        <f>'WK6 - Expenditure Program'!G35</f>
        <v>0</v>
      </c>
      <c r="J435" s="324">
        <f>'WK6 - Expenditure Program'!H35</f>
        <v>0</v>
      </c>
      <c r="K435" s="324">
        <f>'WK6 - Expenditure Program'!I35</f>
        <v>0</v>
      </c>
      <c r="L435" s="324">
        <f>'WK6 - Expenditure Program'!J35</f>
        <v>0</v>
      </c>
      <c r="M435" s="324">
        <f>'WK6 - Expenditure Program'!K35</f>
        <v>0</v>
      </c>
      <c r="N435" s="324">
        <f>'WK6 - Expenditure Program'!L35</f>
        <v>0</v>
      </c>
      <c r="O435" s="324">
        <f>'WK6 - Expenditure Program'!M35</f>
        <v>0</v>
      </c>
      <c r="P435" s="324">
        <f>'WK6 - Expenditure Program'!N35</f>
        <v>0</v>
      </c>
      <c r="Q435" s="324">
        <f>'WK6 - Expenditure Program'!O35</f>
        <v>0</v>
      </c>
      <c r="R435" s="324">
        <f>'WK6 - Expenditure Program'!P35</f>
        <v>0</v>
      </c>
      <c r="S435" s="658">
        <f>'WK6 - Expenditure Program'!Q35</f>
        <v>0</v>
      </c>
      <c r="T435" s="3"/>
      <c r="U435" s="3"/>
      <c r="V435" s="3"/>
      <c r="W435" s="3"/>
      <c r="X435" s="3"/>
      <c r="Y435" s="3"/>
      <c r="Z435" s="3"/>
      <c r="AA435" s="3"/>
      <c r="AB435" s="3"/>
      <c r="AC435" s="3"/>
    </row>
    <row r="436" spans="1:29" x14ac:dyDescent="0.2">
      <c r="A436" s="3"/>
      <c r="B436" s="334">
        <f>'WK6 - Expenditure Program'!C36</f>
        <v>0</v>
      </c>
      <c r="C436" s="3"/>
      <c r="D436" s="3"/>
      <c r="E436" s="135"/>
      <c r="F436" s="3"/>
      <c r="G436" s="3"/>
      <c r="H436" s="96"/>
      <c r="I436" s="208">
        <f>'WK6 - Expenditure Program'!G36</f>
        <v>0</v>
      </c>
      <c r="J436" s="324">
        <f>'WK6 - Expenditure Program'!H36</f>
        <v>0</v>
      </c>
      <c r="K436" s="324">
        <f>'WK6 - Expenditure Program'!I36</f>
        <v>0</v>
      </c>
      <c r="L436" s="324">
        <f>'WK6 - Expenditure Program'!J36</f>
        <v>0</v>
      </c>
      <c r="M436" s="324">
        <f>'WK6 - Expenditure Program'!K36</f>
        <v>0</v>
      </c>
      <c r="N436" s="324">
        <f>'WK6 - Expenditure Program'!L36</f>
        <v>0</v>
      </c>
      <c r="O436" s="324">
        <f>'WK6 - Expenditure Program'!M36</f>
        <v>0</v>
      </c>
      <c r="P436" s="324">
        <f>'WK6 - Expenditure Program'!N36</f>
        <v>0</v>
      </c>
      <c r="Q436" s="324">
        <f>'WK6 - Expenditure Program'!O36</f>
        <v>0</v>
      </c>
      <c r="R436" s="324">
        <f>'WK6 - Expenditure Program'!P36</f>
        <v>0</v>
      </c>
      <c r="S436" s="658">
        <f>'WK6 - Expenditure Program'!Q36</f>
        <v>0</v>
      </c>
      <c r="T436" s="3"/>
      <c r="U436" s="3"/>
      <c r="V436" s="3"/>
      <c r="W436" s="3"/>
      <c r="X436" s="3"/>
      <c r="Y436" s="3"/>
      <c r="Z436" s="3"/>
      <c r="AA436" s="3"/>
      <c r="AB436" s="3"/>
      <c r="AC436" s="3"/>
    </row>
    <row r="437" spans="1:29" x14ac:dyDescent="0.2">
      <c r="A437" s="3"/>
      <c r="B437" s="334">
        <f>'WK6 - Expenditure Program'!C37</f>
        <v>0</v>
      </c>
      <c r="C437" s="3"/>
      <c r="D437" s="3"/>
      <c r="E437" s="135"/>
      <c r="F437" s="3"/>
      <c r="G437" s="3"/>
      <c r="H437" s="96"/>
      <c r="I437" s="208">
        <f>'WK6 - Expenditure Program'!G37</f>
        <v>0</v>
      </c>
      <c r="J437" s="324">
        <f>'WK6 - Expenditure Program'!H37</f>
        <v>0</v>
      </c>
      <c r="K437" s="324">
        <f>'WK6 - Expenditure Program'!I37</f>
        <v>0</v>
      </c>
      <c r="L437" s="324">
        <f>'WK6 - Expenditure Program'!J37</f>
        <v>0</v>
      </c>
      <c r="M437" s="324">
        <f>'WK6 - Expenditure Program'!K37</f>
        <v>0</v>
      </c>
      <c r="N437" s="324">
        <f>'WK6 - Expenditure Program'!L37</f>
        <v>0</v>
      </c>
      <c r="O437" s="324">
        <f>'WK6 - Expenditure Program'!M37</f>
        <v>0</v>
      </c>
      <c r="P437" s="324">
        <f>'WK6 - Expenditure Program'!N37</f>
        <v>0</v>
      </c>
      <c r="Q437" s="324">
        <f>'WK6 - Expenditure Program'!O37</f>
        <v>0</v>
      </c>
      <c r="R437" s="324">
        <f>'WK6 - Expenditure Program'!P37</f>
        <v>0</v>
      </c>
      <c r="S437" s="658">
        <f>'WK6 - Expenditure Program'!Q37</f>
        <v>0</v>
      </c>
      <c r="T437" s="3"/>
      <c r="U437" s="3"/>
      <c r="V437" s="3"/>
      <c r="W437" s="3"/>
      <c r="X437" s="3"/>
      <c r="Y437" s="3"/>
      <c r="Z437" s="3"/>
      <c r="AA437" s="3"/>
      <c r="AB437" s="3"/>
      <c r="AC437" s="3"/>
    </row>
    <row r="438" spans="1:29" x14ac:dyDescent="0.2">
      <c r="A438" s="3"/>
      <c r="B438" s="334">
        <f>'WK6 - Expenditure Program'!C38</f>
        <v>0</v>
      </c>
      <c r="C438" s="3"/>
      <c r="D438" s="3"/>
      <c r="E438" s="135"/>
      <c r="F438" s="3"/>
      <c r="G438" s="3"/>
      <c r="H438" s="96"/>
      <c r="I438" s="208">
        <f>'WK6 - Expenditure Program'!G38</f>
        <v>0</v>
      </c>
      <c r="J438" s="324">
        <f>'WK6 - Expenditure Program'!H38</f>
        <v>0</v>
      </c>
      <c r="K438" s="324">
        <f>'WK6 - Expenditure Program'!I38</f>
        <v>0</v>
      </c>
      <c r="L438" s="324">
        <f>'WK6 - Expenditure Program'!J38</f>
        <v>0</v>
      </c>
      <c r="M438" s="324">
        <f>'WK6 - Expenditure Program'!K38</f>
        <v>0</v>
      </c>
      <c r="N438" s="324">
        <f>'WK6 - Expenditure Program'!L38</f>
        <v>0</v>
      </c>
      <c r="O438" s="324">
        <f>'WK6 - Expenditure Program'!M38</f>
        <v>0</v>
      </c>
      <c r="P438" s="324">
        <f>'WK6 - Expenditure Program'!N38</f>
        <v>0</v>
      </c>
      <c r="Q438" s="324">
        <f>'WK6 - Expenditure Program'!O38</f>
        <v>0</v>
      </c>
      <c r="R438" s="324">
        <f>'WK6 - Expenditure Program'!P38</f>
        <v>0</v>
      </c>
      <c r="S438" s="658">
        <f>'WK6 - Expenditure Program'!Q38</f>
        <v>0</v>
      </c>
      <c r="T438" s="3"/>
      <c r="U438" s="3"/>
      <c r="V438" s="3"/>
      <c r="W438" s="3"/>
      <c r="X438" s="3"/>
      <c r="Y438" s="3"/>
      <c r="Z438" s="3"/>
      <c r="AA438" s="3"/>
      <c r="AB438" s="3"/>
      <c r="AC438" s="3"/>
    </row>
    <row r="439" spans="1:29" x14ac:dyDescent="0.2">
      <c r="A439" s="3"/>
      <c r="B439" s="334">
        <f>'WK6 - Expenditure Program'!C39</f>
        <v>0</v>
      </c>
      <c r="C439" s="3"/>
      <c r="D439" s="3"/>
      <c r="E439" s="135"/>
      <c r="F439" s="3"/>
      <c r="G439" s="3"/>
      <c r="H439" s="96"/>
      <c r="I439" s="208">
        <f>'WK6 - Expenditure Program'!G39</f>
        <v>0</v>
      </c>
      <c r="J439" s="324">
        <f>'WK6 - Expenditure Program'!H39</f>
        <v>0</v>
      </c>
      <c r="K439" s="324">
        <f>'WK6 - Expenditure Program'!I39</f>
        <v>0</v>
      </c>
      <c r="L439" s="324">
        <f>'WK6 - Expenditure Program'!J39</f>
        <v>0</v>
      </c>
      <c r="M439" s="324">
        <f>'WK6 - Expenditure Program'!K39</f>
        <v>0</v>
      </c>
      <c r="N439" s="324">
        <f>'WK6 - Expenditure Program'!L39</f>
        <v>0</v>
      </c>
      <c r="O439" s="324">
        <f>'WK6 - Expenditure Program'!M39</f>
        <v>0</v>
      </c>
      <c r="P439" s="324">
        <f>'WK6 - Expenditure Program'!N39</f>
        <v>0</v>
      </c>
      <c r="Q439" s="324">
        <f>'WK6 - Expenditure Program'!O39</f>
        <v>0</v>
      </c>
      <c r="R439" s="324">
        <f>'WK6 - Expenditure Program'!P39</f>
        <v>0</v>
      </c>
      <c r="S439" s="658">
        <f>'WK6 - Expenditure Program'!Q39</f>
        <v>0</v>
      </c>
      <c r="T439" s="3"/>
      <c r="U439" s="3"/>
      <c r="V439" s="3"/>
      <c r="W439" s="3"/>
      <c r="X439" s="3"/>
      <c r="Y439" s="3"/>
      <c r="Z439" s="3"/>
      <c r="AA439" s="3"/>
      <c r="AB439" s="3"/>
      <c r="AC439" s="3"/>
    </row>
    <row r="440" spans="1:29" x14ac:dyDescent="0.2">
      <c r="A440" s="3"/>
      <c r="B440" s="334">
        <f>'WK6 - Expenditure Program'!C40</f>
        <v>0</v>
      </c>
      <c r="C440" s="3"/>
      <c r="D440" s="3"/>
      <c r="E440" s="135"/>
      <c r="F440" s="3"/>
      <c r="G440" s="3"/>
      <c r="H440" s="96"/>
      <c r="I440" s="208">
        <f>'WK6 - Expenditure Program'!G40</f>
        <v>0</v>
      </c>
      <c r="J440" s="324">
        <f>'WK6 - Expenditure Program'!H40</f>
        <v>0</v>
      </c>
      <c r="K440" s="324">
        <f>'WK6 - Expenditure Program'!I40</f>
        <v>0</v>
      </c>
      <c r="L440" s="324">
        <f>'WK6 - Expenditure Program'!J40</f>
        <v>0</v>
      </c>
      <c r="M440" s="324">
        <f>'WK6 - Expenditure Program'!K40</f>
        <v>0</v>
      </c>
      <c r="N440" s="324">
        <f>'WK6 - Expenditure Program'!L40</f>
        <v>0</v>
      </c>
      <c r="O440" s="324">
        <f>'WK6 - Expenditure Program'!M40</f>
        <v>0</v>
      </c>
      <c r="P440" s="324">
        <f>'WK6 - Expenditure Program'!N40</f>
        <v>0</v>
      </c>
      <c r="Q440" s="324">
        <f>'WK6 - Expenditure Program'!O40</f>
        <v>0</v>
      </c>
      <c r="R440" s="324">
        <f>'WK6 - Expenditure Program'!P40</f>
        <v>0</v>
      </c>
      <c r="S440" s="658">
        <f>'WK6 - Expenditure Program'!Q40</f>
        <v>0</v>
      </c>
      <c r="T440" s="3"/>
      <c r="U440" s="3"/>
      <c r="V440" s="3"/>
      <c r="W440" s="3"/>
      <c r="X440" s="3"/>
      <c r="Y440" s="3"/>
      <c r="Z440" s="3"/>
      <c r="AA440" s="3"/>
      <c r="AB440" s="3"/>
      <c r="AC440" s="3"/>
    </row>
    <row r="441" spans="1:29" x14ac:dyDescent="0.2">
      <c r="A441" s="3"/>
      <c r="B441" s="334">
        <f>'WK6 - Expenditure Program'!C41</f>
        <v>0</v>
      </c>
      <c r="C441" s="3"/>
      <c r="D441" s="3"/>
      <c r="E441" s="135"/>
      <c r="F441" s="3"/>
      <c r="G441" s="3"/>
      <c r="H441" s="96"/>
      <c r="I441" s="208">
        <f>'WK6 - Expenditure Program'!G41</f>
        <v>0</v>
      </c>
      <c r="J441" s="324">
        <f>'WK6 - Expenditure Program'!H41</f>
        <v>0</v>
      </c>
      <c r="K441" s="324">
        <f>'WK6 - Expenditure Program'!I41</f>
        <v>0</v>
      </c>
      <c r="L441" s="324">
        <f>'WK6 - Expenditure Program'!J41</f>
        <v>0</v>
      </c>
      <c r="M441" s="324">
        <f>'WK6 - Expenditure Program'!K41</f>
        <v>0</v>
      </c>
      <c r="N441" s="324">
        <f>'WK6 - Expenditure Program'!L41</f>
        <v>0</v>
      </c>
      <c r="O441" s="324">
        <f>'WK6 - Expenditure Program'!M41</f>
        <v>0</v>
      </c>
      <c r="P441" s="324">
        <f>'WK6 - Expenditure Program'!N41</f>
        <v>0</v>
      </c>
      <c r="Q441" s="324">
        <f>'WK6 - Expenditure Program'!O41</f>
        <v>0</v>
      </c>
      <c r="R441" s="324">
        <f>'WK6 - Expenditure Program'!P41</f>
        <v>0</v>
      </c>
      <c r="S441" s="658">
        <f>'WK6 - Expenditure Program'!Q41</f>
        <v>0</v>
      </c>
      <c r="T441" s="3"/>
      <c r="U441" s="3"/>
      <c r="V441" s="3"/>
      <c r="W441" s="3"/>
      <c r="X441" s="3"/>
      <c r="Y441" s="3"/>
      <c r="Z441" s="3"/>
      <c r="AA441" s="3"/>
      <c r="AB441" s="3"/>
      <c r="AC441" s="3"/>
    </row>
    <row r="442" spans="1:29" x14ac:dyDescent="0.2">
      <c r="A442" s="3"/>
      <c r="B442" s="334">
        <f>'WK6 - Expenditure Program'!C42</f>
        <v>0</v>
      </c>
      <c r="C442" s="3"/>
      <c r="D442" s="3"/>
      <c r="E442" s="135"/>
      <c r="F442" s="3"/>
      <c r="G442" s="3"/>
      <c r="H442" s="96"/>
      <c r="I442" s="208">
        <f>'WK6 - Expenditure Program'!G42</f>
        <v>0</v>
      </c>
      <c r="J442" s="324">
        <f>'WK6 - Expenditure Program'!H42</f>
        <v>0</v>
      </c>
      <c r="K442" s="324">
        <f>'WK6 - Expenditure Program'!I42</f>
        <v>0</v>
      </c>
      <c r="L442" s="324">
        <f>'WK6 - Expenditure Program'!J42</f>
        <v>0</v>
      </c>
      <c r="M442" s="324">
        <f>'WK6 - Expenditure Program'!K42</f>
        <v>0</v>
      </c>
      <c r="N442" s="324">
        <f>'WK6 - Expenditure Program'!L42</f>
        <v>0</v>
      </c>
      <c r="O442" s="324">
        <f>'WK6 - Expenditure Program'!M42</f>
        <v>0</v>
      </c>
      <c r="P442" s="324">
        <f>'WK6 - Expenditure Program'!N42</f>
        <v>0</v>
      </c>
      <c r="Q442" s="324">
        <f>'WK6 - Expenditure Program'!O42</f>
        <v>0</v>
      </c>
      <c r="R442" s="324">
        <f>'WK6 - Expenditure Program'!P42</f>
        <v>0</v>
      </c>
      <c r="S442" s="658">
        <f>'WK6 - Expenditure Program'!Q42</f>
        <v>0</v>
      </c>
      <c r="T442" s="3"/>
      <c r="U442" s="3"/>
      <c r="V442" s="3"/>
      <c r="W442" s="3"/>
      <c r="X442" s="3"/>
      <c r="Y442" s="3"/>
      <c r="Z442" s="3"/>
      <c r="AA442" s="3"/>
      <c r="AB442" s="3"/>
      <c r="AC442" s="3"/>
    </row>
    <row r="443" spans="1:29" x14ac:dyDescent="0.2">
      <c r="A443" s="3"/>
      <c r="B443" s="334">
        <f>'WK6 - Expenditure Program'!C43</f>
        <v>0</v>
      </c>
      <c r="C443" s="3"/>
      <c r="D443" s="3"/>
      <c r="E443" s="135"/>
      <c r="F443" s="3"/>
      <c r="G443" s="3"/>
      <c r="H443" s="96"/>
      <c r="I443" s="208">
        <f>'WK6 - Expenditure Program'!G43</f>
        <v>0</v>
      </c>
      <c r="J443" s="324">
        <f>'WK6 - Expenditure Program'!H43</f>
        <v>0</v>
      </c>
      <c r="K443" s="324">
        <f>'WK6 - Expenditure Program'!I43</f>
        <v>0</v>
      </c>
      <c r="L443" s="324">
        <f>'WK6 - Expenditure Program'!J43</f>
        <v>0</v>
      </c>
      <c r="M443" s="324">
        <f>'WK6 - Expenditure Program'!K43</f>
        <v>0</v>
      </c>
      <c r="N443" s="324">
        <f>'WK6 - Expenditure Program'!L43</f>
        <v>0</v>
      </c>
      <c r="O443" s="324">
        <f>'WK6 - Expenditure Program'!M43</f>
        <v>0</v>
      </c>
      <c r="P443" s="324">
        <f>'WK6 - Expenditure Program'!N43</f>
        <v>0</v>
      </c>
      <c r="Q443" s="324">
        <f>'WK6 - Expenditure Program'!O43</f>
        <v>0</v>
      </c>
      <c r="R443" s="324">
        <f>'WK6 - Expenditure Program'!P43</f>
        <v>0</v>
      </c>
      <c r="S443" s="658">
        <f>'WK6 - Expenditure Program'!Q43</f>
        <v>0</v>
      </c>
      <c r="T443" s="3"/>
      <c r="U443" s="3"/>
      <c r="V443" s="3"/>
      <c r="W443" s="3"/>
      <c r="X443" s="3"/>
      <c r="Y443" s="3"/>
      <c r="Z443" s="3"/>
      <c r="AA443" s="3"/>
      <c r="AB443" s="3"/>
      <c r="AC443" s="3"/>
    </row>
    <row r="444" spans="1:29" x14ac:dyDescent="0.2">
      <c r="A444" s="3"/>
      <c r="B444" s="334">
        <f>'WK6 - Expenditure Program'!C44</f>
        <v>0</v>
      </c>
      <c r="C444" s="3"/>
      <c r="D444" s="3"/>
      <c r="E444" s="135"/>
      <c r="F444" s="3"/>
      <c r="G444" s="3"/>
      <c r="H444" s="96"/>
      <c r="I444" s="208">
        <f>'WK6 - Expenditure Program'!G44</f>
        <v>0</v>
      </c>
      <c r="J444" s="324">
        <f>'WK6 - Expenditure Program'!H44</f>
        <v>0</v>
      </c>
      <c r="K444" s="324">
        <f>'WK6 - Expenditure Program'!I44</f>
        <v>0</v>
      </c>
      <c r="L444" s="324">
        <f>'WK6 - Expenditure Program'!J44</f>
        <v>0</v>
      </c>
      <c r="M444" s="324">
        <f>'WK6 - Expenditure Program'!K44</f>
        <v>0</v>
      </c>
      <c r="N444" s="324">
        <f>'WK6 - Expenditure Program'!L44</f>
        <v>0</v>
      </c>
      <c r="O444" s="324">
        <f>'WK6 - Expenditure Program'!M44</f>
        <v>0</v>
      </c>
      <c r="P444" s="324">
        <f>'WK6 - Expenditure Program'!N44</f>
        <v>0</v>
      </c>
      <c r="Q444" s="324">
        <f>'WK6 - Expenditure Program'!O44</f>
        <v>0</v>
      </c>
      <c r="R444" s="324">
        <f>'WK6 - Expenditure Program'!P44</f>
        <v>0</v>
      </c>
      <c r="S444" s="658">
        <f>'WK6 - Expenditure Program'!Q44</f>
        <v>0</v>
      </c>
      <c r="T444" s="3"/>
      <c r="U444" s="3"/>
      <c r="V444" s="3"/>
      <c r="W444" s="3"/>
      <c r="X444" s="3"/>
      <c r="Y444" s="3"/>
      <c r="Z444" s="3"/>
      <c r="AA444" s="3"/>
      <c r="AB444" s="3"/>
      <c r="AC444" s="3"/>
    </row>
    <row r="445" spans="1:29" x14ac:dyDescent="0.2">
      <c r="A445" s="3"/>
      <c r="B445" s="334">
        <f>'WK6 - Expenditure Program'!C45</f>
        <v>0</v>
      </c>
      <c r="C445" s="3"/>
      <c r="D445" s="3"/>
      <c r="E445" s="135"/>
      <c r="F445" s="3"/>
      <c r="G445" s="3"/>
      <c r="H445" s="96"/>
      <c r="I445" s="208">
        <f>'WK6 - Expenditure Program'!G45</f>
        <v>0</v>
      </c>
      <c r="J445" s="324">
        <f>'WK6 - Expenditure Program'!H45</f>
        <v>0</v>
      </c>
      <c r="K445" s="324">
        <f>'WK6 - Expenditure Program'!I45</f>
        <v>0</v>
      </c>
      <c r="L445" s="324">
        <f>'WK6 - Expenditure Program'!J45</f>
        <v>0</v>
      </c>
      <c r="M445" s="324">
        <f>'WK6 - Expenditure Program'!K45</f>
        <v>0</v>
      </c>
      <c r="N445" s="324">
        <f>'WK6 - Expenditure Program'!L45</f>
        <v>0</v>
      </c>
      <c r="O445" s="324">
        <f>'WK6 - Expenditure Program'!M45</f>
        <v>0</v>
      </c>
      <c r="P445" s="324">
        <f>'WK6 - Expenditure Program'!N45</f>
        <v>0</v>
      </c>
      <c r="Q445" s="324">
        <f>'WK6 - Expenditure Program'!O45</f>
        <v>0</v>
      </c>
      <c r="R445" s="324">
        <f>'WK6 - Expenditure Program'!P45</f>
        <v>0</v>
      </c>
      <c r="S445" s="658">
        <f>'WK6 - Expenditure Program'!Q45</f>
        <v>0</v>
      </c>
      <c r="T445" s="3"/>
      <c r="U445" s="3"/>
      <c r="V445" s="3"/>
      <c r="W445" s="3"/>
      <c r="X445" s="3"/>
      <c r="Y445" s="3"/>
      <c r="Z445" s="3"/>
      <c r="AA445" s="3"/>
      <c r="AB445" s="3"/>
      <c r="AC445" s="3"/>
    </row>
    <row r="446" spans="1:29" x14ac:dyDescent="0.2">
      <c r="A446" s="3"/>
      <c r="B446" s="334">
        <f>'WK6 - Expenditure Program'!C46</f>
        <v>0</v>
      </c>
      <c r="C446" s="3"/>
      <c r="D446" s="3"/>
      <c r="E446" s="135"/>
      <c r="F446" s="3"/>
      <c r="G446" s="3"/>
      <c r="H446" s="96"/>
      <c r="I446" s="208">
        <f>'WK6 - Expenditure Program'!G46</f>
        <v>0</v>
      </c>
      <c r="J446" s="324">
        <f>'WK6 - Expenditure Program'!H46</f>
        <v>0</v>
      </c>
      <c r="K446" s="324">
        <f>'WK6 - Expenditure Program'!I46</f>
        <v>0</v>
      </c>
      <c r="L446" s="324">
        <f>'WK6 - Expenditure Program'!J46</f>
        <v>0</v>
      </c>
      <c r="M446" s="324">
        <f>'WK6 - Expenditure Program'!K46</f>
        <v>0</v>
      </c>
      <c r="N446" s="324">
        <f>'WK6 - Expenditure Program'!L46</f>
        <v>0</v>
      </c>
      <c r="O446" s="324">
        <f>'WK6 - Expenditure Program'!M46</f>
        <v>0</v>
      </c>
      <c r="P446" s="324">
        <f>'WK6 - Expenditure Program'!N46</f>
        <v>0</v>
      </c>
      <c r="Q446" s="324">
        <f>'WK6 - Expenditure Program'!O46</f>
        <v>0</v>
      </c>
      <c r="R446" s="324">
        <f>'WK6 - Expenditure Program'!P46</f>
        <v>0</v>
      </c>
      <c r="S446" s="658">
        <f>'WK6 - Expenditure Program'!Q46</f>
        <v>0</v>
      </c>
      <c r="T446" s="3"/>
      <c r="U446" s="3"/>
      <c r="V446" s="3"/>
      <c r="W446" s="3"/>
      <c r="X446" s="3"/>
      <c r="Y446" s="3"/>
      <c r="Z446" s="3"/>
      <c r="AA446" s="3"/>
      <c r="AB446" s="3"/>
      <c r="AC446" s="3"/>
    </row>
    <row r="447" spans="1:29" x14ac:dyDescent="0.2">
      <c r="A447" s="3"/>
      <c r="B447" s="334">
        <f>'WK6 - Expenditure Program'!C47</f>
        <v>0</v>
      </c>
      <c r="C447" s="3"/>
      <c r="D447" s="3"/>
      <c r="E447" s="135"/>
      <c r="F447" s="3"/>
      <c r="G447" s="3"/>
      <c r="H447" s="96"/>
      <c r="I447" s="208">
        <f>'WK6 - Expenditure Program'!G47</f>
        <v>0</v>
      </c>
      <c r="J447" s="324">
        <f>'WK6 - Expenditure Program'!H47</f>
        <v>0</v>
      </c>
      <c r="K447" s="324">
        <f>'WK6 - Expenditure Program'!I47</f>
        <v>0</v>
      </c>
      <c r="L447" s="324">
        <f>'WK6 - Expenditure Program'!J47</f>
        <v>0</v>
      </c>
      <c r="M447" s="324">
        <f>'WK6 - Expenditure Program'!K47</f>
        <v>0</v>
      </c>
      <c r="N447" s="324">
        <f>'WK6 - Expenditure Program'!L47</f>
        <v>0</v>
      </c>
      <c r="O447" s="324">
        <f>'WK6 - Expenditure Program'!M47</f>
        <v>0</v>
      </c>
      <c r="P447" s="324">
        <f>'WK6 - Expenditure Program'!N47</f>
        <v>0</v>
      </c>
      <c r="Q447" s="324">
        <f>'WK6 - Expenditure Program'!O47</f>
        <v>0</v>
      </c>
      <c r="R447" s="324">
        <f>'WK6 - Expenditure Program'!P47</f>
        <v>0</v>
      </c>
      <c r="S447" s="658">
        <f>'WK6 - Expenditure Program'!Q47</f>
        <v>0</v>
      </c>
      <c r="T447" s="3"/>
      <c r="U447" s="3"/>
      <c r="V447" s="3"/>
      <c r="W447" s="3"/>
      <c r="X447" s="3"/>
      <c r="Y447" s="3"/>
      <c r="Z447" s="3"/>
      <c r="AA447" s="3"/>
      <c r="AB447" s="3"/>
      <c r="AC447" s="3"/>
    </row>
    <row r="448" spans="1:29" x14ac:dyDescent="0.2">
      <c r="A448" s="3"/>
      <c r="B448" s="334">
        <f>'WK6 - Expenditure Program'!C48</f>
        <v>0</v>
      </c>
      <c r="C448" s="3"/>
      <c r="D448" s="3"/>
      <c r="E448" s="135"/>
      <c r="F448" s="3"/>
      <c r="G448" s="3"/>
      <c r="H448" s="96"/>
      <c r="I448" s="208">
        <f>'WK6 - Expenditure Program'!G48</f>
        <v>0</v>
      </c>
      <c r="J448" s="324">
        <f>'WK6 - Expenditure Program'!H48</f>
        <v>0</v>
      </c>
      <c r="K448" s="324">
        <f>'WK6 - Expenditure Program'!I48</f>
        <v>0</v>
      </c>
      <c r="L448" s="324">
        <f>'WK6 - Expenditure Program'!J48</f>
        <v>0</v>
      </c>
      <c r="M448" s="324">
        <f>'WK6 - Expenditure Program'!K48</f>
        <v>0</v>
      </c>
      <c r="N448" s="324">
        <f>'WK6 - Expenditure Program'!L48</f>
        <v>0</v>
      </c>
      <c r="O448" s="324">
        <f>'WK6 - Expenditure Program'!M48</f>
        <v>0</v>
      </c>
      <c r="P448" s="324">
        <f>'WK6 - Expenditure Program'!N48</f>
        <v>0</v>
      </c>
      <c r="Q448" s="324">
        <f>'WK6 - Expenditure Program'!O48</f>
        <v>0</v>
      </c>
      <c r="R448" s="324">
        <f>'WK6 - Expenditure Program'!P48</f>
        <v>0</v>
      </c>
      <c r="S448" s="658">
        <f>'WK6 - Expenditure Program'!Q48</f>
        <v>0</v>
      </c>
      <c r="T448" s="3"/>
      <c r="U448" s="3"/>
      <c r="V448" s="3"/>
      <c r="W448" s="3"/>
      <c r="X448" s="3"/>
      <c r="Y448" s="3"/>
      <c r="Z448" s="3"/>
      <c r="AA448" s="3"/>
      <c r="AB448" s="3"/>
      <c r="AC448" s="3"/>
    </row>
    <row r="449" spans="1:29" x14ac:dyDescent="0.2">
      <c r="A449" s="3"/>
      <c r="B449" s="750" t="str">
        <f>'WK6 - Expenditure Program'!C49</f>
        <v>Fund new/enhanced service levels (eg, sustainability program)</v>
      </c>
      <c r="C449" s="3"/>
      <c r="D449" s="3"/>
      <c r="E449" s="135"/>
      <c r="F449" s="3"/>
      <c r="G449" s="3"/>
      <c r="H449" s="96"/>
      <c r="I449" s="208"/>
      <c r="J449" s="324"/>
      <c r="K449" s="324"/>
      <c r="L449" s="324"/>
      <c r="M449" s="324"/>
      <c r="N449" s="324"/>
      <c r="O449" s="324"/>
      <c r="P449" s="324"/>
      <c r="Q449" s="324"/>
      <c r="R449" s="645"/>
      <c r="S449" s="658">
        <f>SUM('WK6 - Expenditure Program'!Q50:Q64)</f>
        <v>29536679.685133424</v>
      </c>
      <c r="T449" s="3"/>
      <c r="U449" s="3"/>
      <c r="V449" s="3"/>
      <c r="W449" s="3"/>
      <c r="X449" s="3"/>
      <c r="Y449" s="3"/>
      <c r="Z449" s="3"/>
      <c r="AA449" s="3"/>
      <c r="AB449" s="3"/>
      <c r="AC449" s="3"/>
    </row>
    <row r="450" spans="1:29" x14ac:dyDescent="0.2">
      <c r="A450" s="3"/>
      <c r="B450" s="334" t="str">
        <f>'WK6 - Expenditure Program'!C50</f>
        <v>Community climate change mitigation and adaptation</v>
      </c>
      <c r="C450" s="3"/>
      <c r="D450" s="3"/>
      <c r="E450" s="135"/>
      <c r="F450" s="3"/>
      <c r="G450" s="3"/>
      <c r="H450" s="96"/>
      <c r="I450" s="208">
        <f>'WK6 - Expenditure Program'!G50</f>
        <v>160000</v>
      </c>
      <c r="J450" s="324">
        <f>'WK6 - Expenditure Program'!H50</f>
        <v>160000</v>
      </c>
      <c r="K450" s="324">
        <f>'WK6 - Expenditure Program'!I50</f>
        <v>160000</v>
      </c>
      <c r="L450" s="324">
        <f>'WK6 - Expenditure Program'!J50</f>
        <v>0</v>
      </c>
      <c r="M450" s="324">
        <f>'WK6 - Expenditure Program'!K50</f>
        <v>0</v>
      </c>
      <c r="N450" s="324">
        <f>'WK6 - Expenditure Program'!L50</f>
        <v>0</v>
      </c>
      <c r="O450" s="324">
        <f>'WK6 - Expenditure Program'!M50</f>
        <v>0</v>
      </c>
      <c r="P450" s="324">
        <f>'WK6 - Expenditure Program'!N50</f>
        <v>0</v>
      </c>
      <c r="Q450" s="324">
        <f>'WK6 - Expenditure Program'!O50</f>
        <v>0</v>
      </c>
      <c r="R450" s="324">
        <f>'WK6 - Expenditure Program'!P50</f>
        <v>0</v>
      </c>
      <c r="S450" s="658">
        <f>'WK6 - Expenditure Program'!Q50</f>
        <v>480000</v>
      </c>
      <c r="T450" s="3"/>
      <c r="U450" s="3"/>
      <c r="V450" s="3"/>
      <c r="W450" s="3"/>
      <c r="X450" s="3"/>
      <c r="Y450" s="3"/>
      <c r="Z450" s="3"/>
      <c r="AA450" s="3"/>
      <c r="AB450" s="3"/>
      <c r="AC450" s="3"/>
    </row>
    <row r="451" spans="1:29" x14ac:dyDescent="0.2">
      <c r="A451" s="3"/>
      <c r="B451" s="334" t="str">
        <f>'WK6 - Expenditure Program'!C51</f>
        <v>Enhance Cyber Security maturity</v>
      </c>
      <c r="C451" s="3"/>
      <c r="D451" s="3"/>
      <c r="E451" s="135"/>
      <c r="F451" s="3"/>
      <c r="G451" s="3"/>
      <c r="H451" s="96"/>
      <c r="I451" s="208">
        <f>'WK6 - Expenditure Program'!G51</f>
        <v>250000</v>
      </c>
      <c r="J451" s="324">
        <f>'WK6 - Expenditure Program'!H51</f>
        <v>100000</v>
      </c>
      <c r="K451" s="324">
        <f>'WK6 - Expenditure Program'!I51</f>
        <v>100000</v>
      </c>
      <c r="L451" s="324">
        <f>'WK6 - Expenditure Program'!J51</f>
        <v>100000</v>
      </c>
      <c r="M451" s="324">
        <f>'WK6 - Expenditure Program'!K51</f>
        <v>100000</v>
      </c>
      <c r="N451" s="324">
        <f>'WK6 - Expenditure Program'!L51</f>
        <v>100000</v>
      </c>
      <c r="O451" s="324">
        <f>'WK6 - Expenditure Program'!M51</f>
        <v>100000</v>
      </c>
      <c r="P451" s="324">
        <f>'WK6 - Expenditure Program'!N51</f>
        <v>100000</v>
      </c>
      <c r="Q451" s="324">
        <f>'WK6 - Expenditure Program'!O51</f>
        <v>100000</v>
      </c>
      <c r="R451" s="324">
        <f>'WK6 - Expenditure Program'!P51</f>
        <v>100000</v>
      </c>
      <c r="S451" s="658">
        <f>'WK6 - Expenditure Program'!Q51</f>
        <v>1150000</v>
      </c>
      <c r="T451" s="3"/>
      <c r="U451" s="3"/>
      <c r="V451" s="3"/>
      <c r="W451" s="3"/>
      <c r="X451" s="3"/>
      <c r="Y451" s="3"/>
      <c r="Z451" s="3"/>
      <c r="AA451" s="3"/>
      <c r="AB451" s="3"/>
      <c r="AC451" s="3"/>
    </row>
    <row r="452" spans="1:29" x14ac:dyDescent="0.2">
      <c r="A452" s="3"/>
      <c r="B452" s="334" t="str">
        <f>'WK6 - Expenditure Program'!C52</f>
        <v xml:space="preserve">Track and trail asset management </v>
      </c>
      <c r="C452" s="3"/>
      <c r="D452" s="3"/>
      <c r="E452" s="135"/>
      <c r="F452" s="3"/>
      <c r="G452" s="3"/>
      <c r="H452" s="96"/>
      <c r="I452" s="208">
        <f>'WK6 - Expenditure Program'!G52</f>
        <v>62500</v>
      </c>
      <c r="J452" s="324">
        <f>'WK6 - Expenditure Program'!H52</f>
        <v>65625</v>
      </c>
      <c r="K452" s="324">
        <f>'WK6 - Expenditure Program'!I52</f>
        <v>68906.25</v>
      </c>
      <c r="L452" s="324">
        <f>'WK6 - Expenditure Program'!J52</f>
        <v>72351.5625</v>
      </c>
      <c r="M452" s="324">
        <f>'WK6 - Expenditure Program'!K52</f>
        <v>75969.140625</v>
      </c>
      <c r="N452" s="324">
        <f>'WK6 - Expenditure Program'!L52</f>
        <v>79767.59765625</v>
      </c>
      <c r="O452" s="324">
        <f>'WK6 - Expenditure Program'!M52</f>
        <v>83755.9775390625</v>
      </c>
      <c r="P452" s="324">
        <f>'WK6 - Expenditure Program'!N52</f>
        <v>87943.776416015622</v>
      </c>
      <c r="Q452" s="324">
        <f>'WK6 - Expenditure Program'!O52</f>
        <v>92340.96523681641</v>
      </c>
      <c r="R452" s="324">
        <f>'WK6 - Expenditure Program'!P52</f>
        <v>96958.013498657238</v>
      </c>
      <c r="S452" s="658">
        <f>'WK6 - Expenditure Program'!Q52</f>
        <v>786118.28347180178</v>
      </c>
      <c r="T452" s="3"/>
      <c r="U452" s="3"/>
      <c r="V452" s="3"/>
      <c r="W452" s="3"/>
      <c r="X452" s="3"/>
      <c r="Y452" s="3"/>
      <c r="Z452" s="3"/>
      <c r="AA452" s="3"/>
      <c r="AB452" s="3"/>
      <c r="AC452" s="3"/>
    </row>
    <row r="453" spans="1:29" x14ac:dyDescent="0.2">
      <c r="A453" s="3"/>
      <c r="B453" s="334" t="str">
        <f>'WK6 - Expenditure Program'!C53</f>
        <v>Pennant Hills Town Centre Review</v>
      </c>
      <c r="C453" s="3"/>
      <c r="D453" s="3"/>
      <c r="E453" s="135"/>
      <c r="F453" s="3"/>
      <c r="G453" s="3"/>
      <c r="H453" s="96"/>
      <c r="I453" s="208">
        <f>'WK6 - Expenditure Program'!G53</f>
        <v>0</v>
      </c>
      <c r="J453" s="324">
        <f>'WK6 - Expenditure Program'!H53</f>
        <v>0</v>
      </c>
      <c r="K453" s="324">
        <f>'WK6 - Expenditure Program'!I53</f>
        <v>0</v>
      </c>
      <c r="L453" s="324">
        <f>'WK6 - Expenditure Program'!J53</f>
        <v>250000</v>
      </c>
      <c r="M453" s="324">
        <f>'WK6 - Expenditure Program'!K53</f>
        <v>250000</v>
      </c>
      <c r="N453" s="324">
        <f>'WK6 - Expenditure Program'!L53</f>
        <v>250000</v>
      </c>
      <c r="O453" s="324">
        <f>'WK6 - Expenditure Program'!M53</f>
        <v>250000</v>
      </c>
      <c r="P453" s="324">
        <f>'WK6 - Expenditure Program'!N53</f>
        <v>0</v>
      </c>
      <c r="Q453" s="324">
        <f>'WK6 - Expenditure Program'!O53</f>
        <v>0</v>
      </c>
      <c r="R453" s="324">
        <f>'WK6 - Expenditure Program'!P53</f>
        <v>0</v>
      </c>
      <c r="S453" s="658">
        <f>'WK6 - Expenditure Program'!Q53</f>
        <v>1000000</v>
      </c>
      <c r="T453" s="3"/>
      <c r="U453" s="3"/>
      <c r="V453" s="3"/>
      <c r="W453" s="3"/>
      <c r="X453" s="3"/>
      <c r="Y453" s="3"/>
      <c r="Z453" s="3"/>
      <c r="AA453" s="3"/>
      <c r="AB453" s="3"/>
      <c r="AC453" s="3"/>
    </row>
    <row r="454" spans="1:29" x14ac:dyDescent="0.2">
      <c r="A454" s="3"/>
      <c r="B454" s="334" t="str">
        <f>'WK6 - Expenditure Program'!C54</f>
        <v>Bushfire risk mitigation</v>
      </c>
      <c r="C454" s="3"/>
      <c r="D454" s="3"/>
      <c r="E454" s="135"/>
      <c r="F454" s="3"/>
      <c r="G454" s="3"/>
      <c r="H454" s="96"/>
      <c r="I454" s="208">
        <f>'WK6 - Expenditure Program'!G54</f>
        <v>318668</v>
      </c>
      <c r="J454" s="324">
        <f>'WK6 - Expenditure Program'!H54</f>
        <v>560698</v>
      </c>
      <c r="K454" s="324">
        <f>'WK6 - Expenditure Program'!I54</f>
        <v>665701</v>
      </c>
      <c r="L454" s="324">
        <f>'WK6 - Expenditure Program'!J54</f>
        <v>643709</v>
      </c>
      <c r="M454" s="324">
        <f>'WK6 - Expenditure Program'!K54</f>
        <v>427720</v>
      </c>
      <c r="N454" s="324">
        <f>'WK6 - Expenditure Program'!L54</f>
        <v>427720</v>
      </c>
      <c r="O454" s="324">
        <f>'WK6 - Expenditure Program'!M54</f>
        <v>427720</v>
      </c>
      <c r="P454" s="324">
        <f>'WK6 - Expenditure Program'!N54</f>
        <v>427720</v>
      </c>
      <c r="Q454" s="324">
        <f>'WK6 - Expenditure Program'!O54</f>
        <v>427720</v>
      </c>
      <c r="R454" s="324">
        <f>'WK6 - Expenditure Program'!P54</f>
        <v>427720</v>
      </c>
      <c r="S454" s="658">
        <f>'WK6 - Expenditure Program'!Q54</f>
        <v>4755096</v>
      </c>
      <c r="T454" s="3"/>
      <c r="U454" s="3"/>
      <c r="V454" s="3"/>
      <c r="W454" s="3"/>
      <c r="X454" s="3"/>
      <c r="Y454" s="3"/>
      <c r="Z454" s="3"/>
      <c r="AA454" s="3"/>
      <c r="AB454" s="3"/>
      <c r="AC454" s="3"/>
    </row>
    <row r="455" spans="1:29" x14ac:dyDescent="0.2">
      <c r="A455" s="3"/>
      <c r="B455" s="334" t="str">
        <f>'WK6 - Expenditure Program'!C55</f>
        <v>Bushland Reserve Asset management</v>
      </c>
      <c r="C455" s="3"/>
      <c r="D455" s="3"/>
      <c r="E455" s="135"/>
      <c r="F455" s="3"/>
      <c r="G455" s="3"/>
      <c r="H455" s="96"/>
      <c r="I455" s="208">
        <f>'WK6 - Expenditure Program'!G55</f>
        <v>750000</v>
      </c>
      <c r="J455" s="324">
        <f>'WK6 - Expenditure Program'!H55</f>
        <v>787500</v>
      </c>
      <c r="K455" s="324">
        <f>'WK6 - Expenditure Program'!I55</f>
        <v>826875</v>
      </c>
      <c r="L455" s="324">
        <f>'WK6 - Expenditure Program'!J55</f>
        <v>868218.75</v>
      </c>
      <c r="M455" s="324">
        <f>'WK6 - Expenditure Program'!K55</f>
        <v>911629.6875</v>
      </c>
      <c r="N455" s="324">
        <f>'WK6 - Expenditure Program'!L55</f>
        <v>957211.171875</v>
      </c>
      <c r="O455" s="324">
        <f>'WK6 - Expenditure Program'!M55</f>
        <v>1005071.73046875</v>
      </c>
      <c r="P455" s="324">
        <f>'WK6 - Expenditure Program'!N55</f>
        <v>1055325.3169921876</v>
      </c>
      <c r="Q455" s="324">
        <f>'WK6 - Expenditure Program'!O55</f>
        <v>1108091.582841797</v>
      </c>
      <c r="R455" s="324">
        <f>'WK6 - Expenditure Program'!P55</f>
        <v>1163496.161983887</v>
      </c>
      <c r="S455" s="658">
        <f>'WK6 - Expenditure Program'!Q55</f>
        <v>9433419.4016616214</v>
      </c>
      <c r="T455" s="3"/>
      <c r="U455" s="3"/>
      <c r="V455" s="3"/>
      <c r="W455" s="3"/>
      <c r="X455" s="3"/>
      <c r="Y455" s="3"/>
      <c r="Z455" s="3"/>
      <c r="AA455" s="3"/>
      <c r="AB455" s="3"/>
      <c r="AC455" s="3"/>
    </row>
    <row r="456" spans="1:29" x14ac:dyDescent="0.2">
      <c r="A456" s="3"/>
      <c r="B456" s="334" t="str">
        <f>'WK6 - Expenditure Program'!C56</f>
        <v xml:space="preserve">Hello Hornsby </v>
      </c>
      <c r="C456" s="3"/>
      <c r="D456" s="3"/>
      <c r="E456" s="135"/>
      <c r="F456" s="3"/>
      <c r="G456" s="3"/>
      <c r="H456" s="96"/>
      <c r="I456" s="208">
        <f>'WK6 - Expenditure Program'!G56</f>
        <v>80000</v>
      </c>
      <c r="J456" s="324">
        <f>'WK6 - Expenditure Program'!H56</f>
        <v>80000</v>
      </c>
      <c r="K456" s="324">
        <f>'WK6 - Expenditure Program'!I56</f>
        <v>80000</v>
      </c>
      <c r="L456" s="324">
        <f>'WK6 - Expenditure Program'!J56</f>
        <v>80000</v>
      </c>
      <c r="M456" s="324">
        <f>'WK6 - Expenditure Program'!K56</f>
        <v>80000</v>
      </c>
      <c r="N456" s="324">
        <f>'WK6 - Expenditure Program'!L56</f>
        <v>80000</v>
      </c>
      <c r="O456" s="324">
        <f>'WK6 - Expenditure Program'!M56</f>
        <v>80000</v>
      </c>
      <c r="P456" s="324">
        <f>'WK6 - Expenditure Program'!N56</f>
        <v>80000</v>
      </c>
      <c r="Q456" s="324">
        <f>'WK6 - Expenditure Program'!O56</f>
        <v>80000</v>
      </c>
      <c r="R456" s="324">
        <f>'WK6 - Expenditure Program'!P56</f>
        <v>80000</v>
      </c>
      <c r="S456" s="658">
        <f>'WK6 - Expenditure Program'!Q56</f>
        <v>800000</v>
      </c>
      <c r="T456" s="3"/>
      <c r="U456" s="3"/>
      <c r="V456" s="3"/>
      <c r="W456" s="3"/>
      <c r="X456" s="3"/>
      <c r="Y456" s="3"/>
      <c r="Z456" s="3"/>
      <c r="AA456" s="3"/>
      <c r="AB456" s="3"/>
      <c r="AC456" s="3"/>
    </row>
    <row r="457" spans="1:29" x14ac:dyDescent="0.2">
      <c r="A457" s="3"/>
      <c r="B457" s="334" t="str">
        <f>'WK6 - Expenditure Program'!C57</f>
        <v>Hornsby Park recurrent operations and maintenance</v>
      </c>
      <c r="C457" s="3"/>
      <c r="D457" s="3"/>
      <c r="E457" s="135"/>
      <c r="F457" s="3"/>
      <c r="G457" s="3"/>
      <c r="H457" s="96"/>
      <c r="I457" s="208">
        <f>'WK6 - Expenditure Program'!G57</f>
        <v>0</v>
      </c>
      <c r="J457" s="324">
        <f>'WK6 - Expenditure Program'!H57</f>
        <v>0</v>
      </c>
      <c r="K457" s="324">
        <f>'WK6 - Expenditure Program'!I57</f>
        <v>684113</v>
      </c>
      <c r="L457" s="324">
        <f>'WK6 - Expenditure Program'!J57</f>
        <v>684113</v>
      </c>
      <c r="M457" s="324">
        <f>'WK6 - Expenditure Program'!K57</f>
        <v>1531579</v>
      </c>
      <c r="N457" s="324">
        <f>'WK6 - Expenditure Program'!L57</f>
        <v>1568337</v>
      </c>
      <c r="O457" s="324">
        <f>'WK6 - Expenditure Program'!M57</f>
        <v>1605977</v>
      </c>
      <c r="P457" s="324">
        <f>'WK6 - Expenditure Program'!N57</f>
        <v>1644520</v>
      </c>
      <c r="Q457" s="324">
        <f>'WK6 - Expenditure Program'!O57</f>
        <v>1685633</v>
      </c>
      <c r="R457" s="324">
        <f>'WK6 - Expenditure Program'!P57</f>
        <v>1727774</v>
      </c>
      <c r="S457" s="658">
        <f>'WK6 - Expenditure Program'!Q57</f>
        <v>11132046</v>
      </c>
      <c r="T457" s="3"/>
      <c r="U457" s="3"/>
      <c r="V457" s="3"/>
      <c r="W457" s="3"/>
      <c r="X457" s="3"/>
      <c r="Y457" s="3"/>
      <c r="Z457" s="3"/>
      <c r="AA457" s="3"/>
      <c r="AB457" s="3"/>
      <c r="AC457" s="3"/>
    </row>
    <row r="458" spans="1:29" x14ac:dyDescent="0.2">
      <c r="A458" s="3"/>
      <c r="B458" s="334">
        <f>'WK6 - Expenditure Program'!C58</f>
        <v>0</v>
      </c>
      <c r="C458" s="3"/>
      <c r="D458" s="3"/>
      <c r="E458" s="135"/>
      <c r="F458" s="3"/>
      <c r="G458" s="3"/>
      <c r="H458" s="96"/>
      <c r="I458" s="208">
        <f>'WK6 - Expenditure Program'!G58</f>
        <v>0</v>
      </c>
      <c r="J458" s="324">
        <f>'WK6 - Expenditure Program'!H58</f>
        <v>0</v>
      </c>
      <c r="K458" s="324">
        <f>'WK6 - Expenditure Program'!I58</f>
        <v>0</v>
      </c>
      <c r="L458" s="324">
        <f>'WK6 - Expenditure Program'!J58</f>
        <v>0</v>
      </c>
      <c r="M458" s="324">
        <f>'WK6 - Expenditure Program'!K58</f>
        <v>0</v>
      </c>
      <c r="N458" s="324">
        <f>'WK6 - Expenditure Program'!L58</f>
        <v>0</v>
      </c>
      <c r="O458" s="324">
        <f>'WK6 - Expenditure Program'!M58</f>
        <v>0</v>
      </c>
      <c r="P458" s="324">
        <f>'WK6 - Expenditure Program'!N58</f>
        <v>0</v>
      </c>
      <c r="Q458" s="324">
        <f>'WK6 - Expenditure Program'!O58</f>
        <v>0</v>
      </c>
      <c r="R458" s="324">
        <f>'WK6 - Expenditure Program'!P58</f>
        <v>0</v>
      </c>
      <c r="S458" s="658">
        <f>'WK6 - Expenditure Program'!Q58</f>
        <v>0</v>
      </c>
      <c r="T458" s="3"/>
      <c r="U458" s="3"/>
      <c r="V458" s="3"/>
      <c r="W458" s="3"/>
      <c r="X458" s="3"/>
      <c r="Y458" s="3"/>
      <c r="Z458" s="3"/>
      <c r="AA458" s="3"/>
      <c r="AB458" s="3"/>
      <c r="AC458" s="3"/>
    </row>
    <row r="459" spans="1:29" x14ac:dyDescent="0.2">
      <c r="A459" s="3"/>
      <c r="B459" s="334">
        <f>'WK6 - Expenditure Program'!C59</f>
        <v>0</v>
      </c>
      <c r="C459" s="3"/>
      <c r="D459" s="3"/>
      <c r="E459" s="135"/>
      <c r="F459" s="3"/>
      <c r="G459" s="3"/>
      <c r="H459" s="96"/>
      <c r="I459" s="208">
        <f>'WK6 - Expenditure Program'!G59</f>
        <v>0</v>
      </c>
      <c r="J459" s="324">
        <f>'WK6 - Expenditure Program'!H59</f>
        <v>0</v>
      </c>
      <c r="K459" s="324">
        <f>'WK6 - Expenditure Program'!I59</f>
        <v>0</v>
      </c>
      <c r="L459" s="324">
        <f>'WK6 - Expenditure Program'!J59</f>
        <v>0</v>
      </c>
      <c r="M459" s="324">
        <f>'WK6 - Expenditure Program'!K59</f>
        <v>0</v>
      </c>
      <c r="N459" s="324">
        <f>'WK6 - Expenditure Program'!L59</f>
        <v>0</v>
      </c>
      <c r="O459" s="324">
        <f>'WK6 - Expenditure Program'!M59</f>
        <v>0</v>
      </c>
      <c r="P459" s="324">
        <f>'WK6 - Expenditure Program'!N59</f>
        <v>0</v>
      </c>
      <c r="Q459" s="324">
        <f>'WK6 - Expenditure Program'!O59</f>
        <v>0</v>
      </c>
      <c r="R459" s="324">
        <f>'WK6 - Expenditure Program'!P59</f>
        <v>0</v>
      </c>
      <c r="S459" s="658">
        <f>'WK6 - Expenditure Program'!Q59</f>
        <v>0</v>
      </c>
      <c r="T459" s="3"/>
      <c r="U459" s="3"/>
      <c r="V459" s="3"/>
      <c r="W459" s="3"/>
      <c r="X459" s="3"/>
      <c r="Y459" s="3"/>
      <c r="Z459" s="3"/>
      <c r="AA459" s="3"/>
      <c r="AB459" s="3"/>
      <c r="AC459" s="3"/>
    </row>
    <row r="460" spans="1:29" x14ac:dyDescent="0.2">
      <c r="A460" s="3"/>
      <c r="B460" s="334">
        <f>'WK6 - Expenditure Program'!C60</f>
        <v>0</v>
      </c>
      <c r="C460" s="3"/>
      <c r="D460" s="3"/>
      <c r="E460" s="135"/>
      <c r="F460" s="3"/>
      <c r="G460" s="3"/>
      <c r="H460" s="96"/>
      <c r="I460" s="208">
        <f>'WK6 - Expenditure Program'!G60</f>
        <v>0</v>
      </c>
      <c r="J460" s="324">
        <f>'WK6 - Expenditure Program'!H60</f>
        <v>0</v>
      </c>
      <c r="K460" s="324">
        <f>'WK6 - Expenditure Program'!I60</f>
        <v>0</v>
      </c>
      <c r="L460" s="324">
        <f>'WK6 - Expenditure Program'!J60</f>
        <v>0</v>
      </c>
      <c r="M460" s="324">
        <f>'WK6 - Expenditure Program'!K60</f>
        <v>0</v>
      </c>
      <c r="N460" s="324">
        <f>'WK6 - Expenditure Program'!L60</f>
        <v>0</v>
      </c>
      <c r="O460" s="324">
        <f>'WK6 - Expenditure Program'!M60</f>
        <v>0</v>
      </c>
      <c r="P460" s="324">
        <f>'WK6 - Expenditure Program'!N60</f>
        <v>0</v>
      </c>
      <c r="Q460" s="324">
        <f>'WK6 - Expenditure Program'!O60</f>
        <v>0</v>
      </c>
      <c r="R460" s="324">
        <f>'WK6 - Expenditure Program'!P60</f>
        <v>0</v>
      </c>
      <c r="S460" s="658">
        <f>'WK6 - Expenditure Program'!Q60</f>
        <v>0</v>
      </c>
      <c r="T460" s="3"/>
      <c r="U460" s="3"/>
      <c r="V460" s="3"/>
      <c r="W460" s="3"/>
      <c r="X460" s="3"/>
      <c r="Y460" s="3"/>
      <c r="Z460" s="3"/>
      <c r="AA460" s="3"/>
      <c r="AB460" s="3"/>
      <c r="AC460" s="3"/>
    </row>
    <row r="461" spans="1:29" x14ac:dyDescent="0.2">
      <c r="A461" s="3"/>
      <c r="B461" s="334">
        <f>'WK6 - Expenditure Program'!C61</f>
        <v>0</v>
      </c>
      <c r="C461" s="3"/>
      <c r="D461" s="3"/>
      <c r="E461" s="135"/>
      <c r="F461" s="3"/>
      <c r="G461" s="3"/>
      <c r="H461" s="96"/>
      <c r="I461" s="208">
        <f>'WK6 - Expenditure Program'!G61</f>
        <v>0</v>
      </c>
      <c r="J461" s="324">
        <f>'WK6 - Expenditure Program'!H61</f>
        <v>0</v>
      </c>
      <c r="K461" s="324">
        <f>'WK6 - Expenditure Program'!I61</f>
        <v>0</v>
      </c>
      <c r="L461" s="324">
        <f>'WK6 - Expenditure Program'!J61</f>
        <v>0</v>
      </c>
      <c r="M461" s="324">
        <f>'WK6 - Expenditure Program'!K61</f>
        <v>0</v>
      </c>
      <c r="N461" s="324">
        <f>'WK6 - Expenditure Program'!L61</f>
        <v>0</v>
      </c>
      <c r="O461" s="324">
        <f>'WK6 - Expenditure Program'!M61</f>
        <v>0</v>
      </c>
      <c r="P461" s="324">
        <f>'WK6 - Expenditure Program'!N61</f>
        <v>0</v>
      </c>
      <c r="Q461" s="324">
        <f>'WK6 - Expenditure Program'!O61</f>
        <v>0</v>
      </c>
      <c r="R461" s="324">
        <f>'WK6 - Expenditure Program'!P61</f>
        <v>0</v>
      </c>
      <c r="S461" s="658">
        <f>'WK6 - Expenditure Program'!Q61</f>
        <v>0</v>
      </c>
      <c r="T461" s="3"/>
      <c r="U461" s="3"/>
      <c r="V461" s="3"/>
      <c r="W461" s="3"/>
      <c r="X461" s="3"/>
      <c r="Y461" s="3"/>
      <c r="Z461" s="3"/>
      <c r="AA461" s="3"/>
      <c r="AB461" s="3"/>
      <c r="AC461" s="3"/>
    </row>
    <row r="462" spans="1:29" x14ac:dyDescent="0.2">
      <c r="A462" s="3"/>
      <c r="B462" s="334">
        <f>'WK6 - Expenditure Program'!C62</f>
        <v>0</v>
      </c>
      <c r="C462" s="3"/>
      <c r="D462" s="3"/>
      <c r="E462" s="135"/>
      <c r="F462" s="3"/>
      <c r="G462" s="3"/>
      <c r="H462" s="96"/>
      <c r="I462" s="208">
        <f>'WK6 - Expenditure Program'!G62</f>
        <v>0</v>
      </c>
      <c r="J462" s="324">
        <f>'WK6 - Expenditure Program'!H62</f>
        <v>0</v>
      </c>
      <c r="K462" s="324">
        <f>'WK6 - Expenditure Program'!I62</f>
        <v>0</v>
      </c>
      <c r="L462" s="324">
        <f>'WK6 - Expenditure Program'!J62</f>
        <v>0</v>
      </c>
      <c r="M462" s="324">
        <f>'WK6 - Expenditure Program'!K62</f>
        <v>0</v>
      </c>
      <c r="N462" s="324">
        <f>'WK6 - Expenditure Program'!L62</f>
        <v>0</v>
      </c>
      <c r="O462" s="324">
        <f>'WK6 - Expenditure Program'!M62</f>
        <v>0</v>
      </c>
      <c r="P462" s="324">
        <f>'WK6 - Expenditure Program'!N62</f>
        <v>0</v>
      </c>
      <c r="Q462" s="324">
        <f>'WK6 - Expenditure Program'!O62</f>
        <v>0</v>
      </c>
      <c r="R462" s="324">
        <f>'WK6 - Expenditure Program'!P62</f>
        <v>0</v>
      </c>
      <c r="S462" s="658">
        <f>'WK6 - Expenditure Program'!Q62</f>
        <v>0</v>
      </c>
      <c r="T462" s="3"/>
      <c r="U462" s="3"/>
      <c r="V462" s="3"/>
      <c r="W462" s="3"/>
      <c r="X462" s="3"/>
      <c r="Y462" s="3"/>
      <c r="Z462" s="3"/>
      <c r="AA462" s="3"/>
      <c r="AB462" s="3"/>
      <c r="AC462" s="3"/>
    </row>
    <row r="463" spans="1:29" x14ac:dyDescent="0.2">
      <c r="A463" s="3"/>
      <c r="B463" s="334">
        <f>'WK6 - Expenditure Program'!C63</f>
        <v>0</v>
      </c>
      <c r="C463" s="3"/>
      <c r="D463" s="3"/>
      <c r="E463" s="135"/>
      <c r="F463" s="3"/>
      <c r="G463" s="3"/>
      <c r="H463" s="96"/>
      <c r="I463" s="208">
        <f>'WK6 - Expenditure Program'!G63</f>
        <v>0</v>
      </c>
      <c r="J463" s="324">
        <f>'WK6 - Expenditure Program'!H63</f>
        <v>0</v>
      </c>
      <c r="K463" s="324">
        <f>'WK6 - Expenditure Program'!I63</f>
        <v>0</v>
      </c>
      <c r="L463" s="324">
        <f>'WK6 - Expenditure Program'!J63</f>
        <v>0</v>
      </c>
      <c r="M463" s="324">
        <f>'WK6 - Expenditure Program'!K63</f>
        <v>0</v>
      </c>
      <c r="N463" s="324">
        <f>'WK6 - Expenditure Program'!L63</f>
        <v>0</v>
      </c>
      <c r="O463" s="324">
        <f>'WK6 - Expenditure Program'!M63</f>
        <v>0</v>
      </c>
      <c r="P463" s="324">
        <f>'WK6 - Expenditure Program'!N63</f>
        <v>0</v>
      </c>
      <c r="Q463" s="324">
        <f>'WK6 - Expenditure Program'!O63</f>
        <v>0</v>
      </c>
      <c r="R463" s="324">
        <f>'WK6 - Expenditure Program'!P63</f>
        <v>0</v>
      </c>
      <c r="S463" s="658">
        <f>'WK6 - Expenditure Program'!Q63</f>
        <v>0</v>
      </c>
      <c r="T463" s="3"/>
      <c r="U463" s="3"/>
      <c r="V463" s="3"/>
      <c r="W463" s="3"/>
      <c r="X463" s="3"/>
      <c r="Y463" s="3"/>
      <c r="Z463" s="3"/>
      <c r="AA463" s="3"/>
      <c r="AB463" s="3"/>
      <c r="AC463" s="3"/>
    </row>
    <row r="464" spans="1:29" x14ac:dyDescent="0.2">
      <c r="A464" s="3"/>
      <c r="B464" s="334">
        <f>'WK6 - Expenditure Program'!C64</f>
        <v>0</v>
      </c>
      <c r="C464" s="3"/>
      <c r="D464" s="3"/>
      <c r="E464" s="135"/>
      <c r="F464" s="3"/>
      <c r="G464" s="3"/>
      <c r="H464" s="96"/>
      <c r="I464" s="208">
        <f>'WK6 - Expenditure Program'!G64</f>
        <v>0</v>
      </c>
      <c r="J464" s="324">
        <f>'WK6 - Expenditure Program'!H64</f>
        <v>0</v>
      </c>
      <c r="K464" s="324">
        <f>'WK6 - Expenditure Program'!I64</f>
        <v>0</v>
      </c>
      <c r="L464" s="324">
        <f>'WK6 - Expenditure Program'!J64</f>
        <v>0</v>
      </c>
      <c r="M464" s="324">
        <f>'WK6 - Expenditure Program'!K64</f>
        <v>0</v>
      </c>
      <c r="N464" s="324">
        <f>'WK6 - Expenditure Program'!L64</f>
        <v>0</v>
      </c>
      <c r="O464" s="324">
        <f>'WK6 - Expenditure Program'!M64</f>
        <v>0</v>
      </c>
      <c r="P464" s="324">
        <f>'WK6 - Expenditure Program'!N64</f>
        <v>0</v>
      </c>
      <c r="Q464" s="324">
        <f>'WK6 - Expenditure Program'!O64</f>
        <v>0</v>
      </c>
      <c r="R464" s="324">
        <f>'WK6 - Expenditure Program'!P64</f>
        <v>0</v>
      </c>
      <c r="S464" s="658">
        <f>'WK6 - Expenditure Program'!Q64</f>
        <v>0</v>
      </c>
      <c r="T464" s="3"/>
      <c r="U464" s="3"/>
      <c r="V464" s="3"/>
      <c r="W464" s="3"/>
      <c r="X464" s="3"/>
      <c r="Y464" s="3"/>
      <c r="Z464" s="3"/>
      <c r="AA464" s="3"/>
      <c r="AB464" s="3"/>
      <c r="AC464" s="3"/>
    </row>
    <row r="465" spans="1:29" ht="12" thickBot="1" x14ac:dyDescent="0.25">
      <c r="A465" s="3"/>
      <c r="B465" s="750" t="str">
        <f>'WK6 - Expenditure Program'!C65</f>
        <v>Annual total</v>
      </c>
      <c r="C465" s="3"/>
      <c r="D465" s="3"/>
      <c r="E465" s="135"/>
      <c r="F465" s="3"/>
      <c r="G465" s="3"/>
      <c r="H465" s="96"/>
      <c r="I465" s="904">
        <f>'WK6 - Expenditure Program'!G65</f>
        <v>2014168</v>
      </c>
      <c r="J465" s="905">
        <f>'WK6 - Expenditure Program'!H65</f>
        <v>1774823</v>
      </c>
      <c r="K465" s="905">
        <f>'WK6 - Expenditure Program'!I65</f>
        <v>3614595.25</v>
      </c>
      <c r="L465" s="905">
        <f>'WK6 - Expenditure Program'!J65</f>
        <v>4212392.3125</v>
      </c>
      <c r="M465" s="905">
        <f>'WK6 - Expenditure Program'!K65</f>
        <v>5913897.828125</v>
      </c>
      <c r="N465" s="905">
        <f>'WK6 - Expenditure Program'!L65</f>
        <v>6132035.76953125</v>
      </c>
      <c r="O465" s="905">
        <f>'WK6 - Expenditure Program'!M65</f>
        <v>4924524.7080078125</v>
      </c>
      <c r="P465" s="905">
        <f>'WK6 - Expenditure Program'!N65</f>
        <v>4874509.0934082028</v>
      </c>
      <c r="Q465" s="905">
        <f>'WK6 - Expenditure Program'!O65</f>
        <v>4971785.5480786134</v>
      </c>
      <c r="R465" s="905">
        <f>'WK6 - Expenditure Program'!P65</f>
        <v>5123948.1754825441</v>
      </c>
      <c r="S465" s="658">
        <f>'WK6 - Expenditure Program'!Q65</f>
        <v>43556679.68513342</v>
      </c>
      <c r="T465" s="3"/>
      <c r="U465" s="3"/>
      <c r="V465" s="3"/>
      <c r="W465" s="3"/>
      <c r="X465" s="3"/>
      <c r="Y465" s="3"/>
      <c r="Z465" s="3"/>
      <c r="AA465" s="3"/>
      <c r="AB465" s="3"/>
      <c r="AC465" s="3"/>
    </row>
    <row r="466" spans="1:29" ht="12" thickTop="1" x14ac:dyDescent="0.2">
      <c r="A466" s="3"/>
      <c r="B466" s="630" t="str">
        <f>'WK6 - Expenditure Program'!C66</f>
        <v>Cumulative totals by year</v>
      </c>
      <c r="C466" s="3"/>
      <c r="D466" s="3"/>
      <c r="E466" s="135"/>
      <c r="F466" s="3"/>
      <c r="G466" s="3"/>
      <c r="H466" s="96"/>
      <c r="I466" s="208">
        <f>'WK6 - Expenditure Program'!G66</f>
        <v>2014168</v>
      </c>
      <c r="J466" s="324">
        <f>'WK6 - Expenditure Program'!H66</f>
        <v>3788991</v>
      </c>
      <c r="K466" s="324">
        <f>'WK6 - Expenditure Program'!I66</f>
        <v>7403586.25</v>
      </c>
      <c r="L466" s="324">
        <f>'WK6 - Expenditure Program'!J66</f>
        <v>11615978.5625</v>
      </c>
      <c r="M466" s="324">
        <f>'WK6 - Expenditure Program'!K66</f>
        <v>17529876.390625</v>
      </c>
      <c r="N466" s="324">
        <f>'WK6 - Expenditure Program'!L66</f>
        <v>23661912.16015625</v>
      </c>
      <c r="O466" s="324">
        <f>'WK6 - Expenditure Program'!M66</f>
        <v>28586436.868164063</v>
      </c>
      <c r="P466" s="324">
        <f>'WK6 - Expenditure Program'!N66</f>
        <v>33460945.961572267</v>
      </c>
      <c r="Q466" s="324">
        <f>'WK6 - Expenditure Program'!O66</f>
        <v>38432731.509650879</v>
      </c>
      <c r="R466" s="645">
        <f>'WK6 - Expenditure Program'!P66</f>
        <v>43556679.68513342</v>
      </c>
      <c r="S466" s="500"/>
      <c r="T466" s="3"/>
      <c r="U466" s="3"/>
      <c r="V466" s="3"/>
      <c r="W466" s="3"/>
      <c r="X466" s="3"/>
      <c r="Y466" s="3"/>
      <c r="Z466" s="3"/>
      <c r="AA466" s="3"/>
      <c r="AB466" s="3"/>
      <c r="AC466" s="3"/>
    </row>
    <row r="467" spans="1:29" x14ac:dyDescent="0.2">
      <c r="A467" s="3"/>
      <c r="B467" s="568" t="s">
        <v>127</v>
      </c>
      <c r="C467" s="3"/>
      <c r="D467" s="3"/>
      <c r="E467" s="135"/>
      <c r="F467" s="3"/>
      <c r="G467" s="3"/>
      <c r="H467" s="96"/>
      <c r="I467" s="903">
        <f>SUM($I433:I464)-I466</f>
        <v>0</v>
      </c>
      <c r="J467" s="635">
        <f>SUM($I433:J464)-J466</f>
        <v>0</v>
      </c>
      <c r="K467" s="635">
        <f>SUM($I433:K464)-K466</f>
        <v>0</v>
      </c>
      <c r="L467" s="635">
        <f>SUM($I433:L464)-L466</f>
        <v>0</v>
      </c>
      <c r="M467" s="635">
        <f>SUM($I433:M464)-M466</f>
        <v>0</v>
      </c>
      <c r="N467" s="635">
        <f>SUM($I433:N464)-N466</f>
        <v>0</v>
      </c>
      <c r="O467" s="635">
        <f>SUM($I433:O464)-O466</f>
        <v>0</v>
      </c>
      <c r="P467" s="635">
        <f>SUM($I433:P464)-P466</f>
        <v>0</v>
      </c>
      <c r="Q467" s="635">
        <f>SUM($I433:Q464)-Q466</f>
        <v>0</v>
      </c>
      <c r="R467" s="635">
        <f>SUM($I433:R464)-R466</f>
        <v>0</v>
      </c>
      <c r="S467" s="661">
        <f>R466-S465</f>
        <v>0</v>
      </c>
      <c r="T467" s="3"/>
      <c r="U467" s="3"/>
      <c r="V467" s="3"/>
      <c r="W467" s="3"/>
      <c r="X467" s="3"/>
      <c r="Y467" s="3"/>
      <c r="Z467" s="3"/>
      <c r="AA467" s="3"/>
      <c r="AB467" s="3"/>
      <c r="AC467" s="3"/>
    </row>
    <row r="468" spans="1:29" x14ac:dyDescent="0.2">
      <c r="A468" s="3"/>
      <c r="B468" s="135"/>
      <c r="C468" s="3"/>
      <c r="D468" s="3"/>
      <c r="E468" s="135"/>
      <c r="F468" s="3"/>
      <c r="G468" s="3"/>
      <c r="H468" s="96"/>
      <c r="I468" s="565"/>
      <c r="J468" s="77"/>
      <c r="K468" s="77"/>
      <c r="L468" s="77"/>
      <c r="M468" s="77"/>
      <c r="N468" s="77"/>
      <c r="O468" s="77"/>
      <c r="P468" s="77"/>
      <c r="Q468" s="77"/>
      <c r="R468" s="566"/>
      <c r="S468" s="278"/>
      <c r="T468" s="3"/>
      <c r="U468" s="3"/>
      <c r="V468" s="3"/>
      <c r="W468" s="3"/>
      <c r="X468" s="3"/>
      <c r="Y468" s="3"/>
      <c r="Z468" s="3"/>
      <c r="AA468" s="3"/>
      <c r="AB468" s="3"/>
      <c r="AC468" s="3"/>
    </row>
    <row r="469" spans="1:29" ht="12" x14ac:dyDescent="0.25">
      <c r="A469" s="3"/>
      <c r="B469" s="632" t="str">
        <f>'WK6 - Expenditure Program'!C68</f>
        <v>Capital expenditure</v>
      </c>
      <c r="C469" s="3"/>
      <c r="D469" s="3"/>
      <c r="E469" s="135"/>
      <c r="F469" s="3"/>
      <c r="G469" s="3"/>
      <c r="H469" s="96"/>
      <c r="I469" s="565"/>
      <c r="J469" s="77"/>
      <c r="K469" s="77"/>
      <c r="L469" s="77"/>
      <c r="M469" s="77"/>
      <c r="N469" s="77"/>
      <c r="O469" s="77"/>
      <c r="P469" s="77"/>
      <c r="Q469" s="77"/>
      <c r="R469" s="566"/>
      <c r="S469" s="278"/>
      <c r="T469" s="3"/>
      <c r="U469" s="3"/>
      <c r="V469" s="3"/>
      <c r="W469" s="3"/>
      <c r="X469" s="3"/>
      <c r="Y469" s="3"/>
      <c r="Z469" s="3"/>
      <c r="AA469" s="3"/>
      <c r="AB469" s="3"/>
      <c r="AC469" s="3"/>
    </row>
    <row r="470" spans="1:29" x14ac:dyDescent="0.2">
      <c r="A470" s="3"/>
      <c r="B470" s="630" t="str">
        <f>'WK6 - Expenditure Program'!C70</f>
        <v>Renewals:</v>
      </c>
      <c r="C470" s="3"/>
      <c r="D470" s="3"/>
      <c r="E470" s="135"/>
      <c r="F470" s="3"/>
      <c r="G470" s="3"/>
      <c r="H470" s="96"/>
      <c r="I470" s="208"/>
      <c r="J470" s="324"/>
      <c r="K470" s="324"/>
      <c r="L470" s="324"/>
      <c r="M470" s="324"/>
      <c r="N470" s="324"/>
      <c r="O470" s="324"/>
      <c r="P470" s="324"/>
      <c r="Q470" s="324"/>
      <c r="R470" s="645"/>
      <c r="S470" s="658"/>
      <c r="T470" s="3"/>
      <c r="U470" s="3"/>
      <c r="V470" s="3"/>
      <c r="W470" s="3"/>
      <c r="X470" s="3"/>
      <c r="Y470" s="3"/>
      <c r="Z470" s="3"/>
      <c r="AA470" s="3"/>
      <c r="AB470" s="3"/>
      <c r="AC470" s="3"/>
    </row>
    <row r="471" spans="1:29" x14ac:dyDescent="0.2">
      <c r="A471" s="3"/>
      <c r="B471" s="655" t="str">
        <f>'WK6 - Expenditure Program'!C71</f>
        <v>Public Amenities</v>
      </c>
      <c r="C471" s="3"/>
      <c r="D471" s="3"/>
      <c r="E471" s="135"/>
      <c r="F471" s="3"/>
      <c r="G471" s="3"/>
      <c r="H471" s="96"/>
      <c r="I471" s="208">
        <f>'WK6 - Expenditure Program'!G71</f>
        <v>1000000</v>
      </c>
      <c r="J471" s="324">
        <f>'WK6 - Expenditure Program'!H71</f>
        <v>1000000</v>
      </c>
      <c r="K471" s="324">
        <f>'WK6 - Expenditure Program'!I71</f>
        <v>1000000</v>
      </c>
      <c r="L471" s="324">
        <f>'WK6 - Expenditure Program'!J71</f>
        <v>1000000</v>
      </c>
      <c r="M471" s="324">
        <f>'WK6 - Expenditure Program'!K71</f>
        <v>1000000</v>
      </c>
      <c r="N471" s="324">
        <f>'WK6 - Expenditure Program'!L71</f>
        <v>1000000</v>
      </c>
      <c r="O471" s="324">
        <f>'WK6 - Expenditure Program'!M71</f>
        <v>1000000</v>
      </c>
      <c r="P471" s="324">
        <f>'WK6 - Expenditure Program'!N71</f>
        <v>1000000</v>
      </c>
      <c r="Q471" s="324">
        <f>'WK6 - Expenditure Program'!O71</f>
        <v>1000000</v>
      </c>
      <c r="R471" s="324">
        <f>'WK6 - Expenditure Program'!P71</f>
        <v>1000000</v>
      </c>
      <c r="S471" s="658">
        <f>'WK6 - Expenditure Program'!Q71</f>
        <v>10000000</v>
      </c>
      <c r="T471" s="3"/>
      <c r="U471" s="3"/>
      <c r="V471" s="3"/>
      <c r="W471" s="3"/>
      <c r="X471" s="3"/>
      <c r="Y471" s="3"/>
      <c r="Z471" s="3"/>
      <c r="AA471" s="3"/>
      <c r="AB471" s="3"/>
      <c r="AC471" s="3"/>
    </row>
    <row r="472" spans="1:29" x14ac:dyDescent="0.2">
      <c r="A472" s="3"/>
      <c r="B472" s="655" t="str">
        <f>'WK6 - Expenditure Program'!C72</f>
        <v>Park amenities renewal and upgrade</v>
      </c>
      <c r="C472" s="3"/>
      <c r="D472" s="3"/>
      <c r="E472" s="135"/>
      <c r="F472" s="3"/>
      <c r="G472" s="3"/>
      <c r="H472" s="96"/>
      <c r="I472" s="208">
        <f>'WK6 - Expenditure Program'!G72</f>
        <v>650000</v>
      </c>
      <c r="J472" s="324">
        <f>'WK6 - Expenditure Program'!H72</f>
        <v>650000</v>
      </c>
      <c r="K472" s="324">
        <f>'WK6 - Expenditure Program'!I72</f>
        <v>650000</v>
      </c>
      <c r="L472" s="324">
        <f>'WK6 - Expenditure Program'!J72</f>
        <v>650000</v>
      </c>
      <c r="M472" s="324">
        <f>'WK6 - Expenditure Program'!K72</f>
        <v>650000</v>
      </c>
      <c r="N472" s="324">
        <f>'WK6 - Expenditure Program'!L72</f>
        <v>650000</v>
      </c>
      <c r="O472" s="324">
        <f>'WK6 - Expenditure Program'!M72</f>
        <v>650000</v>
      </c>
      <c r="P472" s="324">
        <f>'WK6 - Expenditure Program'!N72</f>
        <v>650000</v>
      </c>
      <c r="Q472" s="324">
        <f>'WK6 - Expenditure Program'!O72</f>
        <v>650000</v>
      </c>
      <c r="R472" s="324">
        <f>'WK6 - Expenditure Program'!P72</f>
        <v>650000</v>
      </c>
      <c r="S472" s="658">
        <f>'WK6 - Expenditure Program'!Q72</f>
        <v>6500000</v>
      </c>
      <c r="T472" s="3"/>
      <c r="U472" s="3"/>
      <c r="V472" s="3"/>
      <c r="W472" s="3"/>
      <c r="X472" s="3"/>
      <c r="Y472" s="3"/>
      <c r="Z472" s="3"/>
      <c r="AA472" s="3"/>
      <c r="AB472" s="3"/>
      <c r="AC472" s="3"/>
    </row>
    <row r="473" spans="1:29" x14ac:dyDescent="0.2">
      <c r="A473" s="3"/>
      <c r="B473" s="655" t="str">
        <f>'WK6 - Expenditure Program'!C73</f>
        <v>Hornsby Park asset renewals</v>
      </c>
      <c r="C473" s="3"/>
      <c r="D473" s="3"/>
      <c r="E473" s="135"/>
      <c r="F473" s="3"/>
      <c r="G473" s="3"/>
      <c r="H473" s="96"/>
      <c r="I473" s="208">
        <f>'WK6 - Expenditure Program'!G73</f>
        <v>0</v>
      </c>
      <c r="J473" s="324">
        <f>'WK6 - Expenditure Program'!H73</f>
        <v>0</v>
      </c>
      <c r="K473" s="324">
        <f>'WK6 - Expenditure Program'!I73</f>
        <v>715887</v>
      </c>
      <c r="L473" s="324">
        <f>'WK6 - Expenditure Program'!J73</f>
        <v>715887</v>
      </c>
      <c r="M473" s="324">
        <f>'WK6 - Expenditure Program'!K73</f>
        <v>1602713</v>
      </c>
      <c r="N473" s="324">
        <f>'WK6 - Expenditure Program'!L73</f>
        <v>1641178</v>
      </c>
      <c r="O473" s="324">
        <f>'WK6 - Expenditure Program'!M73</f>
        <v>1680566</v>
      </c>
      <c r="P473" s="324">
        <f>'WK6 - Expenditure Program'!N73</f>
        <v>1720900</v>
      </c>
      <c r="Q473" s="324">
        <f>'WK6 - Expenditure Program'!O73</f>
        <v>1763922</v>
      </c>
      <c r="R473" s="324">
        <f>'WK6 - Expenditure Program'!P73</f>
        <v>1808020</v>
      </c>
      <c r="S473" s="658">
        <f>'WK6 - Expenditure Program'!Q73</f>
        <v>11649073</v>
      </c>
      <c r="T473" s="3"/>
      <c r="U473" s="3"/>
      <c r="V473" s="3"/>
      <c r="W473" s="3"/>
      <c r="X473" s="3"/>
      <c r="Y473" s="3"/>
      <c r="Z473" s="3"/>
      <c r="AA473" s="3"/>
      <c r="AB473" s="3"/>
      <c r="AC473" s="3"/>
    </row>
    <row r="474" spans="1:29" x14ac:dyDescent="0.2">
      <c r="A474" s="3"/>
      <c r="B474" s="655" t="str">
        <f>'WK6 - Expenditure Program'!C74</f>
        <v xml:space="preserve">Asset management funding gap </v>
      </c>
      <c r="C474" s="3"/>
      <c r="D474" s="3"/>
      <c r="E474" s="135"/>
      <c r="F474" s="3"/>
      <c r="G474" s="3"/>
      <c r="H474" s="96"/>
      <c r="I474" s="208">
        <f>'WK6 - Expenditure Program'!G74</f>
        <v>1625000</v>
      </c>
      <c r="J474" s="324">
        <f>'WK6 - Expenditure Program'!H74</f>
        <v>1757000</v>
      </c>
      <c r="K474" s="324">
        <f>'WK6 - Expenditure Program'!I74</f>
        <v>2190000</v>
      </c>
      <c r="L474" s="324">
        <f>'WK6 - Expenditure Program'!J74</f>
        <v>1951000</v>
      </c>
      <c r="M474" s="324">
        <f>'WK6 - Expenditure Program'!K74</f>
        <v>4764000</v>
      </c>
      <c r="N474" s="324">
        <f>'WK6 - Expenditure Program'!L74</f>
        <v>2316000</v>
      </c>
      <c r="O474" s="324">
        <f>'WK6 - Expenditure Program'!M74</f>
        <v>1902000</v>
      </c>
      <c r="P474" s="324">
        <f>'WK6 - Expenditure Program'!N74</f>
        <v>1948000</v>
      </c>
      <c r="Q474" s="324">
        <f>'WK6 - Expenditure Program'!O74</f>
        <v>2300000</v>
      </c>
      <c r="R474" s="324">
        <f>'WK6 - Expenditure Program'!P74</f>
        <v>2383000</v>
      </c>
      <c r="S474" s="658">
        <f>'WK6 - Expenditure Program'!Q74</f>
        <v>23136000</v>
      </c>
      <c r="T474" s="3"/>
      <c r="U474" s="3"/>
      <c r="V474" s="3"/>
      <c r="W474" s="3"/>
      <c r="X474" s="3"/>
      <c r="Y474" s="3"/>
      <c r="Z474" s="3"/>
      <c r="AA474" s="3"/>
      <c r="AB474" s="3"/>
      <c r="AC474" s="3"/>
    </row>
    <row r="475" spans="1:29" x14ac:dyDescent="0.2">
      <c r="A475" s="3"/>
      <c r="B475" s="655">
        <f>'WK6 - Expenditure Program'!C75</f>
        <v>0</v>
      </c>
      <c r="C475" s="3"/>
      <c r="D475" s="3"/>
      <c r="E475" s="135"/>
      <c r="F475" s="3"/>
      <c r="G475" s="3"/>
      <c r="H475" s="96"/>
      <c r="I475" s="208">
        <f>'WK6 - Expenditure Program'!G75</f>
        <v>0</v>
      </c>
      <c r="J475" s="324">
        <f>'WK6 - Expenditure Program'!H75</f>
        <v>0</v>
      </c>
      <c r="K475" s="324">
        <f>'WK6 - Expenditure Program'!I75</f>
        <v>0</v>
      </c>
      <c r="L475" s="324">
        <f>'WK6 - Expenditure Program'!J75</f>
        <v>0</v>
      </c>
      <c r="M475" s="324">
        <f>'WK6 - Expenditure Program'!K75</f>
        <v>0</v>
      </c>
      <c r="N475" s="324">
        <f>'WK6 - Expenditure Program'!L75</f>
        <v>0</v>
      </c>
      <c r="O475" s="324">
        <f>'WK6 - Expenditure Program'!M75</f>
        <v>0</v>
      </c>
      <c r="P475" s="324">
        <f>'WK6 - Expenditure Program'!N75</f>
        <v>0</v>
      </c>
      <c r="Q475" s="324">
        <f>'WK6 - Expenditure Program'!O75</f>
        <v>0</v>
      </c>
      <c r="R475" s="324">
        <f>'WK6 - Expenditure Program'!P75</f>
        <v>0</v>
      </c>
      <c r="S475" s="658">
        <f>'WK6 - Expenditure Program'!Q75</f>
        <v>0</v>
      </c>
      <c r="T475" s="3"/>
      <c r="U475" s="3"/>
      <c r="V475" s="3"/>
      <c r="W475" s="3"/>
      <c r="X475" s="3"/>
      <c r="Y475" s="3"/>
      <c r="Z475" s="3"/>
      <c r="AA475" s="3"/>
      <c r="AB475" s="3"/>
      <c r="AC475" s="3"/>
    </row>
    <row r="476" spans="1:29" x14ac:dyDescent="0.2">
      <c r="A476" s="3"/>
      <c r="B476" s="655">
        <f>'WK6 - Expenditure Program'!C76</f>
        <v>0</v>
      </c>
      <c r="C476" s="3"/>
      <c r="D476" s="3"/>
      <c r="E476" s="135"/>
      <c r="F476" s="3"/>
      <c r="G476" s="3"/>
      <c r="H476" s="96"/>
      <c r="I476" s="208">
        <f>'WK6 - Expenditure Program'!G76</f>
        <v>0</v>
      </c>
      <c r="J476" s="324">
        <f>'WK6 - Expenditure Program'!H76</f>
        <v>0</v>
      </c>
      <c r="K476" s="324">
        <f>'WK6 - Expenditure Program'!I76</f>
        <v>0</v>
      </c>
      <c r="L476" s="324">
        <f>'WK6 - Expenditure Program'!J76</f>
        <v>0</v>
      </c>
      <c r="M476" s="324">
        <f>'WK6 - Expenditure Program'!K76</f>
        <v>0</v>
      </c>
      <c r="N476" s="324">
        <f>'WK6 - Expenditure Program'!L76</f>
        <v>0</v>
      </c>
      <c r="O476" s="324">
        <f>'WK6 - Expenditure Program'!M76</f>
        <v>0</v>
      </c>
      <c r="P476" s="324">
        <f>'WK6 - Expenditure Program'!N76</f>
        <v>0</v>
      </c>
      <c r="Q476" s="324">
        <f>'WK6 - Expenditure Program'!O76</f>
        <v>0</v>
      </c>
      <c r="R476" s="324">
        <f>'WK6 - Expenditure Program'!P76</f>
        <v>0</v>
      </c>
      <c r="S476" s="658">
        <f>'WK6 - Expenditure Program'!Q76</f>
        <v>0</v>
      </c>
      <c r="T476" s="3"/>
      <c r="U476" s="3"/>
      <c r="V476" s="3"/>
      <c r="W476" s="3"/>
      <c r="X476" s="3"/>
      <c r="Y476" s="3"/>
      <c r="Z476" s="3"/>
      <c r="AA476" s="3"/>
      <c r="AB476" s="3"/>
      <c r="AC476" s="3"/>
    </row>
    <row r="477" spans="1:29" x14ac:dyDescent="0.2">
      <c r="A477" s="3"/>
      <c r="B477" s="655">
        <f>'WK6 - Expenditure Program'!C77</f>
        <v>0</v>
      </c>
      <c r="C477" s="3"/>
      <c r="D477" s="3"/>
      <c r="E477" s="135"/>
      <c r="F477" s="3"/>
      <c r="G477" s="3"/>
      <c r="H477" s="96"/>
      <c r="I477" s="208">
        <f>'WK6 - Expenditure Program'!G77</f>
        <v>0</v>
      </c>
      <c r="J477" s="324">
        <f>'WK6 - Expenditure Program'!H77</f>
        <v>0</v>
      </c>
      <c r="K477" s="324">
        <f>'WK6 - Expenditure Program'!I77</f>
        <v>0</v>
      </c>
      <c r="L477" s="324">
        <f>'WK6 - Expenditure Program'!J77</f>
        <v>0</v>
      </c>
      <c r="M477" s="324">
        <f>'WK6 - Expenditure Program'!K77</f>
        <v>0</v>
      </c>
      <c r="N477" s="324">
        <f>'WK6 - Expenditure Program'!L77</f>
        <v>0</v>
      </c>
      <c r="O477" s="324">
        <f>'WK6 - Expenditure Program'!M77</f>
        <v>0</v>
      </c>
      <c r="P477" s="324">
        <f>'WK6 - Expenditure Program'!N77</f>
        <v>0</v>
      </c>
      <c r="Q477" s="324">
        <f>'WK6 - Expenditure Program'!O77</f>
        <v>0</v>
      </c>
      <c r="R477" s="324">
        <f>'WK6 - Expenditure Program'!P77</f>
        <v>0</v>
      </c>
      <c r="S477" s="658">
        <f>'WK6 - Expenditure Program'!Q77</f>
        <v>0</v>
      </c>
      <c r="T477" s="3"/>
      <c r="U477" s="3"/>
      <c r="V477" s="3"/>
      <c r="W477" s="3"/>
      <c r="X477" s="3"/>
      <c r="Y477" s="3"/>
      <c r="Z477" s="3"/>
      <c r="AA477" s="3"/>
      <c r="AB477" s="3"/>
      <c r="AC477" s="3"/>
    </row>
    <row r="478" spans="1:29" outlineLevel="1" x14ac:dyDescent="0.2">
      <c r="A478" s="3"/>
      <c r="B478" s="655">
        <f>'WK6 - Expenditure Program'!C78</f>
        <v>0</v>
      </c>
      <c r="C478" s="3"/>
      <c r="D478" s="3"/>
      <c r="E478" s="135"/>
      <c r="F478" s="3"/>
      <c r="G478" s="3"/>
      <c r="H478" s="96"/>
      <c r="I478" s="208">
        <f>'WK6 - Expenditure Program'!G78</f>
        <v>0</v>
      </c>
      <c r="J478" s="324">
        <f>'WK6 - Expenditure Program'!H78</f>
        <v>0</v>
      </c>
      <c r="K478" s="324">
        <f>'WK6 - Expenditure Program'!I78</f>
        <v>0</v>
      </c>
      <c r="L478" s="324">
        <f>'WK6 - Expenditure Program'!J78</f>
        <v>0</v>
      </c>
      <c r="M478" s="324">
        <f>'WK6 - Expenditure Program'!K78</f>
        <v>0</v>
      </c>
      <c r="N478" s="324">
        <f>'WK6 - Expenditure Program'!L78</f>
        <v>0</v>
      </c>
      <c r="O478" s="324">
        <f>'WK6 - Expenditure Program'!M78</f>
        <v>0</v>
      </c>
      <c r="P478" s="324">
        <f>'WK6 - Expenditure Program'!N78</f>
        <v>0</v>
      </c>
      <c r="Q478" s="324">
        <f>'WK6 - Expenditure Program'!O78</f>
        <v>0</v>
      </c>
      <c r="R478" s="324">
        <f>'WK6 - Expenditure Program'!P78</f>
        <v>0</v>
      </c>
      <c r="S478" s="658">
        <f>'WK6 - Expenditure Program'!Q78</f>
        <v>0</v>
      </c>
      <c r="T478" s="3"/>
      <c r="U478" s="3"/>
      <c r="V478" s="3"/>
      <c r="W478" s="3"/>
      <c r="X478" s="3"/>
      <c r="Y478" s="3"/>
      <c r="Z478" s="3"/>
      <c r="AA478" s="3"/>
      <c r="AB478" s="3"/>
      <c r="AC478" s="3"/>
    </row>
    <row r="479" spans="1:29" outlineLevel="1" x14ac:dyDescent="0.2">
      <c r="A479" s="3"/>
      <c r="B479" s="655">
        <f>'WK6 - Expenditure Program'!C79</f>
        <v>0</v>
      </c>
      <c r="C479" s="3"/>
      <c r="D479" s="3"/>
      <c r="E479" s="135"/>
      <c r="F479" s="3"/>
      <c r="G479" s="3"/>
      <c r="H479" s="96"/>
      <c r="I479" s="208">
        <f>'WK6 - Expenditure Program'!G79</f>
        <v>0</v>
      </c>
      <c r="J479" s="324">
        <f>'WK6 - Expenditure Program'!H79</f>
        <v>0</v>
      </c>
      <c r="K479" s="324">
        <f>'WK6 - Expenditure Program'!I79</f>
        <v>0</v>
      </c>
      <c r="L479" s="324">
        <f>'WK6 - Expenditure Program'!J79</f>
        <v>0</v>
      </c>
      <c r="M479" s="324">
        <f>'WK6 - Expenditure Program'!K79</f>
        <v>0</v>
      </c>
      <c r="N479" s="324">
        <f>'WK6 - Expenditure Program'!L79</f>
        <v>0</v>
      </c>
      <c r="O479" s="324">
        <f>'WK6 - Expenditure Program'!M79</f>
        <v>0</v>
      </c>
      <c r="P479" s="324">
        <f>'WK6 - Expenditure Program'!N79</f>
        <v>0</v>
      </c>
      <c r="Q479" s="324">
        <f>'WK6 - Expenditure Program'!O79</f>
        <v>0</v>
      </c>
      <c r="R479" s="324">
        <f>'WK6 - Expenditure Program'!P79</f>
        <v>0</v>
      </c>
      <c r="S479" s="658">
        <f>'WK6 - Expenditure Program'!Q79</f>
        <v>0</v>
      </c>
      <c r="T479" s="3"/>
      <c r="U479" s="3"/>
      <c r="V479" s="3"/>
      <c r="W479" s="3"/>
      <c r="X479" s="3"/>
      <c r="Y479" s="3"/>
      <c r="Z479" s="3"/>
      <c r="AA479" s="3"/>
      <c r="AB479" s="3"/>
      <c r="AC479" s="3"/>
    </row>
    <row r="480" spans="1:29" outlineLevel="1" x14ac:dyDescent="0.2">
      <c r="A480" s="3"/>
      <c r="B480" s="655">
        <f>'WK6 - Expenditure Program'!C80</f>
        <v>0</v>
      </c>
      <c r="C480" s="3"/>
      <c r="D480" s="3"/>
      <c r="E480" s="135"/>
      <c r="F480" s="3"/>
      <c r="G480" s="3"/>
      <c r="H480" s="96"/>
      <c r="I480" s="208">
        <f>'WK6 - Expenditure Program'!G80</f>
        <v>0</v>
      </c>
      <c r="J480" s="324">
        <f>'WK6 - Expenditure Program'!H80</f>
        <v>0</v>
      </c>
      <c r="K480" s="324">
        <f>'WK6 - Expenditure Program'!I80</f>
        <v>0</v>
      </c>
      <c r="L480" s="324">
        <f>'WK6 - Expenditure Program'!J80</f>
        <v>0</v>
      </c>
      <c r="M480" s="324">
        <f>'WK6 - Expenditure Program'!K80</f>
        <v>0</v>
      </c>
      <c r="N480" s="324">
        <f>'WK6 - Expenditure Program'!L80</f>
        <v>0</v>
      </c>
      <c r="O480" s="324">
        <f>'WK6 - Expenditure Program'!M80</f>
        <v>0</v>
      </c>
      <c r="P480" s="324">
        <f>'WK6 - Expenditure Program'!N80</f>
        <v>0</v>
      </c>
      <c r="Q480" s="324">
        <f>'WK6 - Expenditure Program'!O80</f>
        <v>0</v>
      </c>
      <c r="R480" s="324">
        <f>'WK6 - Expenditure Program'!P80</f>
        <v>0</v>
      </c>
      <c r="S480" s="658">
        <f>'WK6 - Expenditure Program'!Q80</f>
        <v>0</v>
      </c>
      <c r="T480" s="3"/>
      <c r="U480" s="3"/>
      <c r="V480" s="3"/>
      <c r="W480" s="3"/>
      <c r="X480" s="3"/>
      <c r="Y480" s="3"/>
      <c r="Z480" s="3"/>
      <c r="AA480" s="3"/>
      <c r="AB480" s="3"/>
      <c r="AC480" s="3"/>
    </row>
    <row r="481" spans="1:29" outlineLevel="1" x14ac:dyDescent="0.2">
      <c r="A481" s="3"/>
      <c r="B481" s="655">
        <f>'WK6 - Expenditure Program'!C81</f>
        <v>0</v>
      </c>
      <c r="C481" s="3"/>
      <c r="D481" s="3"/>
      <c r="E481" s="135"/>
      <c r="F481" s="3"/>
      <c r="G481" s="3"/>
      <c r="H481" s="96"/>
      <c r="I481" s="208">
        <f>'WK6 - Expenditure Program'!G81</f>
        <v>0</v>
      </c>
      <c r="J481" s="324">
        <f>'WK6 - Expenditure Program'!H81</f>
        <v>0</v>
      </c>
      <c r="K481" s="324">
        <f>'WK6 - Expenditure Program'!I81</f>
        <v>0</v>
      </c>
      <c r="L481" s="324">
        <f>'WK6 - Expenditure Program'!J81</f>
        <v>0</v>
      </c>
      <c r="M481" s="324">
        <f>'WK6 - Expenditure Program'!K81</f>
        <v>0</v>
      </c>
      <c r="N481" s="324">
        <f>'WK6 - Expenditure Program'!L81</f>
        <v>0</v>
      </c>
      <c r="O481" s="324">
        <f>'WK6 - Expenditure Program'!M81</f>
        <v>0</v>
      </c>
      <c r="P481" s="324">
        <f>'WK6 - Expenditure Program'!N81</f>
        <v>0</v>
      </c>
      <c r="Q481" s="324">
        <f>'WK6 - Expenditure Program'!O81</f>
        <v>0</v>
      </c>
      <c r="R481" s="324">
        <f>'WK6 - Expenditure Program'!P81</f>
        <v>0</v>
      </c>
      <c r="S481" s="658">
        <f>'WK6 - Expenditure Program'!Q81</f>
        <v>0</v>
      </c>
      <c r="T481" s="3"/>
      <c r="U481" s="3"/>
      <c r="V481" s="3"/>
      <c r="W481" s="3"/>
      <c r="X481" s="3"/>
      <c r="Y481" s="3"/>
      <c r="Z481" s="3"/>
      <c r="AA481" s="3"/>
      <c r="AB481" s="3"/>
      <c r="AC481" s="3"/>
    </row>
    <row r="482" spans="1:29" outlineLevel="1" x14ac:dyDescent="0.2">
      <c r="A482" s="3"/>
      <c r="B482" s="655">
        <f>'WK6 - Expenditure Program'!C82</f>
        <v>0</v>
      </c>
      <c r="C482" s="3"/>
      <c r="D482" s="3"/>
      <c r="E482" s="135"/>
      <c r="F482" s="3"/>
      <c r="G482" s="3"/>
      <c r="H482" s="96"/>
      <c r="I482" s="208">
        <f>'WK6 - Expenditure Program'!G82</f>
        <v>0</v>
      </c>
      <c r="J482" s="324">
        <f>'WK6 - Expenditure Program'!H82</f>
        <v>0</v>
      </c>
      <c r="K482" s="324">
        <f>'WK6 - Expenditure Program'!I82</f>
        <v>0</v>
      </c>
      <c r="L482" s="324">
        <f>'WK6 - Expenditure Program'!J82</f>
        <v>0</v>
      </c>
      <c r="M482" s="324">
        <f>'WK6 - Expenditure Program'!K82</f>
        <v>0</v>
      </c>
      <c r="N482" s="324">
        <f>'WK6 - Expenditure Program'!L82</f>
        <v>0</v>
      </c>
      <c r="O482" s="324">
        <f>'WK6 - Expenditure Program'!M82</f>
        <v>0</v>
      </c>
      <c r="P482" s="324">
        <f>'WK6 - Expenditure Program'!N82</f>
        <v>0</v>
      </c>
      <c r="Q482" s="324">
        <f>'WK6 - Expenditure Program'!O82</f>
        <v>0</v>
      </c>
      <c r="R482" s="324">
        <f>'WK6 - Expenditure Program'!P82</f>
        <v>0</v>
      </c>
      <c r="S482" s="658">
        <f>'WK6 - Expenditure Program'!Q82</f>
        <v>0</v>
      </c>
      <c r="T482" s="3"/>
      <c r="U482" s="3"/>
      <c r="V482" s="3"/>
      <c r="W482" s="3"/>
      <c r="X482" s="3"/>
      <c r="Y482" s="3"/>
      <c r="Z482" s="3"/>
      <c r="AA482" s="3"/>
      <c r="AB482" s="3"/>
      <c r="AC482" s="3"/>
    </row>
    <row r="483" spans="1:29" outlineLevel="1" x14ac:dyDescent="0.2">
      <c r="A483" s="3"/>
      <c r="B483" s="655">
        <f>'WK6 - Expenditure Program'!C83</f>
        <v>0</v>
      </c>
      <c r="C483" s="3"/>
      <c r="D483" s="3"/>
      <c r="E483" s="135"/>
      <c r="F483" s="3"/>
      <c r="G483" s="3"/>
      <c r="H483" s="96"/>
      <c r="I483" s="208">
        <f>'WK6 - Expenditure Program'!G83</f>
        <v>0</v>
      </c>
      <c r="J483" s="324">
        <f>'WK6 - Expenditure Program'!H83</f>
        <v>0</v>
      </c>
      <c r="K483" s="324">
        <f>'WK6 - Expenditure Program'!I83</f>
        <v>0</v>
      </c>
      <c r="L483" s="324">
        <f>'WK6 - Expenditure Program'!J83</f>
        <v>0</v>
      </c>
      <c r="M483" s="324">
        <f>'WK6 - Expenditure Program'!K83</f>
        <v>0</v>
      </c>
      <c r="N483" s="324">
        <f>'WK6 - Expenditure Program'!L83</f>
        <v>0</v>
      </c>
      <c r="O483" s="324">
        <f>'WK6 - Expenditure Program'!M83</f>
        <v>0</v>
      </c>
      <c r="P483" s="324">
        <f>'WK6 - Expenditure Program'!N83</f>
        <v>0</v>
      </c>
      <c r="Q483" s="324">
        <f>'WK6 - Expenditure Program'!O83</f>
        <v>0</v>
      </c>
      <c r="R483" s="324">
        <f>'WK6 - Expenditure Program'!P83</f>
        <v>0</v>
      </c>
      <c r="S483" s="658">
        <f>'WK6 - Expenditure Program'!Q83</f>
        <v>0</v>
      </c>
      <c r="T483" s="3"/>
      <c r="U483" s="3"/>
      <c r="V483" s="3"/>
      <c r="W483" s="3"/>
      <c r="X483" s="3"/>
      <c r="Y483" s="3"/>
      <c r="Z483" s="3"/>
      <c r="AA483" s="3"/>
      <c r="AB483" s="3"/>
      <c r="AC483" s="3"/>
    </row>
    <row r="484" spans="1:29" outlineLevel="1" x14ac:dyDescent="0.2">
      <c r="A484" s="3"/>
      <c r="B484" s="655">
        <f>'WK6 - Expenditure Program'!C84</f>
        <v>0</v>
      </c>
      <c r="C484" s="3"/>
      <c r="D484" s="3"/>
      <c r="E484" s="135"/>
      <c r="F484" s="3"/>
      <c r="G484" s="3"/>
      <c r="H484" s="96"/>
      <c r="I484" s="208">
        <f>'WK6 - Expenditure Program'!G84</f>
        <v>0</v>
      </c>
      <c r="J484" s="324">
        <f>'WK6 - Expenditure Program'!H84</f>
        <v>0</v>
      </c>
      <c r="K484" s="324">
        <f>'WK6 - Expenditure Program'!I84</f>
        <v>0</v>
      </c>
      <c r="L484" s="324">
        <f>'WK6 - Expenditure Program'!J84</f>
        <v>0</v>
      </c>
      <c r="M484" s="324">
        <f>'WK6 - Expenditure Program'!K84</f>
        <v>0</v>
      </c>
      <c r="N484" s="324">
        <f>'WK6 - Expenditure Program'!L84</f>
        <v>0</v>
      </c>
      <c r="O484" s="324">
        <f>'WK6 - Expenditure Program'!M84</f>
        <v>0</v>
      </c>
      <c r="P484" s="324">
        <f>'WK6 - Expenditure Program'!N84</f>
        <v>0</v>
      </c>
      <c r="Q484" s="324">
        <f>'WK6 - Expenditure Program'!O84</f>
        <v>0</v>
      </c>
      <c r="R484" s="324">
        <f>'WK6 - Expenditure Program'!P84</f>
        <v>0</v>
      </c>
      <c r="S484" s="658">
        <f>'WK6 - Expenditure Program'!Q84</f>
        <v>0</v>
      </c>
      <c r="T484" s="3"/>
      <c r="U484" s="3"/>
      <c r="V484" s="3"/>
      <c r="W484" s="3"/>
      <c r="X484" s="3"/>
      <c r="Y484" s="3"/>
      <c r="Z484" s="3"/>
      <c r="AA484" s="3"/>
      <c r="AB484" s="3"/>
      <c r="AC484" s="3"/>
    </row>
    <row r="485" spans="1:29" outlineLevel="1" x14ac:dyDescent="0.2">
      <c r="A485" s="3"/>
      <c r="B485" s="655">
        <f>'WK6 - Expenditure Program'!C85</f>
        <v>0</v>
      </c>
      <c r="C485" s="3"/>
      <c r="D485" s="3"/>
      <c r="E485" s="135"/>
      <c r="F485" s="3"/>
      <c r="G485" s="3"/>
      <c r="H485" s="96"/>
      <c r="I485" s="208">
        <f>'WK6 - Expenditure Program'!G85</f>
        <v>0</v>
      </c>
      <c r="J485" s="324">
        <f>'WK6 - Expenditure Program'!H85</f>
        <v>0</v>
      </c>
      <c r="K485" s="324">
        <f>'WK6 - Expenditure Program'!I85</f>
        <v>0</v>
      </c>
      <c r="L485" s="324">
        <f>'WK6 - Expenditure Program'!J85</f>
        <v>0</v>
      </c>
      <c r="M485" s="324">
        <f>'WK6 - Expenditure Program'!K85</f>
        <v>0</v>
      </c>
      <c r="N485" s="324">
        <f>'WK6 - Expenditure Program'!L85</f>
        <v>0</v>
      </c>
      <c r="O485" s="324">
        <f>'WK6 - Expenditure Program'!M85</f>
        <v>0</v>
      </c>
      <c r="P485" s="324">
        <f>'WK6 - Expenditure Program'!N85</f>
        <v>0</v>
      </c>
      <c r="Q485" s="324">
        <f>'WK6 - Expenditure Program'!O85</f>
        <v>0</v>
      </c>
      <c r="R485" s="324">
        <f>'WK6 - Expenditure Program'!P85</f>
        <v>0</v>
      </c>
      <c r="S485" s="658">
        <f>'WK6 - Expenditure Program'!Q85</f>
        <v>0</v>
      </c>
      <c r="T485" s="3"/>
      <c r="U485" s="3"/>
      <c r="V485" s="3"/>
      <c r="W485" s="3"/>
      <c r="X485" s="3"/>
      <c r="Y485" s="3"/>
      <c r="Z485" s="3"/>
      <c r="AA485" s="3"/>
      <c r="AB485" s="3"/>
      <c r="AC485" s="3"/>
    </row>
    <row r="486" spans="1:29" outlineLevel="1" x14ac:dyDescent="0.2">
      <c r="A486" s="3"/>
      <c r="B486" s="655">
        <f>'WK6 - Expenditure Program'!C86</f>
        <v>0</v>
      </c>
      <c r="C486" s="3"/>
      <c r="D486" s="3"/>
      <c r="E486" s="135"/>
      <c r="F486" s="3"/>
      <c r="G486" s="3"/>
      <c r="H486" s="96"/>
      <c r="I486" s="208">
        <f>'WK6 - Expenditure Program'!G86</f>
        <v>0</v>
      </c>
      <c r="J486" s="324">
        <f>'WK6 - Expenditure Program'!H86</f>
        <v>0</v>
      </c>
      <c r="K486" s="324">
        <f>'WK6 - Expenditure Program'!I86</f>
        <v>0</v>
      </c>
      <c r="L486" s="324">
        <f>'WK6 - Expenditure Program'!J86</f>
        <v>0</v>
      </c>
      <c r="M486" s="324">
        <f>'WK6 - Expenditure Program'!K86</f>
        <v>0</v>
      </c>
      <c r="N486" s="324">
        <f>'WK6 - Expenditure Program'!L86</f>
        <v>0</v>
      </c>
      <c r="O486" s="324">
        <f>'WK6 - Expenditure Program'!M86</f>
        <v>0</v>
      </c>
      <c r="P486" s="324">
        <f>'WK6 - Expenditure Program'!N86</f>
        <v>0</v>
      </c>
      <c r="Q486" s="324">
        <f>'WK6 - Expenditure Program'!O86</f>
        <v>0</v>
      </c>
      <c r="R486" s="324">
        <f>'WK6 - Expenditure Program'!P86</f>
        <v>0</v>
      </c>
      <c r="S486" s="658">
        <f>'WK6 - Expenditure Program'!Q86</f>
        <v>0</v>
      </c>
      <c r="T486" s="3"/>
      <c r="U486" s="3"/>
      <c r="V486" s="3"/>
      <c r="W486" s="3"/>
      <c r="X486" s="3"/>
      <c r="Y486" s="3"/>
      <c r="Z486" s="3"/>
      <c r="AA486" s="3"/>
      <c r="AB486" s="3"/>
      <c r="AC486" s="3"/>
    </row>
    <row r="487" spans="1:29" outlineLevel="1" x14ac:dyDescent="0.2">
      <c r="A487" s="3"/>
      <c r="B487" s="655">
        <f>'WK6 - Expenditure Program'!C87</f>
        <v>0</v>
      </c>
      <c r="C487" s="3"/>
      <c r="D487" s="3"/>
      <c r="E487" s="135"/>
      <c r="F487" s="3"/>
      <c r="G487" s="3"/>
      <c r="H487" s="96"/>
      <c r="I487" s="208">
        <f>'WK6 - Expenditure Program'!G87</f>
        <v>0</v>
      </c>
      <c r="J487" s="324">
        <f>'WK6 - Expenditure Program'!H87</f>
        <v>0</v>
      </c>
      <c r="K487" s="324">
        <f>'WK6 - Expenditure Program'!I87</f>
        <v>0</v>
      </c>
      <c r="L487" s="324">
        <f>'WK6 - Expenditure Program'!J87</f>
        <v>0</v>
      </c>
      <c r="M487" s="324">
        <f>'WK6 - Expenditure Program'!K87</f>
        <v>0</v>
      </c>
      <c r="N487" s="324">
        <f>'WK6 - Expenditure Program'!L87</f>
        <v>0</v>
      </c>
      <c r="O487" s="324">
        <f>'WK6 - Expenditure Program'!M87</f>
        <v>0</v>
      </c>
      <c r="P487" s="324">
        <f>'WK6 - Expenditure Program'!N87</f>
        <v>0</v>
      </c>
      <c r="Q487" s="324">
        <f>'WK6 - Expenditure Program'!O87</f>
        <v>0</v>
      </c>
      <c r="R487" s="324">
        <f>'WK6 - Expenditure Program'!P87</f>
        <v>0</v>
      </c>
      <c r="S487" s="658">
        <f>'WK6 - Expenditure Program'!Q87</f>
        <v>0</v>
      </c>
      <c r="T487" s="3"/>
      <c r="U487" s="3"/>
      <c r="V487" s="3"/>
      <c r="W487" s="3"/>
      <c r="X487" s="3"/>
      <c r="Y487" s="3"/>
      <c r="Z487" s="3"/>
      <c r="AA487" s="3"/>
      <c r="AB487" s="3"/>
      <c r="AC487" s="3"/>
    </row>
    <row r="488" spans="1:29" outlineLevel="1" x14ac:dyDescent="0.2">
      <c r="A488" s="3"/>
      <c r="B488" s="655">
        <f>'WK6 - Expenditure Program'!C88</f>
        <v>0</v>
      </c>
      <c r="C488" s="3"/>
      <c r="D488" s="3"/>
      <c r="E488" s="135"/>
      <c r="F488" s="3"/>
      <c r="G488" s="3"/>
      <c r="H488" s="96"/>
      <c r="I488" s="208">
        <f>'WK6 - Expenditure Program'!G88</f>
        <v>0</v>
      </c>
      <c r="J488" s="324">
        <f>'WK6 - Expenditure Program'!H88</f>
        <v>0</v>
      </c>
      <c r="K488" s="324">
        <f>'WK6 - Expenditure Program'!I88</f>
        <v>0</v>
      </c>
      <c r="L488" s="324">
        <f>'WK6 - Expenditure Program'!J88</f>
        <v>0</v>
      </c>
      <c r="M488" s="324">
        <f>'WK6 - Expenditure Program'!K88</f>
        <v>0</v>
      </c>
      <c r="N488" s="324">
        <f>'WK6 - Expenditure Program'!L88</f>
        <v>0</v>
      </c>
      <c r="O488" s="324">
        <f>'WK6 - Expenditure Program'!M88</f>
        <v>0</v>
      </c>
      <c r="P488" s="324">
        <f>'WK6 - Expenditure Program'!N88</f>
        <v>0</v>
      </c>
      <c r="Q488" s="324">
        <f>'WK6 - Expenditure Program'!O88</f>
        <v>0</v>
      </c>
      <c r="R488" s="324">
        <f>'WK6 - Expenditure Program'!P88</f>
        <v>0</v>
      </c>
      <c r="S488" s="658">
        <f>'WK6 - Expenditure Program'!Q88</f>
        <v>0</v>
      </c>
      <c r="T488" s="3"/>
      <c r="U488" s="3"/>
      <c r="V488" s="3"/>
      <c r="W488" s="3"/>
      <c r="X488" s="3"/>
      <c r="Y488" s="3"/>
      <c r="Z488" s="3"/>
      <c r="AA488" s="3"/>
      <c r="AB488" s="3"/>
      <c r="AC488" s="3"/>
    </row>
    <row r="489" spans="1:29" outlineLevel="1" x14ac:dyDescent="0.2">
      <c r="A489" s="3"/>
      <c r="B489" s="655">
        <f>'WK6 - Expenditure Program'!C89</f>
        <v>0</v>
      </c>
      <c r="C489" s="3"/>
      <c r="D489" s="3"/>
      <c r="E489" s="135"/>
      <c r="F489" s="3"/>
      <c r="G489" s="3"/>
      <c r="H489" s="96"/>
      <c r="I489" s="208">
        <f>'WK6 - Expenditure Program'!G89</f>
        <v>0</v>
      </c>
      <c r="J489" s="324">
        <f>'WK6 - Expenditure Program'!H89</f>
        <v>0</v>
      </c>
      <c r="K489" s="324">
        <f>'WK6 - Expenditure Program'!I89</f>
        <v>0</v>
      </c>
      <c r="L489" s="324">
        <f>'WK6 - Expenditure Program'!J89</f>
        <v>0</v>
      </c>
      <c r="M489" s="324">
        <f>'WK6 - Expenditure Program'!K89</f>
        <v>0</v>
      </c>
      <c r="N489" s="324">
        <f>'WK6 - Expenditure Program'!L89</f>
        <v>0</v>
      </c>
      <c r="O489" s="324">
        <f>'WK6 - Expenditure Program'!M89</f>
        <v>0</v>
      </c>
      <c r="P489" s="324">
        <f>'WK6 - Expenditure Program'!N89</f>
        <v>0</v>
      </c>
      <c r="Q489" s="324">
        <f>'WK6 - Expenditure Program'!O89</f>
        <v>0</v>
      </c>
      <c r="R489" s="324">
        <f>'WK6 - Expenditure Program'!P89</f>
        <v>0</v>
      </c>
      <c r="S489" s="658">
        <f>'WK6 - Expenditure Program'!Q89</f>
        <v>0</v>
      </c>
      <c r="T489" s="3"/>
      <c r="U489" s="3"/>
      <c r="V489" s="3"/>
      <c r="W489" s="3"/>
      <c r="X489" s="3"/>
      <c r="Y489" s="3"/>
      <c r="Z489" s="3"/>
      <c r="AA489" s="3"/>
      <c r="AB489" s="3"/>
      <c r="AC489" s="3"/>
    </row>
    <row r="490" spans="1:29" outlineLevel="1" x14ac:dyDescent="0.2">
      <c r="A490" s="3"/>
      <c r="B490" s="655">
        <f>'WK6 - Expenditure Program'!C90</f>
        <v>0</v>
      </c>
      <c r="C490" s="3"/>
      <c r="D490" s="3"/>
      <c r="E490" s="135"/>
      <c r="F490" s="3"/>
      <c r="G490" s="3"/>
      <c r="H490" s="96"/>
      <c r="I490" s="208">
        <f>'WK6 - Expenditure Program'!G90</f>
        <v>0</v>
      </c>
      <c r="J490" s="324">
        <f>'WK6 - Expenditure Program'!H90</f>
        <v>0</v>
      </c>
      <c r="K490" s="324">
        <f>'WK6 - Expenditure Program'!I90</f>
        <v>0</v>
      </c>
      <c r="L490" s="324">
        <f>'WK6 - Expenditure Program'!J90</f>
        <v>0</v>
      </c>
      <c r="M490" s="324">
        <f>'WK6 - Expenditure Program'!K90</f>
        <v>0</v>
      </c>
      <c r="N490" s="324">
        <f>'WK6 - Expenditure Program'!L90</f>
        <v>0</v>
      </c>
      <c r="O490" s="324">
        <f>'WK6 - Expenditure Program'!M90</f>
        <v>0</v>
      </c>
      <c r="P490" s="324">
        <f>'WK6 - Expenditure Program'!N90</f>
        <v>0</v>
      </c>
      <c r="Q490" s="324">
        <f>'WK6 - Expenditure Program'!O90</f>
        <v>0</v>
      </c>
      <c r="R490" s="324">
        <f>'WK6 - Expenditure Program'!P90</f>
        <v>0</v>
      </c>
      <c r="S490" s="658">
        <f>'WK6 - Expenditure Program'!Q90</f>
        <v>0</v>
      </c>
      <c r="T490" s="3"/>
      <c r="U490" s="3"/>
      <c r="V490" s="3"/>
      <c r="W490" s="3"/>
      <c r="X490" s="3"/>
      <c r="Y490" s="3"/>
      <c r="Z490" s="3"/>
      <c r="AA490" s="3"/>
      <c r="AB490" s="3"/>
      <c r="AC490" s="3"/>
    </row>
    <row r="491" spans="1:29" outlineLevel="1" x14ac:dyDescent="0.2">
      <c r="A491" s="3"/>
      <c r="B491" s="655">
        <f>'WK6 - Expenditure Program'!C91</f>
        <v>0</v>
      </c>
      <c r="C491" s="3"/>
      <c r="D491" s="3"/>
      <c r="E491" s="135"/>
      <c r="F491" s="3"/>
      <c r="G491" s="3"/>
      <c r="H491" s="96"/>
      <c r="I491" s="208">
        <f>'WK6 - Expenditure Program'!G91</f>
        <v>0</v>
      </c>
      <c r="J491" s="324">
        <f>'WK6 - Expenditure Program'!H91</f>
        <v>0</v>
      </c>
      <c r="K491" s="324">
        <f>'WK6 - Expenditure Program'!I91</f>
        <v>0</v>
      </c>
      <c r="L491" s="324">
        <f>'WK6 - Expenditure Program'!J91</f>
        <v>0</v>
      </c>
      <c r="M491" s="324">
        <f>'WK6 - Expenditure Program'!K91</f>
        <v>0</v>
      </c>
      <c r="N491" s="324">
        <f>'WK6 - Expenditure Program'!L91</f>
        <v>0</v>
      </c>
      <c r="O491" s="324">
        <f>'WK6 - Expenditure Program'!M91</f>
        <v>0</v>
      </c>
      <c r="P491" s="324">
        <f>'WK6 - Expenditure Program'!N91</f>
        <v>0</v>
      </c>
      <c r="Q491" s="324">
        <f>'WK6 - Expenditure Program'!O91</f>
        <v>0</v>
      </c>
      <c r="R491" s="324">
        <f>'WK6 - Expenditure Program'!P91</f>
        <v>0</v>
      </c>
      <c r="S491" s="658">
        <f>'WK6 - Expenditure Program'!Q91</f>
        <v>0</v>
      </c>
      <c r="T491" s="3"/>
      <c r="U491" s="3"/>
      <c r="V491" s="3"/>
      <c r="W491" s="3"/>
      <c r="X491" s="3"/>
      <c r="Y491" s="3"/>
      <c r="Z491" s="3"/>
      <c r="AA491" s="3"/>
      <c r="AB491" s="3"/>
      <c r="AC491" s="3"/>
    </row>
    <row r="492" spans="1:29" outlineLevel="1" x14ac:dyDescent="0.2">
      <c r="A492" s="3"/>
      <c r="B492" s="655">
        <f>'WK6 - Expenditure Program'!C92</f>
        <v>0</v>
      </c>
      <c r="C492" s="3"/>
      <c r="D492" s="3"/>
      <c r="E492" s="135"/>
      <c r="F492" s="3"/>
      <c r="G492" s="3"/>
      <c r="H492" s="96"/>
      <c r="I492" s="208">
        <f>'WK6 - Expenditure Program'!G92</f>
        <v>0</v>
      </c>
      <c r="J492" s="324">
        <f>'WK6 - Expenditure Program'!H92</f>
        <v>0</v>
      </c>
      <c r="K492" s="324">
        <f>'WK6 - Expenditure Program'!I92</f>
        <v>0</v>
      </c>
      <c r="L492" s="324">
        <f>'WK6 - Expenditure Program'!J92</f>
        <v>0</v>
      </c>
      <c r="M492" s="324">
        <f>'WK6 - Expenditure Program'!K92</f>
        <v>0</v>
      </c>
      <c r="N492" s="324">
        <f>'WK6 - Expenditure Program'!L92</f>
        <v>0</v>
      </c>
      <c r="O492" s="324">
        <f>'WK6 - Expenditure Program'!M92</f>
        <v>0</v>
      </c>
      <c r="P492" s="324">
        <f>'WK6 - Expenditure Program'!N92</f>
        <v>0</v>
      </c>
      <c r="Q492" s="324">
        <f>'WK6 - Expenditure Program'!O92</f>
        <v>0</v>
      </c>
      <c r="R492" s="324">
        <f>'WK6 - Expenditure Program'!P92</f>
        <v>0</v>
      </c>
      <c r="S492" s="658">
        <f>'WK6 - Expenditure Program'!Q92</f>
        <v>0</v>
      </c>
      <c r="T492" s="3"/>
      <c r="U492" s="3"/>
      <c r="V492" s="3"/>
      <c r="W492" s="3"/>
      <c r="X492" s="3"/>
      <c r="Y492" s="3"/>
      <c r="Z492" s="3"/>
      <c r="AA492" s="3"/>
      <c r="AB492" s="3"/>
      <c r="AC492" s="3"/>
    </row>
    <row r="493" spans="1:29" outlineLevel="1" x14ac:dyDescent="0.2">
      <c r="A493" s="3"/>
      <c r="B493" s="655">
        <f>'WK6 - Expenditure Program'!C93</f>
        <v>0</v>
      </c>
      <c r="C493" s="3"/>
      <c r="D493" s="3"/>
      <c r="E493" s="135"/>
      <c r="F493" s="3"/>
      <c r="G493" s="3"/>
      <c r="H493" s="96"/>
      <c r="I493" s="208">
        <f>'WK6 - Expenditure Program'!G93</f>
        <v>0</v>
      </c>
      <c r="J493" s="324">
        <f>'WK6 - Expenditure Program'!H93</f>
        <v>0</v>
      </c>
      <c r="K493" s="324">
        <f>'WK6 - Expenditure Program'!I93</f>
        <v>0</v>
      </c>
      <c r="L493" s="324">
        <f>'WK6 - Expenditure Program'!J93</f>
        <v>0</v>
      </c>
      <c r="M493" s="324">
        <f>'WK6 - Expenditure Program'!K93</f>
        <v>0</v>
      </c>
      <c r="N493" s="324">
        <f>'WK6 - Expenditure Program'!L93</f>
        <v>0</v>
      </c>
      <c r="O493" s="324">
        <f>'WK6 - Expenditure Program'!M93</f>
        <v>0</v>
      </c>
      <c r="P493" s="324">
        <f>'WK6 - Expenditure Program'!N93</f>
        <v>0</v>
      </c>
      <c r="Q493" s="324">
        <f>'WK6 - Expenditure Program'!O93</f>
        <v>0</v>
      </c>
      <c r="R493" s="324">
        <f>'WK6 - Expenditure Program'!P93</f>
        <v>0</v>
      </c>
      <c r="S493" s="658">
        <f>'WK6 - Expenditure Program'!Q93</f>
        <v>0</v>
      </c>
      <c r="T493" s="3"/>
      <c r="U493" s="3"/>
      <c r="V493" s="3"/>
      <c r="W493" s="3"/>
      <c r="X493" s="3"/>
      <c r="Y493" s="3"/>
      <c r="Z493" s="3"/>
      <c r="AA493" s="3"/>
      <c r="AB493" s="3"/>
      <c r="AC493" s="3"/>
    </row>
    <row r="494" spans="1:29" outlineLevel="1" x14ac:dyDescent="0.2">
      <c r="A494" s="3"/>
      <c r="B494" s="655">
        <f>'WK6 - Expenditure Program'!C94</f>
        <v>0</v>
      </c>
      <c r="C494" s="3"/>
      <c r="D494" s="3"/>
      <c r="E494" s="135"/>
      <c r="F494" s="3"/>
      <c r="G494" s="3"/>
      <c r="H494" s="96"/>
      <c r="I494" s="208">
        <f>'WK6 - Expenditure Program'!G94</f>
        <v>0</v>
      </c>
      <c r="J494" s="324">
        <f>'WK6 - Expenditure Program'!H94</f>
        <v>0</v>
      </c>
      <c r="K494" s="324">
        <f>'WK6 - Expenditure Program'!I94</f>
        <v>0</v>
      </c>
      <c r="L494" s="324">
        <f>'WK6 - Expenditure Program'!J94</f>
        <v>0</v>
      </c>
      <c r="M494" s="324">
        <f>'WK6 - Expenditure Program'!K94</f>
        <v>0</v>
      </c>
      <c r="N494" s="324">
        <f>'WK6 - Expenditure Program'!L94</f>
        <v>0</v>
      </c>
      <c r="O494" s="324">
        <f>'WK6 - Expenditure Program'!M94</f>
        <v>0</v>
      </c>
      <c r="P494" s="324">
        <f>'WK6 - Expenditure Program'!N94</f>
        <v>0</v>
      </c>
      <c r="Q494" s="324">
        <f>'WK6 - Expenditure Program'!O94</f>
        <v>0</v>
      </c>
      <c r="R494" s="324">
        <f>'WK6 - Expenditure Program'!P94</f>
        <v>0</v>
      </c>
      <c r="S494" s="658">
        <f>'WK6 - Expenditure Program'!Q94</f>
        <v>0</v>
      </c>
      <c r="T494" s="3"/>
      <c r="U494" s="3"/>
      <c r="V494" s="3"/>
      <c r="W494" s="3"/>
      <c r="X494" s="3"/>
      <c r="Y494" s="3"/>
      <c r="Z494" s="3"/>
      <c r="AA494" s="3"/>
      <c r="AB494" s="3"/>
      <c r="AC494" s="3"/>
    </row>
    <row r="495" spans="1:29" outlineLevel="1" x14ac:dyDescent="0.2">
      <c r="A495" s="3"/>
      <c r="B495" s="655">
        <f>'WK6 - Expenditure Program'!C95</f>
        <v>0</v>
      </c>
      <c r="C495" s="3"/>
      <c r="D495" s="3"/>
      <c r="E495" s="135"/>
      <c r="F495" s="3"/>
      <c r="G495" s="3"/>
      <c r="H495" s="96"/>
      <c r="I495" s="208">
        <f>'WK6 - Expenditure Program'!G95</f>
        <v>0</v>
      </c>
      <c r="J495" s="324">
        <f>'WK6 - Expenditure Program'!H95</f>
        <v>0</v>
      </c>
      <c r="K495" s="324">
        <f>'WK6 - Expenditure Program'!I95</f>
        <v>0</v>
      </c>
      <c r="L495" s="324">
        <f>'WK6 - Expenditure Program'!J95</f>
        <v>0</v>
      </c>
      <c r="M495" s="324">
        <f>'WK6 - Expenditure Program'!K95</f>
        <v>0</v>
      </c>
      <c r="N495" s="324">
        <f>'WK6 - Expenditure Program'!L95</f>
        <v>0</v>
      </c>
      <c r="O495" s="324">
        <f>'WK6 - Expenditure Program'!M95</f>
        <v>0</v>
      </c>
      <c r="P495" s="324">
        <f>'WK6 - Expenditure Program'!N95</f>
        <v>0</v>
      </c>
      <c r="Q495" s="324">
        <f>'WK6 - Expenditure Program'!O95</f>
        <v>0</v>
      </c>
      <c r="R495" s="324">
        <f>'WK6 - Expenditure Program'!P95</f>
        <v>0</v>
      </c>
      <c r="S495" s="658">
        <f>'WK6 - Expenditure Program'!Q95</f>
        <v>0</v>
      </c>
      <c r="T495" s="3"/>
      <c r="U495" s="3"/>
      <c r="V495" s="3"/>
      <c r="W495" s="3"/>
      <c r="X495" s="3"/>
      <c r="Y495" s="3"/>
      <c r="Z495" s="3"/>
      <c r="AA495" s="3"/>
      <c r="AB495" s="3"/>
      <c r="AC495" s="3"/>
    </row>
    <row r="496" spans="1:29" outlineLevel="1" x14ac:dyDescent="0.2">
      <c r="A496" s="3"/>
      <c r="B496" s="655">
        <f>'WK6 - Expenditure Program'!C96</f>
        <v>0</v>
      </c>
      <c r="C496" s="3"/>
      <c r="D496" s="3"/>
      <c r="E496" s="135"/>
      <c r="F496" s="3"/>
      <c r="G496" s="3"/>
      <c r="H496" s="96"/>
      <c r="I496" s="208">
        <f>'WK6 - Expenditure Program'!G96</f>
        <v>0</v>
      </c>
      <c r="J496" s="324">
        <f>'WK6 - Expenditure Program'!H96</f>
        <v>0</v>
      </c>
      <c r="K496" s="324">
        <f>'WK6 - Expenditure Program'!I96</f>
        <v>0</v>
      </c>
      <c r="L496" s="324">
        <f>'WK6 - Expenditure Program'!J96</f>
        <v>0</v>
      </c>
      <c r="M496" s="324">
        <f>'WK6 - Expenditure Program'!K96</f>
        <v>0</v>
      </c>
      <c r="N496" s="324">
        <f>'WK6 - Expenditure Program'!L96</f>
        <v>0</v>
      </c>
      <c r="O496" s="324">
        <f>'WK6 - Expenditure Program'!M96</f>
        <v>0</v>
      </c>
      <c r="P496" s="324">
        <f>'WK6 - Expenditure Program'!N96</f>
        <v>0</v>
      </c>
      <c r="Q496" s="324">
        <f>'WK6 - Expenditure Program'!O96</f>
        <v>0</v>
      </c>
      <c r="R496" s="324">
        <f>'WK6 - Expenditure Program'!P96</f>
        <v>0</v>
      </c>
      <c r="S496" s="658">
        <f>'WK6 - Expenditure Program'!Q96</f>
        <v>0</v>
      </c>
      <c r="T496" s="3"/>
      <c r="U496" s="3"/>
      <c r="V496" s="3"/>
      <c r="W496" s="3"/>
      <c r="X496" s="3"/>
      <c r="Y496" s="3"/>
      <c r="Z496" s="3"/>
      <c r="AA496" s="3"/>
      <c r="AB496" s="3"/>
      <c r="AC496" s="3"/>
    </row>
    <row r="497" spans="1:29" outlineLevel="1" x14ac:dyDescent="0.2">
      <c r="A497" s="3"/>
      <c r="B497" s="655">
        <f>'WK6 - Expenditure Program'!C97</f>
        <v>0</v>
      </c>
      <c r="C497" s="3"/>
      <c r="D497" s="3"/>
      <c r="E497" s="135"/>
      <c r="F497" s="3"/>
      <c r="G497" s="3"/>
      <c r="H497" s="96"/>
      <c r="I497" s="208">
        <f>'WK6 - Expenditure Program'!G97</f>
        <v>0</v>
      </c>
      <c r="J497" s="324">
        <f>'WK6 - Expenditure Program'!H97</f>
        <v>0</v>
      </c>
      <c r="K497" s="324">
        <f>'WK6 - Expenditure Program'!I97</f>
        <v>0</v>
      </c>
      <c r="L497" s="324">
        <f>'WK6 - Expenditure Program'!J97</f>
        <v>0</v>
      </c>
      <c r="M497" s="324">
        <f>'WK6 - Expenditure Program'!K97</f>
        <v>0</v>
      </c>
      <c r="N497" s="324">
        <f>'WK6 - Expenditure Program'!L97</f>
        <v>0</v>
      </c>
      <c r="O497" s="324">
        <f>'WK6 - Expenditure Program'!M97</f>
        <v>0</v>
      </c>
      <c r="P497" s="324">
        <f>'WK6 - Expenditure Program'!N97</f>
        <v>0</v>
      </c>
      <c r="Q497" s="324">
        <f>'WK6 - Expenditure Program'!O97</f>
        <v>0</v>
      </c>
      <c r="R497" s="324">
        <f>'WK6 - Expenditure Program'!P97</f>
        <v>0</v>
      </c>
      <c r="S497" s="658">
        <f>'WK6 - Expenditure Program'!Q97</f>
        <v>0</v>
      </c>
      <c r="T497" s="3"/>
      <c r="U497" s="3"/>
      <c r="V497" s="3"/>
      <c r="W497" s="3"/>
      <c r="X497" s="3"/>
      <c r="Y497" s="3"/>
      <c r="Z497" s="3"/>
      <c r="AA497" s="3"/>
      <c r="AB497" s="3"/>
      <c r="AC497" s="3"/>
    </row>
    <row r="498" spans="1:29" outlineLevel="1" x14ac:dyDescent="0.2">
      <c r="A498" s="3"/>
      <c r="B498" s="655">
        <f>'WK6 - Expenditure Program'!C98</f>
        <v>0</v>
      </c>
      <c r="C498" s="3"/>
      <c r="D498" s="3"/>
      <c r="E498" s="135"/>
      <c r="F498" s="3"/>
      <c r="G498" s="3"/>
      <c r="H498" s="96"/>
      <c r="I498" s="208">
        <f>'WK6 - Expenditure Program'!G98</f>
        <v>0</v>
      </c>
      <c r="J498" s="324">
        <f>'WK6 - Expenditure Program'!H98</f>
        <v>0</v>
      </c>
      <c r="K498" s="324">
        <f>'WK6 - Expenditure Program'!I98</f>
        <v>0</v>
      </c>
      <c r="L498" s="324">
        <f>'WK6 - Expenditure Program'!J98</f>
        <v>0</v>
      </c>
      <c r="M498" s="324">
        <f>'WK6 - Expenditure Program'!K98</f>
        <v>0</v>
      </c>
      <c r="N498" s="324">
        <f>'WK6 - Expenditure Program'!L98</f>
        <v>0</v>
      </c>
      <c r="O498" s="324">
        <f>'WK6 - Expenditure Program'!M98</f>
        <v>0</v>
      </c>
      <c r="P498" s="324">
        <f>'WK6 - Expenditure Program'!N98</f>
        <v>0</v>
      </c>
      <c r="Q498" s="324">
        <f>'WK6 - Expenditure Program'!O98</f>
        <v>0</v>
      </c>
      <c r="R498" s="324">
        <f>'WK6 - Expenditure Program'!P98</f>
        <v>0</v>
      </c>
      <c r="S498" s="658">
        <f>'WK6 - Expenditure Program'!Q98</f>
        <v>0</v>
      </c>
      <c r="T498" s="3"/>
      <c r="U498" s="3"/>
      <c r="V498" s="3"/>
      <c r="W498" s="3"/>
      <c r="X498" s="3"/>
      <c r="Y498" s="3"/>
      <c r="Z498" s="3"/>
      <c r="AA498" s="3"/>
      <c r="AB498" s="3"/>
      <c r="AC498" s="3"/>
    </row>
    <row r="499" spans="1:29" outlineLevel="1" x14ac:dyDescent="0.2">
      <c r="A499" s="3"/>
      <c r="B499" s="655">
        <f>'WK6 - Expenditure Program'!C99</f>
        <v>0</v>
      </c>
      <c r="C499" s="3"/>
      <c r="D499" s="3"/>
      <c r="E499" s="135"/>
      <c r="F499" s="3"/>
      <c r="G499" s="3"/>
      <c r="H499" s="96"/>
      <c r="I499" s="208">
        <f>'WK6 - Expenditure Program'!G99</f>
        <v>0</v>
      </c>
      <c r="J499" s="324">
        <f>'WK6 - Expenditure Program'!H99</f>
        <v>0</v>
      </c>
      <c r="K499" s="324">
        <f>'WK6 - Expenditure Program'!I99</f>
        <v>0</v>
      </c>
      <c r="L499" s="324">
        <f>'WK6 - Expenditure Program'!J99</f>
        <v>0</v>
      </c>
      <c r="M499" s="324">
        <f>'WK6 - Expenditure Program'!K99</f>
        <v>0</v>
      </c>
      <c r="N499" s="324">
        <f>'WK6 - Expenditure Program'!L99</f>
        <v>0</v>
      </c>
      <c r="O499" s="324">
        <f>'WK6 - Expenditure Program'!M99</f>
        <v>0</v>
      </c>
      <c r="P499" s="324">
        <f>'WK6 - Expenditure Program'!N99</f>
        <v>0</v>
      </c>
      <c r="Q499" s="324">
        <f>'WK6 - Expenditure Program'!O99</f>
        <v>0</v>
      </c>
      <c r="R499" s="324">
        <f>'WK6 - Expenditure Program'!P99</f>
        <v>0</v>
      </c>
      <c r="S499" s="658">
        <f>'WK6 - Expenditure Program'!Q99</f>
        <v>0</v>
      </c>
      <c r="T499" s="3"/>
      <c r="U499" s="3"/>
      <c r="V499" s="3"/>
      <c r="W499" s="3"/>
      <c r="X499" s="3"/>
      <c r="Y499" s="3"/>
      <c r="Z499" s="3"/>
      <c r="AA499" s="3"/>
      <c r="AB499" s="3"/>
      <c r="AC499" s="3"/>
    </row>
    <row r="500" spans="1:29" outlineLevel="1" x14ac:dyDescent="0.2">
      <c r="A500" s="3"/>
      <c r="B500" s="655">
        <f>'WK6 - Expenditure Program'!C100</f>
        <v>0</v>
      </c>
      <c r="C500" s="3"/>
      <c r="D500" s="3"/>
      <c r="E500" s="135"/>
      <c r="F500" s="3"/>
      <c r="G500" s="3"/>
      <c r="H500" s="96"/>
      <c r="I500" s="208">
        <f>'WK6 - Expenditure Program'!G100</f>
        <v>0</v>
      </c>
      <c r="J500" s="324">
        <f>'WK6 - Expenditure Program'!H100</f>
        <v>0</v>
      </c>
      <c r="K500" s="324">
        <f>'WK6 - Expenditure Program'!I100</f>
        <v>0</v>
      </c>
      <c r="L500" s="324">
        <f>'WK6 - Expenditure Program'!J100</f>
        <v>0</v>
      </c>
      <c r="M500" s="324">
        <f>'WK6 - Expenditure Program'!K100</f>
        <v>0</v>
      </c>
      <c r="N500" s="324">
        <f>'WK6 - Expenditure Program'!L100</f>
        <v>0</v>
      </c>
      <c r="O500" s="324">
        <f>'WK6 - Expenditure Program'!M100</f>
        <v>0</v>
      </c>
      <c r="P500" s="324">
        <f>'WK6 - Expenditure Program'!N100</f>
        <v>0</v>
      </c>
      <c r="Q500" s="324">
        <f>'WK6 - Expenditure Program'!O100</f>
        <v>0</v>
      </c>
      <c r="R500" s="324">
        <f>'WK6 - Expenditure Program'!P100</f>
        <v>0</v>
      </c>
      <c r="S500" s="658">
        <f>'WK6 - Expenditure Program'!Q100</f>
        <v>0</v>
      </c>
      <c r="T500" s="3"/>
      <c r="U500" s="3"/>
      <c r="V500" s="3"/>
      <c r="W500" s="3"/>
      <c r="X500" s="3"/>
      <c r="Y500" s="3"/>
      <c r="Z500" s="3"/>
      <c r="AA500" s="3"/>
      <c r="AB500" s="3"/>
      <c r="AC500" s="3"/>
    </row>
    <row r="501" spans="1:29" outlineLevel="1" x14ac:dyDescent="0.2">
      <c r="A501" s="3"/>
      <c r="B501" s="655">
        <f>'WK6 - Expenditure Program'!C101</f>
        <v>0</v>
      </c>
      <c r="C501" s="3"/>
      <c r="D501" s="3"/>
      <c r="E501" s="135"/>
      <c r="F501" s="3"/>
      <c r="G501" s="3"/>
      <c r="H501" s="96"/>
      <c r="I501" s="208">
        <f>'WK6 - Expenditure Program'!G101</f>
        <v>0</v>
      </c>
      <c r="J501" s="324">
        <f>'WK6 - Expenditure Program'!H101</f>
        <v>0</v>
      </c>
      <c r="K501" s="324">
        <f>'WK6 - Expenditure Program'!I101</f>
        <v>0</v>
      </c>
      <c r="L501" s="324">
        <f>'WK6 - Expenditure Program'!J101</f>
        <v>0</v>
      </c>
      <c r="M501" s="324">
        <f>'WK6 - Expenditure Program'!K101</f>
        <v>0</v>
      </c>
      <c r="N501" s="324">
        <f>'WK6 - Expenditure Program'!L101</f>
        <v>0</v>
      </c>
      <c r="O501" s="324">
        <f>'WK6 - Expenditure Program'!M101</f>
        <v>0</v>
      </c>
      <c r="P501" s="324">
        <f>'WK6 - Expenditure Program'!N101</f>
        <v>0</v>
      </c>
      <c r="Q501" s="324">
        <f>'WK6 - Expenditure Program'!O101</f>
        <v>0</v>
      </c>
      <c r="R501" s="324">
        <f>'WK6 - Expenditure Program'!P101</f>
        <v>0</v>
      </c>
      <c r="S501" s="658">
        <f>'WK6 - Expenditure Program'!Q101</f>
        <v>0</v>
      </c>
      <c r="T501" s="3"/>
      <c r="U501" s="3"/>
      <c r="V501" s="3"/>
      <c r="W501" s="3"/>
      <c r="X501" s="3"/>
      <c r="Y501" s="3"/>
      <c r="Z501" s="3"/>
      <c r="AA501" s="3"/>
      <c r="AB501" s="3"/>
      <c r="AC501" s="3"/>
    </row>
    <row r="502" spans="1:29" outlineLevel="1" x14ac:dyDescent="0.2">
      <c r="A502" s="3"/>
      <c r="B502" s="655">
        <f>'WK6 - Expenditure Program'!C102</f>
        <v>0</v>
      </c>
      <c r="C502" s="3"/>
      <c r="D502" s="3"/>
      <c r="E502" s="135"/>
      <c r="F502" s="3"/>
      <c r="G502" s="3"/>
      <c r="H502" s="96"/>
      <c r="I502" s="208">
        <f>'WK6 - Expenditure Program'!G102</f>
        <v>0</v>
      </c>
      <c r="J502" s="324">
        <f>'WK6 - Expenditure Program'!H102</f>
        <v>0</v>
      </c>
      <c r="K502" s="324">
        <f>'WK6 - Expenditure Program'!I102</f>
        <v>0</v>
      </c>
      <c r="L502" s="324">
        <f>'WK6 - Expenditure Program'!J102</f>
        <v>0</v>
      </c>
      <c r="M502" s="324">
        <f>'WK6 - Expenditure Program'!K102</f>
        <v>0</v>
      </c>
      <c r="N502" s="324">
        <f>'WK6 - Expenditure Program'!L102</f>
        <v>0</v>
      </c>
      <c r="O502" s="324">
        <f>'WK6 - Expenditure Program'!M102</f>
        <v>0</v>
      </c>
      <c r="P502" s="324">
        <f>'WK6 - Expenditure Program'!N102</f>
        <v>0</v>
      </c>
      <c r="Q502" s="324">
        <f>'WK6 - Expenditure Program'!O102</f>
        <v>0</v>
      </c>
      <c r="R502" s="324">
        <f>'WK6 - Expenditure Program'!P102</f>
        <v>0</v>
      </c>
      <c r="S502" s="658">
        <f>'WK6 - Expenditure Program'!Q102</f>
        <v>0</v>
      </c>
      <c r="T502" s="3"/>
      <c r="U502" s="3"/>
      <c r="V502" s="3"/>
      <c r="W502" s="3"/>
      <c r="X502" s="3"/>
      <c r="Y502" s="3"/>
      <c r="Z502" s="3"/>
      <c r="AA502" s="3"/>
      <c r="AB502" s="3"/>
      <c r="AC502" s="3"/>
    </row>
    <row r="503" spans="1:29" outlineLevel="1" x14ac:dyDescent="0.2">
      <c r="A503" s="3"/>
      <c r="B503" s="655">
        <f>'WK6 - Expenditure Program'!C103</f>
        <v>0</v>
      </c>
      <c r="C503" s="3"/>
      <c r="D503" s="3"/>
      <c r="E503" s="135"/>
      <c r="F503" s="3"/>
      <c r="G503" s="3"/>
      <c r="H503" s="96"/>
      <c r="I503" s="208">
        <f>'WK6 - Expenditure Program'!G103</f>
        <v>0</v>
      </c>
      <c r="J503" s="324">
        <f>'WK6 - Expenditure Program'!H103</f>
        <v>0</v>
      </c>
      <c r="K503" s="324">
        <f>'WK6 - Expenditure Program'!I103</f>
        <v>0</v>
      </c>
      <c r="L503" s="324">
        <f>'WK6 - Expenditure Program'!J103</f>
        <v>0</v>
      </c>
      <c r="M503" s="324">
        <f>'WK6 - Expenditure Program'!K103</f>
        <v>0</v>
      </c>
      <c r="N503" s="324">
        <f>'WK6 - Expenditure Program'!L103</f>
        <v>0</v>
      </c>
      <c r="O503" s="324">
        <f>'WK6 - Expenditure Program'!M103</f>
        <v>0</v>
      </c>
      <c r="P503" s="324">
        <f>'WK6 - Expenditure Program'!N103</f>
        <v>0</v>
      </c>
      <c r="Q503" s="324">
        <f>'WK6 - Expenditure Program'!O103</f>
        <v>0</v>
      </c>
      <c r="R503" s="324">
        <f>'WK6 - Expenditure Program'!P103</f>
        <v>0</v>
      </c>
      <c r="S503" s="658">
        <f>'WK6 - Expenditure Program'!Q103</f>
        <v>0</v>
      </c>
      <c r="T503" s="3"/>
      <c r="U503" s="3"/>
      <c r="V503" s="3"/>
      <c r="W503" s="3"/>
      <c r="X503" s="3"/>
      <c r="Y503" s="3"/>
      <c r="Z503" s="3"/>
      <c r="AA503" s="3"/>
      <c r="AB503" s="3"/>
      <c r="AC503" s="3"/>
    </row>
    <row r="504" spans="1:29" outlineLevel="1" x14ac:dyDescent="0.2">
      <c r="A504" s="3"/>
      <c r="B504" s="655">
        <f>'WK6 - Expenditure Program'!C104</f>
        <v>0</v>
      </c>
      <c r="C504" s="3"/>
      <c r="D504" s="3"/>
      <c r="E504" s="135"/>
      <c r="F504" s="3"/>
      <c r="G504" s="3"/>
      <c r="H504" s="96"/>
      <c r="I504" s="208">
        <f>'WK6 - Expenditure Program'!G104</f>
        <v>0</v>
      </c>
      <c r="J504" s="324">
        <f>'WK6 - Expenditure Program'!H104</f>
        <v>0</v>
      </c>
      <c r="K504" s="324">
        <f>'WK6 - Expenditure Program'!I104</f>
        <v>0</v>
      </c>
      <c r="L504" s="324">
        <f>'WK6 - Expenditure Program'!J104</f>
        <v>0</v>
      </c>
      <c r="M504" s="324">
        <f>'WK6 - Expenditure Program'!K104</f>
        <v>0</v>
      </c>
      <c r="N504" s="324">
        <f>'WK6 - Expenditure Program'!L104</f>
        <v>0</v>
      </c>
      <c r="O504" s="324">
        <f>'WK6 - Expenditure Program'!M104</f>
        <v>0</v>
      </c>
      <c r="P504" s="324">
        <f>'WK6 - Expenditure Program'!N104</f>
        <v>0</v>
      </c>
      <c r="Q504" s="324">
        <f>'WK6 - Expenditure Program'!O104</f>
        <v>0</v>
      </c>
      <c r="R504" s="324">
        <f>'WK6 - Expenditure Program'!P104</f>
        <v>0</v>
      </c>
      <c r="S504" s="658">
        <f>'WK6 - Expenditure Program'!Q104</f>
        <v>0</v>
      </c>
      <c r="T504" s="3"/>
      <c r="U504" s="3"/>
      <c r="V504" s="3"/>
      <c r="W504" s="3"/>
      <c r="X504" s="3"/>
      <c r="Y504" s="3"/>
      <c r="Z504" s="3"/>
      <c r="AA504" s="3"/>
      <c r="AB504" s="3"/>
      <c r="AC504" s="3"/>
    </row>
    <row r="505" spans="1:29" outlineLevel="1" x14ac:dyDescent="0.2">
      <c r="A505" s="3"/>
      <c r="B505" s="655">
        <f>'WK6 - Expenditure Program'!C105</f>
        <v>0</v>
      </c>
      <c r="C505" s="3"/>
      <c r="D505" s="3"/>
      <c r="E505" s="135"/>
      <c r="F505" s="3"/>
      <c r="G505" s="3"/>
      <c r="H505" s="96"/>
      <c r="I505" s="208">
        <f>'WK6 - Expenditure Program'!G105</f>
        <v>0</v>
      </c>
      <c r="J505" s="324">
        <f>'WK6 - Expenditure Program'!H105</f>
        <v>0</v>
      </c>
      <c r="K505" s="324">
        <f>'WK6 - Expenditure Program'!I105</f>
        <v>0</v>
      </c>
      <c r="L505" s="324">
        <f>'WK6 - Expenditure Program'!J105</f>
        <v>0</v>
      </c>
      <c r="M505" s="324">
        <f>'WK6 - Expenditure Program'!K105</f>
        <v>0</v>
      </c>
      <c r="N505" s="324">
        <f>'WK6 - Expenditure Program'!L105</f>
        <v>0</v>
      </c>
      <c r="O505" s="324">
        <f>'WK6 - Expenditure Program'!M105</f>
        <v>0</v>
      </c>
      <c r="P505" s="324">
        <f>'WK6 - Expenditure Program'!N105</f>
        <v>0</v>
      </c>
      <c r="Q505" s="324">
        <f>'WK6 - Expenditure Program'!O105</f>
        <v>0</v>
      </c>
      <c r="R505" s="324">
        <f>'WK6 - Expenditure Program'!P105</f>
        <v>0</v>
      </c>
      <c r="S505" s="658">
        <f>'WK6 - Expenditure Program'!Q105</f>
        <v>0</v>
      </c>
      <c r="T505" s="3"/>
      <c r="U505" s="3"/>
      <c r="V505" s="3"/>
      <c r="W505" s="3"/>
      <c r="X505" s="3"/>
      <c r="Y505" s="3"/>
      <c r="Z505" s="3"/>
      <c r="AA505" s="3"/>
      <c r="AB505" s="3"/>
      <c r="AC505" s="3"/>
    </row>
    <row r="506" spans="1:29" outlineLevel="1" x14ac:dyDescent="0.2">
      <c r="A506" s="3"/>
      <c r="B506" s="655">
        <f>'WK6 - Expenditure Program'!C106</f>
        <v>0</v>
      </c>
      <c r="C506" s="3"/>
      <c r="D506" s="3"/>
      <c r="E506" s="135"/>
      <c r="F506" s="3"/>
      <c r="G506" s="3"/>
      <c r="H506" s="96"/>
      <c r="I506" s="208">
        <f>'WK6 - Expenditure Program'!G106</f>
        <v>0</v>
      </c>
      <c r="J506" s="324">
        <f>'WK6 - Expenditure Program'!H106</f>
        <v>0</v>
      </c>
      <c r="K506" s="324">
        <f>'WK6 - Expenditure Program'!I106</f>
        <v>0</v>
      </c>
      <c r="L506" s="324">
        <f>'WK6 - Expenditure Program'!J106</f>
        <v>0</v>
      </c>
      <c r="M506" s="324">
        <f>'WK6 - Expenditure Program'!K106</f>
        <v>0</v>
      </c>
      <c r="N506" s="324">
        <f>'WK6 - Expenditure Program'!L106</f>
        <v>0</v>
      </c>
      <c r="O506" s="324">
        <f>'WK6 - Expenditure Program'!M106</f>
        <v>0</v>
      </c>
      <c r="P506" s="324">
        <f>'WK6 - Expenditure Program'!N106</f>
        <v>0</v>
      </c>
      <c r="Q506" s="324">
        <f>'WK6 - Expenditure Program'!O106</f>
        <v>0</v>
      </c>
      <c r="R506" s="324">
        <f>'WK6 - Expenditure Program'!P106</f>
        <v>0</v>
      </c>
      <c r="S506" s="658">
        <f>'WK6 - Expenditure Program'!Q106</f>
        <v>0</v>
      </c>
      <c r="T506" s="3"/>
      <c r="U506" s="3"/>
      <c r="V506" s="3"/>
      <c r="W506" s="3"/>
      <c r="X506" s="3"/>
      <c r="Y506" s="3"/>
      <c r="Z506" s="3"/>
      <c r="AA506" s="3"/>
      <c r="AB506" s="3"/>
      <c r="AC506" s="3"/>
    </row>
    <row r="507" spans="1:29" outlineLevel="1" x14ac:dyDescent="0.2">
      <c r="A507" s="3"/>
      <c r="B507" s="655">
        <f>'WK6 - Expenditure Program'!C107</f>
        <v>0</v>
      </c>
      <c r="C507" s="3"/>
      <c r="D507" s="3"/>
      <c r="E507" s="135"/>
      <c r="F507" s="3"/>
      <c r="G507" s="3"/>
      <c r="H507" s="96"/>
      <c r="I507" s="208">
        <f>'WK6 - Expenditure Program'!G107</f>
        <v>0</v>
      </c>
      <c r="J507" s="324">
        <f>'WK6 - Expenditure Program'!H107</f>
        <v>0</v>
      </c>
      <c r="K507" s="324">
        <f>'WK6 - Expenditure Program'!I107</f>
        <v>0</v>
      </c>
      <c r="L507" s="324">
        <f>'WK6 - Expenditure Program'!J107</f>
        <v>0</v>
      </c>
      <c r="M507" s="324">
        <f>'WK6 - Expenditure Program'!K107</f>
        <v>0</v>
      </c>
      <c r="N507" s="324">
        <f>'WK6 - Expenditure Program'!L107</f>
        <v>0</v>
      </c>
      <c r="O507" s="324">
        <f>'WK6 - Expenditure Program'!M107</f>
        <v>0</v>
      </c>
      <c r="P507" s="324">
        <f>'WK6 - Expenditure Program'!N107</f>
        <v>0</v>
      </c>
      <c r="Q507" s="324">
        <f>'WK6 - Expenditure Program'!O107</f>
        <v>0</v>
      </c>
      <c r="R507" s="324">
        <f>'WK6 - Expenditure Program'!P107</f>
        <v>0</v>
      </c>
      <c r="S507" s="658">
        <f>'WK6 - Expenditure Program'!Q107</f>
        <v>0</v>
      </c>
      <c r="T507" s="3"/>
      <c r="U507" s="3"/>
      <c r="V507" s="3"/>
      <c r="W507" s="3"/>
      <c r="X507" s="3"/>
      <c r="Y507" s="3"/>
      <c r="Z507" s="3"/>
      <c r="AA507" s="3"/>
      <c r="AB507" s="3"/>
      <c r="AC507" s="3"/>
    </row>
    <row r="508" spans="1:29" outlineLevel="1" x14ac:dyDescent="0.2">
      <c r="A508" s="3"/>
      <c r="B508" s="655">
        <f>'WK6 - Expenditure Program'!C108</f>
        <v>0</v>
      </c>
      <c r="C508" s="3"/>
      <c r="D508" s="3"/>
      <c r="E508" s="135"/>
      <c r="F508" s="3"/>
      <c r="G508" s="3"/>
      <c r="H508" s="96"/>
      <c r="I508" s="208">
        <f>'WK6 - Expenditure Program'!G108</f>
        <v>0</v>
      </c>
      <c r="J508" s="324">
        <f>'WK6 - Expenditure Program'!H108</f>
        <v>0</v>
      </c>
      <c r="K508" s="324">
        <f>'WK6 - Expenditure Program'!I108</f>
        <v>0</v>
      </c>
      <c r="L508" s="324">
        <f>'WK6 - Expenditure Program'!J108</f>
        <v>0</v>
      </c>
      <c r="M508" s="324">
        <f>'WK6 - Expenditure Program'!K108</f>
        <v>0</v>
      </c>
      <c r="N508" s="324">
        <f>'WK6 - Expenditure Program'!L108</f>
        <v>0</v>
      </c>
      <c r="O508" s="324">
        <f>'WK6 - Expenditure Program'!M108</f>
        <v>0</v>
      </c>
      <c r="P508" s="324">
        <f>'WK6 - Expenditure Program'!N108</f>
        <v>0</v>
      </c>
      <c r="Q508" s="324">
        <f>'WK6 - Expenditure Program'!O108</f>
        <v>0</v>
      </c>
      <c r="R508" s="324">
        <f>'WK6 - Expenditure Program'!P108</f>
        <v>0</v>
      </c>
      <c r="S508" s="658">
        <f>'WK6 - Expenditure Program'!Q108</f>
        <v>0</v>
      </c>
      <c r="T508" s="3"/>
      <c r="U508" s="3"/>
      <c r="V508" s="3"/>
      <c r="W508" s="3"/>
      <c r="X508" s="3"/>
      <c r="Y508" s="3"/>
      <c r="Z508" s="3"/>
      <c r="AA508" s="3"/>
      <c r="AB508" s="3"/>
      <c r="AC508" s="3"/>
    </row>
    <row r="509" spans="1:29" outlineLevel="1" x14ac:dyDescent="0.2">
      <c r="A509" s="3"/>
      <c r="B509" s="655">
        <f>'WK6 - Expenditure Program'!C109</f>
        <v>0</v>
      </c>
      <c r="C509" s="3"/>
      <c r="D509" s="3"/>
      <c r="E509" s="135"/>
      <c r="F509" s="3"/>
      <c r="G509" s="3"/>
      <c r="H509" s="96"/>
      <c r="I509" s="208">
        <f>'WK6 - Expenditure Program'!G109</f>
        <v>0</v>
      </c>
      <c r="J509" s="324">
        <f>'WK6 - Expenditure Program'!H109</f>
        <v>0</v>
      </c>
      <c r="K509" s="324">
        <f>'WK6 - Expenditure Program'!I109</f>
        <v>0</v>
      </c>
      <c r="L509" s="324">
        <f>'WK6 - Expenditure Program'!J109</f>
        <v>0</v>
      </c>
      <c r="M509" s="324">
        <f>'WK6 - Expenditure Program'!K109</f>
        <v>0</v>
      </c>
      <c r="N509" s="324">
        <f>'WK6 - Expenditure Program'!L109</f>
        <v>0</v>
      </c>
      <c r="O509" s="324">
        <f>'WK6 - Expenditure Program'!M109</f>
        <v>0</v>
      </c>
      <c r="P509" s="324">
        <f>'WK6 - Expenditure Program'!N109</f>
        <v>0</v>
      </c>
      <c r="Q509" s="324">
        <f>'WK6 - Expenditure Program'!O109</f>
        <v>0</v>
      </c>
      <c r="R509" s="324">
        <f>'WK6 - Expenditure Program'!P109</f>
        <v>0</v>
      </c>
      <c r="S509" s="658">
        <f>'WK6 - Expenditure Program'!Q109</f>
        <v>0</v>
      </c>
      <c r="T509" s="3"/>
      <c r="U509" s="3"/>
      <c r="V509" s="3"/>
      <c r="W509" s="3"/>
      <c r="X509" s="3"/>
      <c r="Y509" s="3"/>
      <c r="Z509" s="3"/>
      <c r="AA509" s="3"/>
      <c r="AB509" s="3"/>
      <c r="AC509" s="3"/>
    </row>
    <row r="510" spans="1:29" outlineLevel="1" x14ac:dyDescent="0.2">
      <c r="A510" s="3"/>
      <c r="B510" s="655">
        <f>'WK6 - Expenditure Program'!C110</f>
        <v>0</v>
      </c>
      <c r="C510" s="3"/>
      <c r="D510" s="3"/>
      <c r="E510" s="135"/>
      <c r="F510" s="3"/>
      <c r="G510" s="3"/>
      <c r="H510" s="96"/>
      <c r="I510" s="208">
        <f>'WK6 - Expenditure Program'!G110</f>
        <v>0</v>
      </c>
      <c r="J510" s="324">
        <f>'WK6 - Expenditure Program'!H110</f>
        <v>0</v>
      </c>
      <c r="K510" s="324">
        <f>'WK6 - Expenditure Program'!I110</f>
        <v>0</v>
      </c>
      <c r="L510" s="324">
        <f>'WK6 - Expenditure Program'!J110</f>
        <v>0</v>
      </c>
      <c r="M510" s="324">
        <f>'WK6 - Expenditure Program'!K110</f>
        <v>0</v>
      </c>
      <c r="N510" s="324">
        <f>'WK6 - Expenditure Program'!L110</f>
        <v>0</v>
      </c>
      <c r="O510" s="324">
        <f>'WK6 - Expenditure Program'!M110</f>
        <v>0</v>
      </c>
      <c r="P510" s="324">
        <f>'WK6 - Expenditure Program'!N110</f>
        <v>0</v>
      </c>
      <c r="Q510" s="324">
        <f>'WK6 - Expenditure Program'!O110</f>
        <v>0</v>
      </c>
      <c r="R510" s="324">
        <f>'WK6 - Expenditure Program'!P110</f>
        <v>0</v>
      </c>
      <c r="S510" s="658">
        <f>'WK6 - Expenditure Program'!Q110</f>
        <v>0</v>
      </c>
      <c r="T510" s="3"/>
      <c r="U510" s="3"/>
      <c r="V510" s="3"/>
      <c r="W510" s="3"/>
      <c r="X510" s="3"/>
      <c r="Y510" s="3"/>
      <c r="Z510" s="3"/>
      <c r="AA510" s="3"/>
      <c r="AB510" s="3"/>
      <c r="AC510" s="3"/>
    </row>
    <row r="511" spans="1:29" outlineLevel="1" x14ac:dyDescent="0.2">
      <c r="A511" s="3"/>
      <c r="B511" s="655">
        <f>'WK6 - Expenditure Program'!C111</f>
        <v>0</v>
      </c>
      <c r="C511" s="3"/>
      <c r="D511" s="3"/>
      <c r="E511" s="135"/>
      <c r="F511" s="3"/>
      <c r="G511" s="3"/>
      <c r="H511" s="96"/>
      <c r="I511" s="208">
        <f>'WK6 - Expenditure Program'!G111</f>
        <v>0</v>
      </c>
      <c r="J511" s="324">
        <f>'WK6 - Expenditure Program'!H111</f>
        <v>0</v>
      </c>
      <c r="K511" s="324">
        <f>'WK6 - Expenditure Program'!I111</f>
        <v>0</v>
      </c>
      <c r="L511" s="324">
        <f>'WK6 - Expenditure Program'!J111</f>
        <v>0</v>
      </c>
      <c r="M511" s="324">
        <f>'WK6 - Expenditure Program'!K111</f>
        <v>0</v>
      </c>
      <c r="N511" s="324">
        <f>'WK6 - Expenditure Program'!L111</f>
        <v>0</v>
      </c>
      <c r="O511" s="324">
        <f>'WK6 - Expenditure Program'!M111</f>
        <v>0</v>
      </c>
      <c r="P511" s="324">
        <f>'WK6 - Expenditure Program'!N111</f>
        <v>0</v>
      </c>
      <c r="Q511" s="324">
        <f>'WK6 - Expenditure Program'!O111</f>
        <v>0</v>
      </c>
      <c r="R511" s="324">
        <f>'WK6 - Expenditure Program'!P111</f>
        <v>0</v>
      </c>
      <c r="S511" s="658">
        <f>'WK6 - Expenditure Program'!Q111</f>
        <v>0</v>
      </c>
      <c r="T511" s="3"/>
      <c r="U511" s="3"/>
      <c r="V511" s="3"/>
      <c r="W511" s="3"/>
      <c r="X511" s="3"/>
      <c r="Y511" s="3"/>
      <c r="Z511" s="3"/>
      <c r="AA511" s="3"/>
      <c r="AB511" s="3"/>
      <c r="AC511" s="3"/>
    </row>
    <row r="512" spans="1:29" x14ac:dyDescent="0.2">
      <c r="A512" s="3"/>
      <c r="B512" s="655">
        <f>'WK6 - Expenditure Program'!C112</f>
        <v>0</v>
      </c>
      <c r="C512" s="3"/>
      <c r="D512" s="3"/>
      <c r="E512" s="135"/>
      <c r="F512" s="3"/>
      <c r="G512" s="3"/>
      <c r="H512" s="96"/>
      <c r="I512" s="208">
        <f>'WK6 - Expenditure Program'!G112</f>
        <v>0</v>
      </c>
      <c r="J512" s="324">
        <f>'WK6 - Expenditure Program'!H112</f>
        <v>0</v>
      </c>
      <c r="K512" s="324">
        <f>'WK6 - Expenditure Program'!I112</f>
        <v>0</v>
      </c>
      <c r="L512" s="324">
        <f>'WK6 - Expenditure Program'!J112</f>
        <v>0</v>
      </c>
      <c r="M512" s="324">
        <f>'WK6 - Expenditure Program'!K112</f>
        <v>0</v>
      </c>
      <c r="N512" s="324">
        <f>'WK6 - Expenditure Program'!L112</f>
        <v>0</v>
      </c>
      <c r="O512" s="324">
        <f>'WK6 - Expenditure Program'!M112</f>
        <v>0</v>
      </c>
      <c r="P512" s="324">
        <f>'WK6 - Expenditure Program'!N112</f>
        <v>0</v>
      </c>
      <c r="Q512" s="324">
        <f>'WK6 - Expenditure Program'!O112</f>
        <v>0</v>
      </c>
      <c r="R512" s="324">
        <f>'WK6 - Expenditure Program'!P112</f>
        <v>0</v>
      </c>
      <c r="S512" s="658">
        <f>'WK6 - Expenditure Program'!Q112</f>
        <v>0</v>
      </c>
      <c r="T512" s="3"/>
      <c r="U512" s="3"/>
      <c r="V512" s="3"/>
      <c r="W512" s="3"/>
      <c r="X512" s="3"/>
      <c r="Y512" s="3"/>
      <c r="Z512" s="3"/>
      <c r="AA512" s="3"/>
      <c r="AB512" s="3"/>
      <c r="AC512" s="3"/>
    </row>
    <row r="513" spans="1:29" x14ac:dyDescent="0.2">
      <c r="A513" s="3"/>
      <c r="B513" s="655" t="str">
        <f>'WK6 - Expenditure Program'!C113</f>
        <v>New assets</v>
      </c>
      <c r="C513" s="3"/>
      <c r="D513" s="3"/>
      <c r="E513" s="135"/>
      <c r="F513" s="3"/>
      <c r="G513" s="3"/>
      <c r="H513" s="96"/>
      <c r="I513" s="208"/>
      <c r="J513" s="324"/>
      <c r="K513" s="324"/>
      <c r="L513" s="324"/>
      <c r="M513" s="324"/>
      <c r="N513" s="324"/>
      <c r="O513" s="324"/>
      <c r="P513" s="324"/>
      <c r="Q513" s="324"/>
      <c r="R513" s="324"/>
      <c r="S513" s="658"/>
      <c r="T513" s="3"/>
      <c r="U513" s="3"/>
      <c r="V513" s="3"/>
      <c r="W513" s="3"/>
      <c r="X513" s="3"/>
      <c r="Y513" s="3"/>
      <c r="Z513" s="3"/>
      <c r="AA513" s="3"/>
      <c r="AB513" s="3"/>
      <c r="AC513" s="3"/>
    </row>
    <row r="514" spans="1:29" x14ac:dyDescent="0.2">
      <c r="A514" s="3"/>
      <c r="B514" s="655" t="str">
        <f>'WK6 - Expenditure Program'!C114</f>
        <v>Track and trail upgrade including accesibility and signage</v>
      </c>
      <c r="C514" s="3"/>
      <c r="D514" s="3"/>
      <c r="E514" s="135"/>
      <c r="F514" s="3"/>
      <c r="G514" s="3"/>
      <c r="H514" s="96"/>
      <c r="I514" s="208">
        <f>'WK6 - Expenditure Program'!G114</f>
        <v>260000</v>
      </c>
      <c r="J514" s="324">
        <f>'WK6 - Expenditure Program'!H114</f>
        <v>273000</v>
      </c>
      <c r="K514" s="324">
        <f>'WK6 - Expenditure Program'!I114</f>
        <v>286650</v>
      </c>
      <c r="L514" s="324">
        <f>'WK6 - Expenditure Program'!J114</f>
        <v>300982.5</v>
      </c>
      <c r="M514" s="324">
        <f>'WK6 - Expenditure Program'!K114</f>
        <v>316031.625</v>
      </c>
      <c r="N514" s="324">
        <f>'WK6 - Expenditure Program'!L114</f>
        <v>331833.20624999999</v>
      </c>
      <c r="O514" s="324">
        <f>'WK6 - Expenditure Program'!M114</f>
        <v>348424.86656250001</v>
      </c>
      <c r="P514" s="324">
        <f>'WK6 - Expenditure Program'!N114</f>
        <v>365846.10989062506</v>
      </c>
      <c r="Q514" s="324">
        <f>'WK6 - Expenditure Program'!O114</f>
        <v>384138.41538515635</v>
      </c>
      <c r="R514" s="324">
        <f>'WK6 - Expenditure Program'!P114</f>
        <v>403345.33615441417</v>
      </c>
      <c r="S514" s="658">
        <f>'WK6 - Expenditure Program'!Q114</f>
        <v>3270252.0592426956</v>
      </c>
      <c r="T514" s="3"/>
      <c r="U514" s="3"/>
      <c r="V514" s="3"/>
      <c r="W514" s="3"/>
      <c r="X514" s="3"/>
      <c r="Y514" s="3"/>
      <c r="Z514" s="3"/>
      <c r="AA514" s="3"/>
      <c r="AB514" s="3"/>
      <c r="AC514" s="3"/>
    </row>
    <row r="515" spans="1:29" x14ac:dyDescent="0.2">
      <c r="A515" s="3"/>
      <c r="B515" s="655" t="str">
        <f>'WK6 - Expenditure Program'!C115</f>
        <v>Shared Paths</v>
      </c>
      <c r="C515" s="3"/>
      <c r="D515" s="3"/>
      <c r="E515" s="135"/>
      <c r="F515" s="3"/>
      <c r="G515" s="3"/>
      <c r="H515" s="96"/>
      <c r="I515" s="208">
        <f>'WK6 - Expenditure Program'!G115</f>
        <v>1392600</v>
      </c>
      <c r="J515" s="324">
        <f>'WK6 - Expenditure Program'!H115</f>
        <v>1392600</v>
      </c>
      <c r="K515" s="324">
        <f>'WK6 - Expenditure Program'!I115</f>
        <v>1392600</v>
      </c>
      <c r="L515" s="324">
        <f>'WK6 - Expenditure Program'!J115</f>
        <v>1392600</v>
      </c>
      <c r="M515" s="324">
        <f>'WK6 - Expenditure Program'!K115</f>
        <v>1392600</v>
      </c>
      <c r="N515" s="324">
        <f>'WK6 - Expenditure Program'!L115</f>
        <v>1392600</v>
      </c>
      <c r="O515" s="324">
        <f>'WK6 - Expenditure Program'!M115</f>
        <v>1392600</v>
      </c>
      <c r="P515" s="324">
        <f>'WK6 - Expenditure Program'!N115</f>
        <v>1392600</v>
      </c>
      <c r="Q515" s="324">
        <f>'WK6 - Expenditure Program'!O115</f>
        <v>1392600</v>
      </c>
      <c r="R515" s="324">
        <f>'WK6 - Expenditure Program'!P115</f>
        <v>1392600</v>
      </c>
      <c r="S515" s="658">
        <f>'WK6 - Expenditure Program'!Q115</f>
        <v>13926000</v>
      </c>
      <c r="T515" s="3"/>
      <c r="U515" s="3"/>
      <c r="V515" s="3"/>
      <c r="W515" s="3"/>
      <c r="X515" s="3"/>
      <c r="Y515" s="3"/>
      <c r="Z515" s="3"/>
      <c r="AA515" s="3"/>
      <c r="AB515" s="3"/>
      <c r="AC515" s="3"/>
    </row>
    <row r="516" spans="1:29" x14ac:dyDescent="0.2">
      <c r="A516" s="3"/>
      <c r="B516" s="655" t="str">
        <f>'WK6 - Expenditure Program'!C116</f>
        <v>To provide inclusive community centre for all members of the public to access</v>
      </c>
      <c r="C516" s="3"/>
      <c r="D516" s="3"/>
      <c r="E516" s="135"/>
      <c r="F516" s="3"/>
      <c r="G516" s="3"/>
      <c r="H516" s="96"/>
      <c r="I516" s="208">
        <f>'WK6 - Expenditure Program'!G116</f>
        <v>430700</v>
      </c>
      <c r="J516" s="324">
        <f>'WK6 - Expenditure Program'!H116</f>
        <v>430700</v>
      </c>
      <c r="K516" s="324">
        <f>'WK6 - Expenditure Program'!I116</f>
        <v>430700</v>
      </c>
      <c r="L516" s="324">
        <f>'WK6 - Expenditure Program'!J116</f>
        <v>430700</v>
      </c>
      <c r="M516" s="324">
        <f>'WK6 - Expenditure Program'!K116</f>
        <v>430700</v>
      </c>
      <c r="N516" s="324">
        <f>'WK6 - Expenditure Program'!L116</f>
        <v>430700</v>
      </c>
      <c r="O516" s="324">
        <f>'WK6 - Expenditure Program'!M116</f>
        <v>430700</v>
      </c>
      <c r="P516" s="324">
        <f>'WK6 - Expenditure Program'!N116</f>
        <v>430700</v>
      </c>
      <c r="Q516" s="324">
        <f>'WK6 - Expenditure Program'!O116</f>
        <v>430700</v>
      </c>
      <c r="R516" s="324">
        <f>'WK6 - Expenditure Program'!P116</f>
        <v>430700</v>
      </c>
      <c r="S516" s="658">
        <f>'WK6 - Expenditure Program'!Q116</f>
        <v>4307000</v>
      </c>
      <c r="T516" s="3"/>
      <c r="U516" s="3"/>
      <c r="V516" s="3"/>
      <c r="W516" s="3"/>
      <c r="X516" s="3"/>
      <c r="Y516" s="3"/>
      <c r="Z516" s="3"/>
      <c r="AA516" s="3"/>
      <c r="AB516" s="3"/>
      <c r="AC516" s="3"/>
    </row>
    <row r="517" spans="1:29" x14ac:dyDescent="0.2">
      <c r="A517" s="3"/>
      <c r="B517" s="655" t="str">
        <f>'WK6 - Expenditure Program'!C117</f>
        <v>Drainage Improvement Works</v>
      </c>
      <c r="C517" s="3"/>
      <c r="D517" s="3"/>
      <c r="E517" s="135"/>
      <c r="F517" s="3"/>
      <c r="G517" s="3"/>
      <c r="H517" s="96"/>
      <c r="I517" s="208">
        <f>'WK6 - Expenditure Program'!G117</f>
        <v>1000000</v>
      </c>
      <c r="J517" s="324">
        <f>'WK6 - Expenditure Program'!H117</f>
        <v>1000000</v>
      </c>
      <c r="K517" s="324">
        <f>'WK6 - Expenditure Program'!I117</f>
        <v>1000000</v>
      </c>
      <c r="L517" s="324">
        <f>'WK6 - Expenditure Program'!J117</f>
        <v>1000000</v>
      </c>
      <c r="M517" s="324">
        <f>'WK6 - Expenditure Program'!K117</f>
        <v>1000000</v>
      </c>
      <c r="N517" s="324">
        <f>'WK6 - Expenditure Program'!L117</f>
        <v>1000000</v>
      </c>
      <c r="O517" s="324">
        <f>'WK6 - Expenditure Program'!M117</f>
        <v>1000000</v>
      </c>
      <c r="P517" s="324">
        <f>'WK6 - Expenditure Program'!N117</f>
        <v>1000000</v>
      </c>
      <c r="Q517" s="324">
        <f>'WK6 - Expenditure Program'!O117</f>
        <v>1000000</v>
      </c>
      <c r="R517" s="324">
        <f>'WK6 - Expenditure Program'!P117</f>
        <v>1000000</v>
      </c>
      <c r="S517" s="658">
        <f>'WK6 - Expenditure Program'!Q117</f>
        <v>10000000</v>
      </c>
      <c r="T517" s="3"/>
      <c r="U517" s="3"/>
      <c r="V517" s="3"/>
      <c r="W517" s="3"/>
      <c r="X517" s="3"/>
      <c r="Y517" s="3"/>
      <c r="Z517" s="3"/>
      <c r="AA517" s="3"/>
      <c r="AB517" s="3"/>
      <c r="AC517" s="3"/>
    </row>
    <row r="518" spans="1:29" x14ac:dyDescent="0.2">
      <c r="A518" s="3"/>
      <c r="B518" s="655" t="str">
        <f>'WK6 - Expenditure Program'!C118</f>
        <v>New and upgraded playspaces</v>
      </c>
      <c r="C518" s="3"/>
      <c r="D518" s="3"/>
      <c r="E518" s="135"/>
      <c r="F518" s="3"/>
      <c r="G518" s="3"/>
      <c r="H518" s="96"/>
      <c r="I518" s="208">
        <f>'WK6 - Expenditure Program'!G118</f>
        <v>85000</v>
      </c>
      <c r="J518" s="324">
        <f>'WK6 - Expenditure Program'!H118</f>
        <v>85000</v>
      </c>
      <c r="K518" s="324">
        <f>'WK6 - Expenditure Program'!I118</f>
        <v>85000</v>
      </c>
      <c r="L518" s="324">
        <f>'WK6 - Expenditure Program'!J118</f>
        <v>85000</v>
      </c>
      <c r="M518" s="324">
        <f>'WK6 - Expenditure Program'!K118</f>
        <v>85000</v>
      </c>
      <c r="N518" s="324">
        <f>'WK6 - Expenditure Program'!L118</f>
        <v>85000</v>
      </c>
      <c r="O518" s="324">
        <f>'WK6 - Expenditure Program'!M118</f>
        <v>85000</v>
      </c>
      <c r="P518" s="324">
        <f>'WK6 - Expenditure Program'!N118</f>
        <v>85000</v>
      </c>
      <c r="Q518" s="324">
        <f>'WK6 - Expenditure Program'!O118</f>
        <v>85000</v>
      </c>
      <c r="R518" s="324">
        <f>'WK6 - Expenditure Program'!P118</f>
        <v>85000</v>
      </c>
      <c r="S518" s="658">
        <f>'WK6 - Expenditure Program'!Q118</f>
        <v>850000</v>
      </c>
      <c r="T518" s="3"/>
      <c r="U518" s="3"/>
      <c r="V518" s="3"/>
      <c r="W518" s="3"/>
      <c r="X518" s="3"/>
      <c r="Y518" s="3"/>
      <c r="Z518" s="3"/>
      <c r="AA518" s="3"/>
      <c r="AB518" s="3"/>
      <c r="AC518" s="3"/>
    </row>
    <row r="519" spans="1:29" x14ac:dyDescent="0.2">
      <c r="A519" s="3"/>
      <c r="B519" s="655" t="str">
        <f>'WK6 - Expenditure Program'!C119</f>
        <v>Asset management funding gap</v>
      </c>
      <c r="C519" s="3"/>
      <c r="D519" s="3"/>
      <c r="E519" s="135"/>
      <c r="F519" s="3"/>
      <c r="G519" s="3"/>
      <c r="H519" s="96"/>
      <c r="I519" s="208">
        <f>'WK6 - Expenditure Program'!G119</f>
        <v>331000</v>
      </c>
      <c r="J519" s="324">
        <f>'WK6 - Expenditure Program'!H119</f>
        <v>330000</v>
      </c>
      <c r="K519" s="324">
        <f>'WK6 - Expenditure Program'!I119</f>
        <v>339000</v>
      </c>
      <c r="L519" s="324">
        <f>'WK6 - Expenditure Program'!J119</f>
        <v>359000</v>
      </c>
      <c r="M519" s="324">
        <f>'WK6 - Expenditure Program'!K119</f>
        <v>390000</v>
      </c>
      <c r="N519" s="324">
        <f>'WK6 - Expenditure Program'!L119</f>
        <v>388000</v>
      </c>
      <c r="O519" s="324">
        <f>'WK6 - Expenditure Program'!M119</f>
        <v>373000</v>
      </c>
      <c r="P519" s="324">
        <f>'WK6 - Expenditure Program'!N119</f>
        <v>382000</v>
      </c>
      <c r="Q519" s="324">
        <f>'WK6 - Expenditure Program'!O119</f>
        <v>392000</v>
      </c>
      <c r="R519" s="324">
        <f>'WK6 - Expenditure Program'!P119</f>
        <v>401000</v>
      </c>
      <c r="S519" s="658">
        <f>'WK6 - Expenditure Program'!Q119</f>
        <v>3685000</v>
      </c>
      <c r="T519" s="3"/>
      <c r="U519" s="3"/>
      <c r="V519" s="3"/>
      <c r="W519" s="3"/>
      <c r="X519" s="3"/>
      <c r="Y519" s="3"/>
      <c r="Z519" s="3"/>
      <c r="AA519" s="3"/>
      <c r="AB519" s="3"/>
      <c r="AC519" s="3"/>
    </row>
    <row r="520" spans="1:29" x14ac:dyDescent="0.2">
      <c r="A520" s="3"/>
      <c r="B520" s="655">
        <f>'WK6 - Expenditure Program'!C120</f>
        <v>0</v>
      </c>
      <c r="C520" s="3"/>
      <c r="D520" s="3"/>
      <c r="E520" s="135"/>
      <c r="F520" s="3"/>
      <c r="G520" s="3"/>
      <c r="H520" s="96"/>
      <c r="I520" s="208">
        <f>'WK6 - Expenditure Program'!G120</f>
        <v>0</v>
      </c>
      <c r="J520" s="324">
        <f>'WK6 - Expenditure Program'!H120</f>
        <v>0</v>
      </c>
      <c r="K520" s="324">
        <f>'WK6 - Expenditure Program'!I120</f>
        <v>0</v>
      </c>
      <c r="L520" s="324">
        <f>'WK6 - Expenditure Program'!J120</f>
        <v>0</v>
      </c>
      <c r="M520" s="324">
        <f>'WK6 - Expenditure Program'!K120</f>
        <v>0</v>
      </c>
      <c r="N520" s="324">
        <f>'WK6 - Expenditure Program'!L120</f>
        <v>0</v>
      </c>
      <c r="O520" s="324">
        <f>'WK6 - Expenditure Program'!M120</f>
        <v>0</v>
      </c>
      <c r="P520" s="324">
        <f>'WK6 - Expenditure Program'!N120</f>
        <v>0</v>
      </c>
      <c r="Q520" s="324">
        <f>'WK6 - Expenditure Program'!O120</f>
        <v>0</v>
      </c>
      <c r="R520" s="324">
        <f>'WK6 - Expenditure Program'!P120</f>
        <v>0</v>
      </c>
      <c r="S520" s="658">
        <f>'WK6 - Expenditure Program'!Q120</f>
        <v>0</v>
      </c>
      <c r="T520" s="3"/>
      <c r="U520" s="3"/>
      <c r="V520" s="3"/>
      <c r="W520" s="3"/>
      <c r="X520" s="3"/>
      <c r="Y520" s="3"/>
      <c r="Z520" s="3"/>
      <c r="AA520" s="3"/>
      <c r="AB520" s="3"/>
      <c r="AC520" s="3"/>
    </row>
    <row r="521" spans="1:29" x14ac:dyDescent="0.2">
      <c r="A521" s="3"/>
      <c r="B521" s="655">
        <f>'WK6 - Expenditure Program'!C121</f>
        <v>0</v>
      </c>
      <c r="C521" s="3"/>
      <c r="D521" s="3"/>
      <c r="E521" s="135"/>
      <c r="F521" s="3"/>
      <c r="G521" s="3"/>
      <c r="H521" s="96"/>
      <c r="I521" s="208">
        <f>'WK6 - Expenditure Program'!G121</f>
        <v>0</v>
      </c>
      <c r="J521" s="324">
        <f>'WK6 - Expenditure Program'!H121</f>
        <v>0</v>
      </c>
      <c r="K521" s="324">
        <f>'WK6 - Expenditure Program'!I121</f>
        <v>0</v>
      </c>
      <c r="L521" s="324">
        <f>'WK6 - Expenditure Program'!J121</f>
        <v>0</v>
      </c>
      <c r="M521" s="324">
        <f>'WK6 - Expenditure Program'!K121</f>
        <v>0</v>
      </c>
      <c r="N521" s="324">
        <f>'WK6 - Expenditure Program'!L121</f>
        <v>0</v>
      </c>
      <c r="O521" s="324">
        <f>'WK6 - Expenditure Program'!M121</f>
        <v>0</v>
      </c>
      <c r="P521" s="324">
        <f>'WK6 - Expenditure Program'!N121</f>
        <v>0</v>
      </c>
      <c r="Q521" s="324">
        <f>'WK6 - Expenditure Program'!O121</f>
        <v>0</v>
      </c>
      <c r="R521" s="324">
        <f>'WK6 - Expenditure Program'!P121</f>
        <v>0</v>
      </c>
      <c r="S521" s="658">
        <f>'WK6 - Expenditure Program'!Q121</f>
        <v>0</v>
      </c>
      <c r="T521" s="3"/>
      <c r="U521" s="3"/>
      <c r="V521" s="3"/>
      <c r="W521" s="3"/>
      <c r="X521" s="3"/>
      <c r="Y521" s="3"/>
      <c r="Z521" s="3"/>
      <c r="AA521" s="3"/>
      <c r="AB521" s="3"/>
      <c r="AC521" s="3"/>
    </row>
    <row r="522" spans="1:29" x14ac:dyDescent="0.2">
      <c r="A522" s="3"/>
      <c r="B522" s="655">
        <f>'WK6 - Expenditure Program'!C122</f>
        <v>0</v>
      </c>
      <c r="C522" s="3"/>
      <c r="D522" s="3"/>
      <c r="E522" s="135"/>
      <c r="F522" s="3"/>
      <c r="G522" s="3"/>
      <c r="H522" s="96"/>
      <c r="I522" s="208">
        <f>'WK6 - Expenditure Program'!G122</f>
        <v>0</v>
      </c>
      <c r="J522" s="324">
        <f>'WK6 - Expenditure Program'!H122</f>
        <v>0</v>
      </c>
      <c r="K522" s="324">
        <f>'WK6 - Expenditure Program'!I122</f>
        <v>0</v>
      </c>
      <c r="L522" s="324">
        <f>'WK6 - Expenditure Program'!J122</f>
        <v>0</v>
      </c>
      <c r="M522" s="324">
        <f>'WK6 - Expenditure Program'!K122</f>
        <v>0</v>
      </c>
      <c r="N522" s="324">
        <f>'WK6 - Expenditure Program'!L122</f>
        <v>0</v>
      </c>
      <c r="O522" s="324">
        <f>'WK6 - Expenditure Program'!M122</f>
        <v>0</v>
      </c>
      <c r="P522" s="324">
        <f>'WK6 - Expenditure Program'!N122</f>
        <v>0</v>
      </c>
      <c r="Q522" s="324">
        <f>'WK6 - Expenditure Program'!O122</f>
        <v>0</v>
      </c>
      <c r="R522" s="324">
        <f>'WK6 - Expenditure Program'!P122</f>
        <v>0</v>
      </c>
      <c r="S522" s="658">
        <f>'WK6 - Expenditure Program'!Q122</f>
        <v>0</v>
      </c>
      <c r="T522" s="3"/>
      <c r="U522" s="3"/>
      <c r="V522" s="3"/>
      <c r="W522" s="3"/>
      <c r="X522" s="3"/>
      <c r="Y522" s="3"/>
      <c r="Z522" s="3"/>
      <c r="AA522" s="3"/>
      <c r="AB522" s="3"/>
      <c r="AC522" s="3"/>
    </row>
    <row r="523" spans="1:29" x14ac:dyDescent="0.2">
      <c r="A523" s="3"/>
      <c r="B523" s="655">
        <f>'WK6 - Expenditure Program'!C123</f>
        <v>0</v>
      </c>
      <c r="C523" s="3"/>
      <c r="D523" s="3"/>
      <c r="E523" s="135"/>
      <c r="F523" s="3"/>
      <c r="G523" s="3"/>
      <c r="H523" s="96"/>
      <c r="I523" s="208">
        <f>'WK6 - Expenditure Program'!G123</f>
        <v>0</v>
      </c>
      <c r="J523" s="324">
        <f>'WK6 - Expenditure Program'!H123</f>
        <v>0</v>
      </c>
      <c r="K523" s="324">
        <f>'WK6 - Expenditure Program'!I123</f>
        <v>0</v>
      </c>
      <c r="L523" s="324">
        <f>'WK6 - Expenditure Program'!J123</f>
        <v>0</v>
      </c>
      <c r="M523" s="324">
        <f>'WK6 - Expenditure Program'!K123</f>
        <v>0</v>
      </c>
      <c r="N523" s="324">
        <f>'WK6 - Expenditure Program'!L123</f>
        <v>0</v>
      </c>
      <c r="O523" s="324">
        <f>'WK6 - Expenditure Program'!M123</f>
        <v>0</v>
      </c>
      <c r="P523" s="324">
        <f>'WK6 - Expenditure Program'!N123</f>
        <v>0</v>
      </c>
      <c r="Q523" s="324">
        <f>'WK6 - Expenditure Program'!O123</f>
        <v>0</v>
      </c>
      <c r="R523" s="324">
        <f>'WK6 - Expenditure Program'!P123</f>
        <v>0</v>
      </c>
      <c r="S523" s="658">
        <f>'WK6 - Expenditure Program'!Q123</f>
        <v>0</v>
      </c>
      <c r="T523" s="3"/>
      <c r="U523" s="3"/>
      <c r="V523" s="3"/>
      <c r="W523" s="3"/>
      <c r="X523" s="3"/>
      <c r="Y523" s="3"/>
      <c r="Z523" s="3"/>
      <c r="AA523" s="3"/>
      <c r="AB523" s="3"/>
      <c r="AC523" s="3"/>
    </row>
    <row r="524" spans="1:29" outlineLevel="1" x14ac:dyDescent="0.2">
      <c r="A524" s="3"/>
      <c r="B524" s="655">
        <f>'WK6 - Expenditure Program'!C124</f>
        <v>0</v>
      </c>
      <c r="C524" s="3"/>
      <c r="D524" s="3"/>
      <c r="E524" s="135"/>
      <c r="F524" s="3"/>
      <c r="G524" s="3"/>
      <c r="H524" s="96"/>
      <c r="I524" s="208">
        <f>'WK6 - Expenditure Program'!G124</f>
        <v>0</v>
      </c>
      <c r="J524" s="324">
        <f>'WK6 - Expenditure Program'!H124</f>
        <v>0</v>
      </c>
      <c r="K524" s="324">
        <f>'WK6 - Expenditure Program'!I124</f>
        <v>0</v>
      </c>
      <c r="L524" s="324">
        <f>'WK6 - Expenditure Program'!J124</f>
        <v>0</v>
      </c>
      <c r="M524" s="324">
        <f>'WK6 - Expenditure Program'!K124</f>
        <v>0</v>
      </c>
      <c r="N524" s="324">
        <f>'WK6 - Expenditure Program'!L124</f>
        <v>0</v>
      </c>
      <c r="O524" s="324">
        <f>'WK6 - Expenditure Program'!M124</f>
        <v>0</v>
      </c>
      <c r="P524" s="324">
        <f>'WK6 - Expenditure Program'!N124</f>
        <v>0</v>
      </c>
      <c r="Q524" s="324">
        <f>'WK6 - Expenditure Program'!O124</f>
        <v>0</v>
      </c>
      <c r="R524" s="324">
        <f>'WK6 - Expenditure Program'!P124</f>
        <v>0</v>
      </c>
      <c r="S524" s="658">
        <f>'WK6 - Expenditure Program'!Q124</f>
        <v>0</v>
      </c>
      <c r="T524" s="3"/>
      <c r="U524" s="3"/>
      <c r="V524" s="3"/>
      <c r="W524" s="3"/>
      <c r="X524" s="3"/>
      <c r="Y524" s="3"/>
      <c r="Z524" s="3"/>
      <c r="AA524" s="3"/>
      <c r="AB524" s="3"/>
      <c r="AC524" s="3"/>
    </row>
    <row r="525" spans="1:29" outlineLevel="1" x14ac:dyDescent="0.2">
      <c r="A525" s="3"/>
      <c r="B525" s="655">
        <f>'WK6 - Expenditure Program'!C125</f>
        <v>0</v>
      </c>
      <c r="C525" s="3"/>
      <c r="D525" s="3"/>
      <c r="E525" s="135"/>
      <c r="F525" s="3"/>
      <c r="G525" s="3"/>
      <c r="H525" s="96"/>
      <c r="I525" s="208">
        <f>'WK6 - Expenditure Program'!G125</f>
        <v>0</v>
      </c>
      <c r="J525" s="324">
        <f>'WK6 - Expenditure Program'!H125</f>
        <v>0</v>
      </c>
      <c r="K525" s="324">
        <f>'WK6 - Expenditure Program'!I125</f>
        <v>0</v>
      </c>
      <c r="L525" s="324">
        <f>'WK6 - Expenditure Program'!J125</f>
        <v>0</v>
      </c>
      <c r="M525" s="324">
        <f>'WK6 - Expenditure Program'!K125</f>
        <v>0</v>
      </c>
      <c r="N525" s="324">
        <f>'WK6 - Expenditure Program'!L125</f>
        <v>0</v>
      </c>
      <c r="O525" s="324">
        <f>'WK6 - Expenditure Program'!M125</f>
        <v>0</v>
      </c>
      <c r="P525" s="324">
        <f>'WK6 - Expenditure Program'!N125</f>
        <v>0</v>
      </c>
      <c r="Q525" s="324">
        <f>'WK6 - Expenditure Program'!O125</f>
        <v>0</v>
      </c>
      <c r="R525" s="324">
        <f>'WK6 - Expenditure Program'!P125</f>
        <v>0</v>
      </c>
      <c r="S525" s="658">
        <f>'WK6 - Expenditure Program'!Q125</f>
        <v>0</v>
      </c>
      <c r="T525" s="3"/>
      <c r="U525" s="3"/>
      <c r="V525" s="3"/>
      <c r="W525" s="3"/>
      <c r="X525" s="3"/>
      <c r="Y525" s="3"/>
      <c r="Z525" s="3"/>
      <c r="AA525" s="3"/>
      <c r="AB525" s="3"/>
      <c r="AC525" s="3"/>
    </row>
    <row r="526" spans="1:29" outlineLevel="1" x14ac:dyDescent="0.2">
      <c r="A526" s="3"/>
      <c r="B526" s="655">
        <f>'WK6 - Expenditure Program'!C126</f>
        <v>0</v>
      </c>
      <c r="C526" s="3"/>
      <c r="D526" s="3"/>
      <c r="E526" s="135"/>
      <c r="F526" s="3"/>
      <c r="G526" s="3"/>
      <c r="H526" s="96"/>
      <c r="I526" s="208">
        <f>'WK6 - Expenditure Program'!G126</f>
        <v>0</v>
      </c>
      <c r="J526" s="324">
        <f>'WK6 - Expenditure Program'!H126</f>
        <v>0</v>
      </c>
      <c r="K526" s="324">
        <f>'WK6 - Expenditure Program'!I126</f>
        <v>0</v>
      </c>
      <c r="L526" s="324">
        <f>'WK6 - Expenditure Program'!J126</f>
        <v>0</v>
      </c>
      <c r="M526" s="324">
        <f>'WK6 - Expenditure Program'!K126</f>
        <v>0</v>
      </c>
      <c r="N526" s="324">
        <f>'WK6 - Expenditure Program'!L126</f>
        <v>0</v>
      </c>
      <c r="O526" s="324">
        <f>'WK6 - Expenditure Program'!M126</f>
        <v>0</v>
      </c>
      <c r="P526" s="324">
        <f>'WK6 - Expenditure Program'!N126</f>
        <v>0</v>
      </c>
      <c r="Q526" s="324">
        <f>'WK6 - Expenditure Program'!O126</f>
        <v>0</v>
      </c>
      <c r="R526" s="324">
        <f>'WK6 - Expenditure Program'!P126</f>
        <v>0</v>
      </c>
      <c r="S526" s="658">
        <f>'WK6 - Expenditure Program'!Q126</f>
        <v>0</v>
      </c>
      <c r="T526" s="3"/>
      <c r="U526" s="3"/>
      <c r="V526" s="3"/>
      <c r="W526" s="3"/>
      <c r="X526" s="3"/>
      <c r="Y526" s="3"/>
      <c r="Z526" s="3"/>
      <c r="AA526" s="3"/>
      <c r="AB526" s="3"/>
      <c r="AC526" s="3"/>
    </row>
    <row r="527" spans="1:29" outlineLevel="1" x14ac:dyDescent="0.2">
      <c r="A527" s="3"/>
      <c r="B527" s="655">
        <f>'WK6 - Expenditure Program'!C127</f>
        <v>0</v>
      </c>
      <c r="C527" s="3"/>
      <c r="D527" s="3"/>
      <c r="E527" s="135"/>
      <c r="F527" s="3"/>
      <c r="G527" s="3"/>
      <c r="H527" s="96"/>
      <c r="I527" s="208">
        <f>'WK6 - Expenditure Program'!G127</f>
        <v>0</v>
      </c>
      <c r="J527" s="324">
        <f>'WK6 - Expenditure Program'!H127</f>
        <v>0</v>
      </c>
      <c r="K527" s="324">
        <f>'WK6 - Expenditure Program'!I127</f>
        <v>0</v>
      </c>
      <c r="L527" s="324">
        <f>'WK6 - Expenditure Program'!J127</f>
        <v>0</v>
      </c>
      <c r="M527" s="324">
        <f>'WK6 - Expenditure Program'!K127</f>
        <v>0</v>
      </c>
      <c r="N527" s="324">
        <f>'WK6 - Expenditure Program'!L127</f>
        <v>0</v>
      </c>
      <c r="O527" s="324">
        <f>'WK6 - Expenditure Program'!M127</f>
        <v>0</v>
      </c>
      <c r="P527" s="324">
        <f>'WK6 - Expenditure Program'!N127</f>
        <v>0</v>
      </c>
      <c r="Q527" s="324">
        <f>'WK6 - Expenditure Program'!O127</f>
        <v>0</v>
      </c>
      <c r="R527" s="324">
        <f>'WK6 - Expenditure Program'!P127</f>
        <v>0</v>
      </c>
      <c r="S527" s="658">
        <f>'WK6 - Expenditure Program'!Q127</f>
        <v>0</v>
      </c>
      <c r="T527" s="3"/>
      <c r="U527" s="3"/>
      <c r="V527" s="3"/>
      <c r="W527" s="3"/>
      <c r="X527" s="3"/>
      <c r="Y527" s="3"/>
      <c r="Z527" s="3"/>
      <c r="AA527" s="3"/>
      <c r="AB527" s="3"/>
      <c r="AC527" s="3"/>
    </row>
    <row r="528" spans="1:29" outlineLevel="1" x14ac:dyDescent="0.2">
      <c r="A528" s="3"/>
      <c r="B528" s="655">
        <f>'WK6 - Expenditure Program'!C128</f>
        <v>0</v>
      </c>
      <c r="C528" s="3"/>
      <c r="D528" s="3"/>
      <c r="E528" s="135"/>
      <c r="F528" s="3"/>
      <c r="G528" s="3"/>
      <c r="H528" s="96"/>
      <c r="I528" s="208">
        <f>'WK6 - Expenditure Program'!G128</f>
        <v>0</v>
      </c>
      <c r="J528" s="324">
        <f>'WK6 - Expenditure Program'!H128</f>
        <v>0</v>
      </c>
      <c r="K528" s="324">
        <f>'WK6 - Expenditure Program'!I128</f>
        <v>0</v>
      </c>
      <c r="L528" s="324">
        <f>'WK6 - Expenditure Program'!J128</f>
        <v>0</v>
      </c>
      <c r="M528" s="324">
        <f>'WK6 - Expenditure Program'!K128</f>
        <v>0</v>
      </c>
      <c r="N528" s="324">
        <f>'WK6 - Expenditure Program'!L128</f>
        <v>0</v>
      </c>
      <c r="O528" s="324">
        <f>'WK6 - Expenditure Program'!M128</f>
        <v>0</v>
      </c>
      <c r="P528" s="324">
        <f>'WK6 - Expenditure Program'!N128</f>
        <v>0</v>
      </c>
      <c r="Q528" s="324">
        <f>'WK6 - Expenditure Program'!O128</f>
        <v>0</v>
      </c>
      <c r="R528" s="324">
        <f>'WK6 - Expenditure Program'!P128</f>
        <v>0</v>
      </c>
      <c r="S528" s="658">
        <f>'WK6 - Expenditure Program'!Q128</f>
        <v>0</v>
      </c>
      <c r="T528" s="3"/>
      <c r="U528" s="3"/>
      <c r="V528" s="3"/>
      <c r="W528" s="3"/>
      <c r="X528" s="3"/>
      <c r="Y528" s="3"/>
      <c r="Z528" s="3"/>
      <c r="AA528" s="3"/>
      <c r="AB528" s="3"/>
      <c r="AC528" s="3"/>
    </row>
    <row r="529" spans="1:29" outlineLevel="1" x14ac:dyDescent="0.2">
      <c r="A529" s="3"/>
      <c r="B529" s="655">
        <f>'WK6 - Expenditure Program'!C129</f>
        <v>0</v>
      </c>
      <c r="C529" s="3"/>
      <c r="D529" s="3"/>
      <c r="E529" s="135"/>
      <c r="F529" s="3"/>
      <c r="G529" s="3"/>
      <c r="H529" s="96"/>
      <c r="I529" s="208">
        <f>'WK6 - Expenditure Program'!G129</f>
        <v>0</v>
      </c>
      <c r="J529" s="324">
        <f>'WK6 - Expenditure Program'!H129</f>
        <v>0</v>
      </c>
      <c r="K529" s="324">
        <f>'WK6 - Expenditure Program'!I129</f>
        <v>0</v>
      </c>
      <c r="L529" s="324">
        <f>'WK6 - Expenditure Program'!J129</f>
        <v>0</v>
      </c>
      <c r="M529" s="324">
        <f>'WK6 - Expenditure Program'!K129</f>
        <v>0</v>
      </c>
      <c r="N529" s="324">
        <f>'WK6 - Expenditure Program'!L129</f>
        <v>0</v>
      </c>
      <c r="O529" s="324">
        <f>'WK6 - Expenditure Program'!M129</f>
        <v>0</v>
      </c>
      <c r="P529" s="324">
        <f>'WK6 - Expenditure Program'!N129</f>
        <v>0</v>
      </c>
      <c r="Q529" s="324">
        <f>'WK6 - Expenditure Program'!O129</f>
        <v>0</v>
      </c>
      <c r="R529" s="324">
        <f>'WK6 - Expenditure Program'!P129</f>
        <v>0</v>
      </c>
      <c r="S529" s="658">
        <f>'WK6 - Expenditure Program'!Q129</f>
        <v>0</v>
      </c>
      <c r="T529" s="3"/>
      <c r="U529" s="3"/>
      <c r="V529" s="3"/>
      <c r="W529" s="3"/>
      <c r="X529" s="3"/>
      <c r="Y529" s="3"/>
      <c r="Z529" s="3"/>
      <c r="AA529" s="3"/>
      <c r="AB529" s="3"/>
      <c r="AC529" s="3"/>
    </row>
    <row r="530" spans="1:29" outlineLevel="1" x14ac:dyDescent="0.2">
      <c r="A530" s="3"/>
      <c r="B530" s="655">
        <f>'WK6 - Expenditure Program'!C130</f>
        <v>0</v>
      </c>
      <c r="C530" s="3"/>
      <c r="D530" s="3"/>
      <c r="E530" s="135"/>
      <c r="F530" s="3"/>
      <c r="G530" s="3"/>
      <c r="H530" s="96"/>
      <c r="I530" s="208">
        <f>'WK6 - Expenditure Program'!G130</f>
        <v>0</v>
      </c>
      <c r="J530" s="324">
        <f>'WK6 - Expenditure Program'!H130</f>
        <v>0</v>
      </c>
      <c r="K530" s="324">
        <f>'WK6 - Expenditure Program'!I130</f>
        <v>0</v>
      </c>
      <c r="L530" s="324">
        <f>'WK6 - Expenditure Program'!J130</f>
        <v>0</v>
      </c>
      <c r="M530" s="324">
        <f>'WK6 - Expenditure Program'!K130</f>
        <v>0</v>
      </c>
      <c r="N530" s="324">
        <f>'WK6 - Expenditure Program'!L130</f>
        <v>0</v>
      </c>
      <c r="O530" s="324">
        <f>'WK6 - Expenditure Program'!M130</f>
        <v>0</v>
      </c>
      <c r="P530" s="324">
        <f>'WK6 - Expenditure Program'!N130</f>
        <v>0</v>
      </c>
      <c r="Q530" s="324">
        <f>'WK6 - Expenditure Program'!O130</f>
        <v>0</v>
      </c>
      <c r="R530" s="324">
        <f>'WK6 - Expenditure Program'!P130</f>
        <v>0</v>
      </c>
      <c r="S530" s="658">
        <f>'WK6 - Expenditure Program'!Q130</f>
        <v>0</v>
      </c>
      <c r="T530" s="3"/>
      <c r="U530" s="3"/>
      <c r="V530" s="3"/>
      <c r="W530" s="3"/>
      <c r="X530" s="3"/>
      <c r="Y530" s="3"/>
      <c r="Z530" s="3"/>
      <c r="AA530" s="3"/>
      <c r="AB530" s="3"/>
      <c r="AC530" s="3"/>
    </row>
    <row r="531" spans="1:29" outlineLevel="1" x14ac:dyDescent="0.2">
      <c r="A531" s="3"/>
      <c r="B531" s="655">
        <f>'WK6 - Expenditure Program'!C131</f>
        <v>0</v>
      </c>
      <c r="C531" s="3"/>
      <c r="D531" s="3"/>
      <c r="E531" s="135"/>
      <c r="F531" s="3"/>
      <c r="G531" s="3"/>
      <c r="H531" s="96"/>
      <c r="I531" s="208">
        <f>'WK6 - Expenditure Program'!G131</f>
        <v>0</v>
      </c>
      <c r="J531" s="324">
        <f>'WK6 - Expenditure Program'!H131</f>
        <v>0</v>
      </c>
      <c r="K531" s="324">
        <f>'WK6 - Expenditure Program'!I131</f>
        <v>0</v>
      </c>
      <c r="L531" s="324">
        <f>'WK6 - Expenditure Program'!J131</f>
        <v>0</v>
      </c>
      <c r="M531" s="324">
        <f>'WK6 - Expenditure Program'!K131</f>
        <v>0</v>
      </c>
      <c r="N531" s="324">
        <f>'WK6 - Expenditure Program'!L131</f>
        <v>0</v>
      </c>
      <c r="O531" s="324">
        <f>'WK6 - Expenditure Program'!M131</f>
        <v>0</v>
      </c>
      <c r="P531" s="324">
        <f>'WK6 - Expenditure Program'!N131</f>
        <v>0</v>
      </c>
      <c r="Q531" s="324">
        <f>'WK6 - Expenditure Program'!O131</f>
        <v>0</v>
      </c>
      <c r="R531" s="324">
        <f>'WK6 - Expenditure Program'!P131</f>
        <v>0</v>
      </c>
      <c r="S531" s="658">
        <f>'WK6 - Expenditure Program'!Q131</f>
        <v>0</v>
      </c>
      <c r="T531" s="3"/>
      <c r="U531" s="3"/>
      <c r="V531" s="3"/>
      <c r="W531" s="3"/>
      <c r="X531" s="3"/>
      <c r="Y531" s="3"/>
      <c r="Z531" s="3"/>
      <c r="AA531" s="3"/>
      <c r="AB531" s="3"/>
      <c r="AC531" s="3"/>
    </row>
    <row r="532" spans="1:29" outlineLevel="1" x14ac:dyDescent="0.2">
      <c r="A532" s="3"/>
      <c r="B532" s="655">
        <f>'WK6 - Expenditure Program'!C132</f>
        <v>0</v>
      </c>
      <c r="C532" s="3"/>
      <c r="D532" s="3"/>
      <c r="E532" s="135"/>
      <c r="F532" s="3"/>
      <c r="G532" s="3"/>
      <c r="H532" s="96"/>
      <c r="I532" s="208">
        <f>'WK6 - Expenditure Program'!G132</f>
        <v>0</v>
      </c>
      <c r="J532" s="324">
        <f>'WK6 - Expenditure Program'!H132</f>
        <v>0</v>
      </c>
      <c r="K532" s="324">
        <f>'WK6 - Expenditure Program'!I132</f>
        <v>0</v>
      </c>
      <c r="L532" s="324">
        <f>'WK6 - Expenditure Program'!J132</f>
        <v>0</v>
      </c>
      <c r="M532" s="324">
        <f>'WK6 - Expenditure Program'!K132</f>
        <v>0</v>
      </c>
      <c r="N532" s="324">
        <f>'WK6 - Expenditure Program'!L132</f>
        <v>0</v>
      </c>
      <c r="O532" s="324">
        <f>'WK6 - Expenditure Program'!M132</f>
        <v>0</v>
      </c>
      <c r="P532" s="324">
        <f>'WK6 - Expenditure Program'!N132</f>
        <v>0</v>
      </c>
      <c r="Q532" s="324">
        <f>'WK6 - Expenditure Program'!O132</f>
        <v>0</v>
      </c>
      <c r="R532" s="324">
        <f>'WK6 - Expenditure Program'!P132</f>
        <v>0</v>
      </c>
      <c r="S532" s="658">
        <f>'WK6 - Expenditure Program'!Q132</f>
        <v>0</v>
      </c>
      <c r="T532" s="3"/>
      <c r="U532" s="3"/>
      <c r="V532" s="3"/>
      <c r="W532" s="3"/>
      <c r="X532" s="3"/>
      <c r="Y532" s="3"/>
      <c r="Z532" s="3"/>
      <c r="AA532" s="3"/>
      <c r="AB532" s="3"/>
      <c r="AC532" s="3"/>
    </row>
    <row r="533" spans="1:29" outlineLevel="1" x14ac:dyDescent="0.2">
      <c r="A533" s="3"/>
      <c r="B533" s="655">
        <f>'WK6 - Expenditure Program'!C133</f>
        <v>0</v>
      </c>
      <c r="C533" s="3"/>
      <c r="D533" s="3"/>
      <c r="E533" s="135"/>
      <c r="F533" s="3"/>
      <c r="G533" s="3"/>
      <c r="H533" s="96"/>
      <c r="I533" s="208">
        <f>'WK6 - Expenditure Program'!G133</f>
        <v>0</v>
      </c>
      <c r="J533" s="324">
        <f>'WK6 - Expenditure Program'!H133</f>
        <v>0</v>
      </c>
      <c r="K533" s="324">
        <f>'WK6 - Expenditure Program'!I133</f>
        <v>0</v>
      </c>
      <c r="L533" s="324">
        <f>'WK6 - Expenditure Program'!J133</f>
        <v>0</v>
      </c>
      <c r="M533" s="324">
        <f>'WK6 - Expenditure Program'!K133</f>
        <v>0</v>
      </c>
      <c r="N533" s="324">
        <f>'WK6 - Expenditure Program'!L133</f>
        <v>0</v>
      </c>
      <c r="O533" s="324">
        <f>'WK6 - Expenditure Program'!M133</f>
        <v>0</v>
      </c>
      <c r="P533" s="324">
        <f>'WK6 - Expenditure Program'!N133</f>
        <v>0</v>
      </c>
      <c r="Q533" s="324">
        <f>'WK6 - Expenditure Program'!O133</f>
        <v>0</v>
      </c>
      <c r="R533" s="324">
        <f>'WK6 - Expenditure Program'!P133</f>
        <v>0</v>
      </c>
      <c r="S533" s="658">
        <f>'WK6 - Expenditure Program'!Q133</f>
        <v>0</v>
      </c>
      <c r="T533" s="3"/>
      <c r="U533" s="3"/>
      <c r="V533" s="3"/>
      <c r="W533" s="3"/>
      <c r="X533" s="3"/>
      <c r="Y533" s="3"/>
      <c r="Z533" s="3"/>
      <c r="AA533" s="3"/>
      <c r="AB533" s="3"/>
      <c r="AC533" s="3"/>
    </row>
    <row r="534" spans="1:29" x14ac:dyDescent="0.2">
      <c r="A534" s="3"/>
      <c r="B534" s="662">
        <f>'WK6 - Expenditure Program'!C134</f>
        <v>0</v>
      </c>
      <c r="C534" s="3"/>
      <c r="D534" s="3"/>
      <c r="E534" s="135"/>
      <c r="F534" s="3"/>
      <c r="G534" s="3"/>
      <c r="H534" s="96"/>
      <c r="I534" s="208">
        <f>'WK6 - Expenditure Program'!G134</f>
        <v>0</v>
      </c>
      <c r="J534" s="324">
        <f>'WK6 - Expenditure Program'!H134</f>
        <v>0</v>
      </c>
      <c r="K534" s="324">
        <f>'WK6 - Expenditure Program'!I134</f>
        <v>0</v>
      </c>
      <c r="L534" s="324">
        <f>'WK6 - Expenditure Program'!J134</f>
        <v>0</v>
      </c>
      <c r="M534" s="324">
        <f>'WK6 - Expenditure Program'!K134</f>
        <v>0</v>
      </c>
      <c r="N534" s="324">
        <f>'WK6 - Expenditure Program'!L134</f>
        <v>0</v>
      </c>
      <c r="O534" s="324">
        <f>'WK6 - Expenditure Program'!M134</f>
        <v>0</v>
      </c>
      <c r="P534" s="324">
        <f>'WK6 - Expenditure Program'!N134</f>
        <v>0</v>
      </c>
      <c r="Q534" s="324">
        <f>'WK6 - Expenditure Program'!O134</f>
        <v>0</v>
      </c>
      <c r="R534" s="324">
        <f>'WK6 - Expenditure Program'!P134</f>
        <v>0</v>
      </c>
      <c r="S534" s="658">
        <f>'WK6 - Expenditure Program'!Q134</f>
        <v>0</v>
      </c>
      <c r="T534" s="3"/>
      <c r="U534" s="3"/>
      <c r="V534" s="3"/>
      <c r="W534" s="3"/>
      <c r="X534" s="3"/>
      <c r="Y534" s="3"/>
      <c r="Z534" s="3"/>
      <c r="AA534" s="3"/>
      <c r="AB534" s="3"/>
      <c r="AC534" s="3"/>
    </row>
    <row r="535" spans="1:29" ht="12" thickBot="1" x14ac:dyDescent="0.25">
      <c r="A535" s="3"/>
      <c r="B535" s="630" t="str">
        <f>'WK6 - Expenditure Program'!C135</f>
        <v>Annual total</v>
      </c>
      <c r="C535" s="3"/>
      <c r="D535" s="3"/>
      <c r="E535" s="135"/>
      <c r="F535" s="3"/>
      <c r="G535" s="3"/>
      <c r="H535" s="96"/>
      <c r="I535" s="904">
        <f>'WK6 - Expenditure Program'!G135</f>
        <v>6774300</v>
      </c>
      <c r="J535" s="905">
        <f>'WK6 - Expenditure Program'!H135</f>
        <v>6918300</v>
      </c>
      <c r="K535" s="905">
        <f>'WK6 - Expenditure Program'!I135</f>
        <v>8089837</v>
      </c>
      <c r="L535" s="905">
        <f>'WK6 - Expenditure Program'!J135</f>
        <v>7885169.5</v>
      </c>
      <c r="M535" s="905">
        <f>'WK6 - Expenditure Program'!K135</f>
        <v>11631044.625</v>
      </c>
      <c r="N535" s="905">
        <f>'WK6 - Expenditure Program'!L135</f>
        <v>9235311.2062500007</v>
      </c>
      <c r="O535" s="905">
        <f>'WK6 - Expenditure Program'!M135</f>
        <v>8862290.8665625006</v>
      </c>
      <c r="P535" s="905">
        <f>'WK6 - Expenditure Program'!N135</f>
        <v>8975046.1098906249</v>
      </c>
      <c r="Q535" s="905">
        <f>'WK6 - Expenditure Program'!O135</f>
        <v>9398360.4153851569</v>
      </c>
      <c r="R535" s="905">
        <f>'WK6 - Expenditure Program'!P135</f>
        <v>9553665.3361544143</v>
      </c>
      <c r="S535" s="658">
        <f>'WK6 - Expenditure Program'!Q135</f>
        <v>87323325.059242696</v>
      </c>
      <c r="T535" s="3"/>
      <c r="U535" s="3"/>
      <c r="V535" s="3"/>
      <c r="W535" s="3"/>
      <c r="X535" s="3"/>
      <c r="Y535" s="3"/>
      <c r="Z535" s="3"/>
      <c r="AA535" s="3"/>
      <c r="AB535" s="3"/>
      <c r="AC535" s="3"/>
    </row>
    <row r="536" spans="1:29" ht="12" thickTop="1" x14ac:dyDescent="0.2">
      <c r="A536" s="3"/>
      <c r="B536" s="630" t="str">
        <f>'WK6 - Expenditure Program'!C136</f>
        <v>Cumulative totals by year</v>
      </c>
      <c r="C536" s="3"/>
      <c r="D536" s="3"/>
      <c r="E536" s="135"/>
      <c r="F536" s="3"/>
      <c r="G536" s="3"/>
      <c r="H536" s="96"/>
      <c r="I536" s="208">
        <f>'WK6 - Expenditure Program'!G136</f>
        <v>6774300</v>
      </c>
      <c r="J536" s="324">
        <f>'WK6 - Expenditure Program'!H136</f>
        <v>13692600</v>
      </c>
      <c r="K536" s="324">
        <f>'WK6 - Expenditure Program'!I136</f>
        <v>21782437</v>
      </c>
      <c r="L536" s="324">
        <f>'WK6 - Expenditure Program'!J136</f>
        <v>29667606.5</v>
      </c>
      <c r="M536" s="324">
        <f>'WK6 - Expenditure Program'!K136</f>
        <v>41298651.125</v>
      </c>
      <c r="N536" s="324">
        <f>'WK6 - Expenditure Program'!L136</f>
        <v>50533962.331249997</v>
      </c>
      <c r="O536" s="324">
        <f>'WK6 - Expenditure Program'!M136</f>
        <v>59396253.197812498</v>
      </c>
      <c r="P536" s="324">
        <f>'WK6 - Expenditure Program'!N136</f>
        <v>68371299.307703122</v>
      </c>
      <c r="Q536" s="324">
        <f>'WK6 - Expenditure Program'!O136</f>
        <v>77769659.723088279</v>
      </c>
      <c r="R536" s="645">
        <f>'WK6 - Expenditure Program'!P136</f>
        <v>87323325.059242696</v>
      </c>
      <c r="S536" s="500"/>
      <c r="T536" s="3"/>
      <c r="U536" s="3"/>
      <c r="V536" s="3"/>
      <c r="W536" s="3"/>
      <c r="X536" s="3"/>
      <c r="Y536" s="3"/>
      <c r="Z536" s="3"/>
      <c r="AA536" s="3"/>
      <c r="AB536" s="3"/>
      <c r="AC536" s="3"/>
    </row>
    <row r="537" spans="1:29" x14ac:dyDescent="0.2">
      <c r="A537" s="3"/>
      <c r="B537" s="568" t="s">
        <v>127</v>
      </c>
      <c r="C537" s="3"/>
      <c r="D537" s="3"/>
      <c r="E537" s="135"/>
      <c r="F537" s="3"/>
      <c r="G537" s="3"/>
      <c r="H537" s="96"/>
      <c r="I537" s="635">
        <f t="shared" ref="I537:R537" si="10">SUM(I471:I512,I514:I534)-I535</f>
        <v>0</v>
      </c>
      <c r="J537" s="635">
        <f t="shared" si="10"/>
        <v>0</v>
      </c>
      <c r="K537" s="635">
        <f t="shared" si="10"/>
        <v>0</v>
      </c>
      <c r="L537" s="635">
        <f t="shared" si="10"/>
        <v>0</v>
      </c>
      <c r="M537" s="635">
        <f t="shared" si="10"/>
        <v>0</v>
      </c>
      <c r="N537" s="635">
        <f t="shared" si="10"/>
        <v>0</v>
      </c>
      <c r="O537" s="635">
        <f t="shared" si="10"/>
        <v>0</v>
      </c>
      <c r="P537" s="635">
        <f t="shared" si="10"/>
        <v>0</v>
      </c>
      <c r="Q537" s="635">
        <f t="shared" si="10"/>
        <v>0</v>
      </c>
      <c r="R537" s="635">
        <f t="shared" si="10"/>
        <v>0</v>
      </c>
      <c r="S537" s="661">
        <f>R536-S535</f>
        <v>0</v>
      </c>
      <c r="T537" s="3"/>
      <c r="U537" s="3"/>
      <c r="V537" s="3"/>
      <c r="W537" s="3"/>
      <c r="X537" s="3"/>
      <c r="Y537" s="3"/>
      <c r="Z537" s="3"/>
      <c r="AA537" s="3"/>
      <c r="AB537" s="3"/>
      <c r="AC537" s="3"/>
    </row>
    <row r="538" spans="1:29" x14ac:dyDescent="0.2">
      <c r="A538" s="3"/>
      <c r="B538" s="135"/>
      <c r="C538" s="3"/>
      <c r="D538" s="3"/>
      <c r="E538" s="135"/>
      <c r="F538" s="3"/>
      <c r="G538" s="3"/>
      <c r="H538" s="96"/>
      <c r="I538" s="903"/>
      <c r="J538" s="635"/>
      <c r="K538" s="635"/>
      <c r="L538" s="635"/>
      <c r="M538" s="635"/>
      <c r="N538" s="635"/>
      <c r="O538" s="635"/>
      <c r="P538" s="635"/>
      <c r="Q538" s="77"/>
      <c r="R538" s="566"/>
      <c r="S538" s="278"/>
      <c r="T538" s="3"/>
      <c r="U538" s="3"/>
      <c r="V538" s="3"/>
      <c r="W538" s="3"/>
      <c r="X538" s="3"/>
      <c r="Y538" s="3"/>
      <c r="Z538" s="3"/>
      <c r="AA538" s="3"/>
      <c r="AB538" s="3"/>
      <c r="AC538" s="3"/>
    </row>
    <row r="539" spans="1:29" ht="12" x14ac:dyDescent="0.25">
      <c r="A539" s="3"/>
      <c r="B539" s="632" t="str">
        <f>'WK6 - Expenditure Program'!C138</f>
        <v>Other uses of proposed SV income (eg, loan principal repayments, transfers to reserves)</v>
      </c>
      <c r="C539" s="3"/>
      <c r="D539" s="3"/>
      <c r="E539" s="135"/>
      <c r="F539" s="3"/>
      <c r="G539" s="3"/>
      <c r="H539" s="96"/>
      <c r="I539" s="565"/>
      <c r="J539" s="77"/>
      <c r="K539" s="77"/>
      <c r="L539" s="77"/>
      <c r="M539" s="77"/>
      <c r="N539" s="77"/>
      <c r="O539" s="77"/>
      <c r="P539" s="77"/>
      <c r="Q539" s="77"/>
      <c r="R539" s="566"/>
      <c r="S539" s="278"/>
      <c r="T539" s="3"/>
      <c r="U539" s="3"/>
      <c r="V539" s="3"/>
      <c r="W539" s="3"/>
      <c r="X539" s="3"/>
      <c r="Y539" s="3"/>
      <c r="Z539" s="3"/>
      <c r="AA539" s="3"/>
      <c r="AB539" s="3"/>
      <c r="AC539" s="3"/>
    </row>
    <row r="540" spans="1:29" x14ac:dyDescent="0.2">
      <c r="A540" s="3"/>
      <c r="B540" s="334">
        <f>'WK6 - Expenditure Program'!C140</f>
        <v>0</v>
      </c>
      <c r="C540" s="3"/>
      <c r="D540" s="3"/>
      <c r="E540" s="135"/>
      <c r="F540" s="3"/>
      <c r="G540" s="3"/>
      <c r="H540" s="96"/>
      <c r="I540" s="322">
        <f>'WK6 - Expenditure Program'!G140</f>
        <v>0</v>
      </c>
      <c r="J540" s="455">
        <f>'WK6 - Expenditure Program'!H140</f>
        <v>0</v>
      </c>
      <c r="K540" s="455">
        <f>'WK6 - Expenditure Program'!I140</f>
        <v>0</v>
      </c>
      <c r="L540" s="455">
        <f>'WK6 - Expenditure Program'!J140</f>
        <v>0</v>
      </c>
      <c r="M540" s="455">
        <f>'WK6 - Expenditure Program'!K140</f>
        <v>0</v>
      </c>
      <c r="N540" s="455">
        <f>'WK6 - Expenditure Program'!L140</f>
        <v>0</v>
      </c>
      <c r="O540" s="455">
        <f>'WK6 - Expenditure Program'!M140</f>
        <v>0</v>
      </c>
      <c r="P540" s="455">
        <f>'WK6 - Expenditure Program'!N140</f>
        <v>0</v>
      </c>
      <c r="Q540" s="455">
        <f>'WK6 - Expenditure Program'!O140</f>
        <v>0</v>
      </c>
      <c r="R540" s="347">
        <f>'WK6 - Expenditure Program'!P140</f>
        <v>0</v>
      </c>
      <c r="S540" s="347">
        <f>'WK6 - Expenditure Program'!Q140</f>
        <v>0</v>
      </c>
      <c r="T540" s="3"/>
      <c r="U540" s="3"/>
      <c r="V540" s="3"/>
      <c r="W540" s="3"/>
      <c r="X540" s="3"/>
      <c r="Y540" s="3"/>
      <c r="Z540" s="3"/>
      <c r="AA540" s="3"/>
      <c r="AB540" s="3"/>
      <c r="AC540" s="3"/>
    </row>
    <row r="541" spans="1:29" x14ac:dyDescent="0.2">
      <c r="A541" s="3"/>
      <c r="B541" s="334">
        <f>'WK6 - Expenditure Program'!C141</f>
        <v>0</v>
      </c>
      <c r="C541" s="3"/>
      <c r="D541" s="3"/>
      <c r="E541" s="135"/>
      <c r="F541" s="3"/>
      <c r="G541" s="3"/>
      <c r="H541" s="96"/>
      <c r="I541" s="322">
        <f>'WK6 - Expenditure Program'!G141</f>
        <v>0</v>
      </c>
      <c r="J541" s="455">
        <f>'WK6 - Expenditure Program'!H141</f>
        <v>0</v>
      </c>
      <c r="K541" s="455">
        <f>'WK6 - Expenditure Program'!I141</f>
        <v>0</v>
      </c>
      <c r="L541" s="455">
        <f>'WK6 - Expenditure Program'!J141</f>
        <v>0</v>
      </c>
      <c r="M541" s="455">
        <f>'WK6 - Expenditure Program'!K141</f>
        <v>0</v>
      </c>
      <c r="N541" s="455">
        <f>'WK6 - Expenditure Program'!L141</f>
        <v>0</v>
      </c>
      <c r="O541" s="455">
        <f>'WK6 - Expenditure Program'!M141</f>
        <v>0</v>
      </c>
      <c r="P541" s="455">
        <f>'WK6 - Expenditure Program'!N141</f>
        <v>0</v>
      </c>
      <c r="Q541" s="455">
        <f>'WK6 - Expenditure Program'!O141</f>
        <v>0</v>
      </c>
      <c r="R541" s="347">
        <f>'WK6 - Expenditure Program'!P141</f>
        <v>0</v>
      </c>
      <c r="S541" s="347">
        <f>'WK6 - Expenditure Program'!Q141</f>
        <v>0</v>
      </c>
      <c r="T541" s="3"/>
      <c r="U541" s="3"/>
      <c r="V541" s="3"/>
      <c r="W541" s="3"/>
      <c r="X541" s="3"/>
      <c r="Y541" s="3"/>
      <c r="Z541" s="3"/>
      <c r="AA541" s="3"/>
      <c r="AB541" s="3"/>
      <c r="AC541" s="3"/>
    </row>
    <row r="542" spans="1:29" x14ac:dyDescent="0.2">
      <c r="A542" s="3"/>
      <c r="B542" s="334">
        <f>'WK6 - Expenditure Program'!C142</f>
        <v>0</v>
      </c>
      <c r="C542" s="3"/>
      <c r="D542" s="3"/>
      <c r="E542" s="135"/>
      <c r="F542" s="3"/>
      <c r="G542" s="3"/>
      <c r="H542" s="96"/>
      <c r="I542" s="322">
        <f>'WK6 - Expenditure Program'!G142</f>
        <v>0</v>
      </c>
      <c r="J542" s="455">
        <f>'WK6 - Expenditure Program'!H142</f>
        <v>0</v>
      </c>
      <c r="K542" s="455">
        <f>'WK6 - Expenditure Program'!I142</f>
        <v>0</v>
      </c>
      <c r="L542" s="455">
        <f>'WK6 - Expenditure Program'!J142</f>
        <v>0</v>
      </c>
      <c r="M542" s="455">
        <f>'WK6 - Expenditure Program'!K142</f>
        <v>0</v>
      </c>
      <c r="N542" s="455">
        <f>'WK6 - Expenditure Program'!L142</f>
        <v>0</v>
      </c>
      <c r="O542" s="455">
        <f>'WK6 - Expenditure Program'!M142</f>
        <v>0</v>
      </c>
      <c r="P542" s="455">
        <f>'WK6 - Expenditure Program'!N142</f>
        <v>0</v>
      </c>
      <c r="Q542" s="455">
        <f>'WK6 - Expenditure Program'!O142</f>
        <v>0</v>
      </c>
      <c r="R542" s="347">
        <f>'WK6 - Expenditure Program'!P142</f>
        <v>0</v>
      </c>
      <c r="S542" s="347">
        <f>'WK6 - Expenditure Program'!Q142</f>
        <v>0</v>
      </c>
      <c r="T542" s="3"/>
      <c r="U542" s="3"/>
      <c r="V542" s="3"/>
      <c r="W542" s="3"/>
      <c r="X542" s="3"/>
      <c r="Y542" s="3"/>
      <c r="Z542" s="3"/>
      <c r="AA542" s="3"/>
      <c r="AB542" s="3"/>
      <c r="AC542" s="3"/>
    </row>
    <row r="543" spans="1:29" x14ac:dyDescent="0.2">
      <c r="A543" s="3"/>
      <c r="B543" s="334">
        <f>'WK6 - Expenditure Program'!C143</f>
        <v>0</v>
      </c>
      <c r="C543" s="3"/>
      <c r="D543" s="3"/>
      <c r="E543" s="135"/>
      <c r="F543" s="3"/>
      <c r="G543" s="3"/>
      <c r="H543" s="96"/>
      <c r="I543" s="322">
        <f>'WK6 - Expenditure Program'!G143</f>
        <v>0</v>
      </c>
      <c r="J543" s="455">
        <f>'WK6 - Expenditure Program'!H143</f>
        <v>0</v>
      </c>
      <c r="K543" s="455">
        <f>'WK6 - Expenditure Program'!I143</f>
        <v>0</v>
      </c>
      <c r="L543" s="455">
        <f>'WK6 - Expenditure Program'!J143</f>
        <v>0</v>
      </c>
      <c r="M543" s="455">
        <f>'WK6 - Expenditure Program'!K143</f>
        <v>0</v>
      </c>
      <c r="N543" s="455">
        <f>'WK6 - Expenditure Program'!L143</f>
        <v>0</v>
      </c>
      <c r="O543" s="455">
        <f>'WK6 - Expenditure Program'!M143</f>
        <v>0</v>
      </c>
      <c r="P543" s="455">
        <f>'WK6 - Expenditure Program'!N143</f>
        <v>0</v>
      </c>
      <c r="Q543" s="455">
        <f>'WK6 - Expenditure Program'!O143</f>
        <v>0</v>
      </c>
      <c r="R543" s="347">
        <f>'WK6 - Expenditure Program'!P143</f>
        <v>0</v>
      </c>
      <c r="S543" s="347">
        <f>'WK6 - Expenditure Program'!Q143</f>
        <v>0</v>
      </c>
      <c r="T543" s="3"/>
      <c r="U543" s="3"/>
      <c r="V543" s="3"/>
      <c r="W543" s="3"/>
      <c r="X543" s="3"/>
      <c r="Y543" s="3"/>
      <c r="Z543" s="3"/>
      <c r="AA543" s="3"/>
      <c r="AB543" s="3"/>
      <c r="AC543" s="3"/>
    </row>
    <row r="544" spans="1:29" x14ac:dyDescent="0.2">
      <c r="A544" s="3"/>
      <c r="B544" s="334">
        <f>'WK6 - Expenditure Program'!C144</f>
        <v>0</v>
      </c>
      <c r="C544" s="3"/>
      <c r="D544" s="3"/>
      <c r="E544" s="135"/>
      <c r="F544" s="3"/>
      <c r="G544" s="3"/>
      <c r="H544" s="96"/>
      <c r="I544" s="322">
        <f>'WK6 - Expenditure Program'!G144</f>
        <v>0</v>
      </c>
      <c r="J544" s="455">
        <f>'WK6 - Expenditure Program'!H144</f>
        <v>0</v>
      </c>
      <c r="K544" s="455">
        <f>'WK6 - Expenditure Program'!I144</f>
        <v>0</v>
      </c>
      <c r="L544" s="455">
        <f>'WK6 - Expenditure Program'!J144</f>
        <v>0</v>
      </c>
      <c r="M544" s="455">
        <f>'WK6 - Expenditure Program'!K144</f>
        <v>0</v>
      </c>
      <c r="N544" s="455">
        <f>'WK6 - Expenditure Program'!L144</f>
        <v>0</v>
      </c>
      <c r="O544" s="455">
        <f>'WK6 - Expenditure Program'!M144</f>
        <v>0</v>
      </c>
      <c r="P544" s="455">
        <f>'WK6 - Expenditure Program'!N144</f>
        <v>0</v>
      </c>
      <c r="Q544" s="455">
        <f>'WK6 - Expenditure Program'!O144</f>
        <v>0</v>
      </c>
      <c r="R544" s="347">
        <f>'WK6 - Expenditure Program'!P144</f>
        <v>0</v>
      </c>
      <c r="S544" s="347">
        <f>'WK6 - Expenditure Program'!Q144</f>
        <v>0</v>
      </c>
      <c r="T544" s="3"/>
      <c r="U544" s="3"/>
      <c r="V544" s="3"/>
      <c r="W544" s="3"/>
      <c r="X544" s="3"/>
      <c r="Y544" s="3"/>
      <c r="Z544" s="3"/>
      <c r="AA544" s="3"/>
      <c r="AB544" s="3"/>
      <c r="AC544" s="3"/>
    </row>
    <row r="545" spans="1:29" x14ac:dyDescent="0.2">
      <c r="A545" s="3"/>
      <c r="B545" s="334">
        <f>'WK6 - Expenditure Program'!C145</f>
        <v>0</v>
      </c>
      <c r="C545" s="3"/>
      <c r="D545" s="3"/>
      <c r="E545" s="135"/>
      <c r="F545" s="3"/>
      <c r="G545" s="3"/>
      <c r="H545" s="96"/>
      <c r="I545" s="322">
        <f>'WK6 - Expenditure Program'!G145</f>
        <v>0</v>
      </c>
      <c r="J545" s="455">
        <f>'WK6 - Expenditure Program'!H145</f>
        <v>0</v>
      </c>
      <c r="K545" s="455">
        <f>'WK6 - Expenditure Program'!I145</f>
        <v>0</v>
      </c>
      <c r="L545" s="455">
        <f>'WK6 - Expenditure Program'!J145</f>
        <v>0</v>
      </c>
      <c r="M545" s="455">
        <f>'WK6 - Expenditure Program'!K145</f>
        <v>0</v>
      </c>
      <c r="N545" s="455">
        <f>'WK6 - Expenditure Program'!L145</f>
        <v>0</v>
      </c>
      <c r="O545" s="455">
        <f>'WK6 - Expenditure Program'!M145</f>
        <v>0</v>
      </c>
      <c r="P545" s="455">
        <f>'WK6 - Expenditure Program'!N145</f>
        <v>0</v>
      </c>
      <c r="Q545" s="455">
        <f>'WK6 - Expenditure Program'!O145</f>
        <v>0</v>
      </c>
      <c r="R545" s="347">
        <f>'WK6 - Expenditure Program'!P145</f>
        <v>0</v>
      </c>
      <c r="S545" s="347">
        <f>'WK6 - Expenditure Program'!Q145</f>
        <v>0</v>
      </c>
      <c r="T545" s="3"/>
      <c r="U545" s="3"/>
      <c r="V545" s="3"/>
      <c r="W545" s="3"/>
      <c r="X545" s="3"/>
      <c r="Y545" s="3"/>
      <c r="Z545" s="3"/>
      <c r="AA545" s="3"/>
      <c r="AB545" s="3"/>
      <c r="AC545" s="3"/>
    </row>
    <row r="546" spans="1:29" x14ac:dyDescent="0.2">
      <c r="A546" s="3"/>
      <c r="B546" s="334">
        <f>'WK6 - Expenditure Program'!C146</f>
        <v>0</v>
      </c>
      <c r="C546" s="3"/>
      <c r="D546" s="3"/>
      <c r="E546" s="135"/>
      <c r="F546" s="3"/>
      <c r="G546" s="3"/>
      <c r="H546" s="96"/>
      <c r="I546" s="322">
        <f>'WK6 - Expenditure Program'!G146</f>
        <v>0</v>
      </c>
      <c r="J546" s="455">
        <f>'WK6 - Expenditure Program'!H146</f>
        <v>0</v>
      </c>
      <c r="K546" s="455">
        <f>'WK6 - Expenditure Program'!I146</f>
        <v>0</v>
      </c>
      <c r="L546" s="455">
        <f>'WK6 - Expenditure Program'!J146</f>
        <v>0</v>
      </c>
      <c r="M546" s="455">
        <f>'WK6 - Expenditure Program'!K146</f>
        <v>0</v>
      </c>
      <c r="N546" s="455">
        <f>'WK6 - Expenditure Program'!L146</f>
        <v>0</v>
      </c>
      <c r="O546" s="455">
        <f>'WK6 - Expenditure Program'!M146</f>
        <v>0</v>
      </c>
      <c r="P546" s="455">
        <f>'WK6 - Expenditure Program'!N146</f>
        <v>0</v>
      </c>
      <c r="Q546" s="455">
        <f>'WK6 - Expenditure Program'!O146</f>
        <v>0</v>
      </c>
      <c r="R546" s="347">
        <f>'WK6 - Expenditure Program'!P146</f>
        <v>0</v>
      </c>
      <c r="S546" s="347">
        <f>'WK6 - Expenditure Program'!Q146</f>
        <v>0</v>
      </c>
      <c r="T546" s="3"/>
      <c r="U546" s="3"/>
      <c r="V546" s="3"/>
      <c r="W546" s="3"/>
      <c r="X546" s="3"/>
      <c r="Y546" s="3"/>
      <c r="Z546" s="3"/>
      <c r="AA546" s="3"/>
      <c r="AB546" s="3"/>
      <c r="AC546" s="3"/>
    </row>
    <row r="547" spans="1:29" x14ac:dyDescent="0.2">
      <c r="A547" s="3"/>
      <c r="B547" s="334">
        <f>'WK6 - Expenditure Program'!C147</f>
        <v>0</v>
      </c>
      <c r="C547" s="3"/>
      <c r="D547" s="3"/>
      <c r="E547" s="135"/>
      <c r="F547" s="3"/>
      <c r="G547" s="3"/>
      <c r="H547" s="96"/>
      <c r="I547" s="322">
        <f>'WK6 - Expenditure Program'!G147</f>
        <v>0</v>
      </c>
      <c r="J547" s="455">
        <f>'WK6 - Expenditure Program'!H147</f>
        <v>0</v>
      </c>
      <c r="K547" s="455">
        <f>'WK6 - Expenditure Program'!I147</f>
        <v>0</v>
      </c>
      <c r="L547" s="455">
        <f>'WK6 - Expenditure Program'!J147</f>
        <v>0</v>
      </c>
      <c r="M547" s="455">
        <f>'WK6 - Expenditure Program'!K147</f>
        <v>0</v>
      </c>
      <c r="N547" s="455">
        <f>'WK6 - Expenditure Program'!L147</f>
        <v>0</v>
      </c>
      <c r="O547" s="455">
        <f>'WK6 - Expenditure Program'!M147</f>
        <v>0</v>
      </c>
      <c r="P547" s="455">
        <f>'WK6 - Expenditure Program'!N147</f>
        <v>0</v>
      </c>
      <c r="Q547" s="455">
        <f>'WK6 - Expenditure Program'!O147</f>
        <v>0</v>
      </c>
      <c r="R547" s="347">
        <f>'WK6 - Expenditure Program'!P147</f>
        <v>0</v>
      </c>
      <c r="S547" s="347">
        <f>'WK6 - Expenditure Program'!Q147</f>
        <v>0</v>
      </c>
      <c r="T547" s="3"/>
      <c r="U547" s="3"/>
      <c r="V547" s="3"/>
      <c r="W547" s="3"/>
      <c r="X547" s="3"/>
      <c r="Y547" s="3"/>
      <c r="Z547" s="3"/>
      <c r="AA547" s="3"/>
      <c r="AB547" s="3"/>
      <c r="AC547" s="3"/>
    </row>
    <row r="548" spans="1:29" x14ac:dyDescent="0.2">
      <c r="A548" s="3"/>
      <c r="B548" s="334">
        <f>'WK6 - Expenditure Program'!C148</f>
        <v>0</v>
      </c>
      <c r="C548" s="3"/>
      <c r="D548" s="3"/>
      <c r="E548" s="135"/>
      <c r="F548" s="3"/>
      <c r="G548" s="3"/>
      <c r="H548" s="96"/>
      <c r="I548" s="322">
        <f>'WK6 - Expenditure Program'!G148</f>
        <v>0</v>
      </c>
      <c r="J548" s="455">
        <f>'WK6 - Expenditure Program'!H148</f>
        <v>0</v>
      </c>
      <c r="K548" s="455">
        <f>'WK6 - Expenditure Program'!I148</f>
        <v>0</v>
      </c>
      <c r="L548" s="455">
        <f>'WK6 - Expenditure Program'!J148</f>
        <v>0</v>
      </c>
      <c r="M548" s="455">
        <f>'WK6 - Expenditure Program'!K148</f>
        <v>0</v>
      </c>
      <c r="N548" s="455">
        <f>'WK6 - Expenditure Program'!L148</f>
        <v>0</v>
      </c>
      <c r="O548" s="455">
        <f>'WK6 - Expenditure Program'!M148</f>
        <v>0</v>
      </c>
      <c r="P548" s="455">
        <f>'WK6 - Expenditure Program'!N148</f>
        <v>0</v>
      </c>
      <c r="Q548" s="455">
        <f>'WK6 - Expenditure Program'!O148</f>
        <v>0</v>
      </c>
      <c r="R548" s="347">
        <f>'WK6 - Expenditure Program'!P148</f>
        <v>0</v>
      </c>
      <c r="S548" s="347">
        <f>'WK6 - Expenditure Program'!Q148</f>
        <v>0</v>
      </c>
      <c r="T548" s="3"/>
      <c r="U548" s="3"/>
      <c r="V548" s="3"/>
      <c r="W548" s="3"/>
      <c r="X548" s="3"/>
      <c r="Y548" s="3"/>
      <c r="Z548" s="3"/>
      <c r="AA548" s="3"/>
      <c r="AB548" s="3"/>
      <c r="AC548" s="3"/>
    </row>
    <row r="549" spans="1:29" x14ac:dyDescent="0.2">
      <c r="A549" s="3"/>
      <c r="B549" s="334">
        <f>'WK6 - Expenditure Program'!C149</f>
        <v>0</v>
      </c>
      <c r="C549" s="3"/>
      <c r="D549" s="3"/>
      <c r="E549" s="135"/>
      <c r="F549" s="3"/>
      <c r="G549" s="3"/>
      <c r="H549" s="96"/>
      <c r="I549" s="322">
        <f>'WK6 - Expenditure Program'!G149</f>
        <v>0</v>
      </c>
      <c r="J549" s="455">
        <f>'WK6 - Expenditure Program'!H149</f>
        <v>0</v>
      </c>
      <c r="K549" s="455">
        <f>'WK6 - Expenditure Program'!I149</f>
        <v>0</v>
      </c>
      <c r="L549" s="455">
        <f>'WK6 - Expenditure Program'!J149</f>
        <v>0</v>
      </c>
      <c r="M549" s="455">
        <f>'WK6 - Expenditure Program'!K149</f>
        <v>0</v>
      </c>
      <c r="N549" s="455">
        <f>'WK6 - Expenditure Program'!L149</f>
        <v>0</v>
      </c>
      <c r="O549" s="455">
        <f>'WK6 - Expenditure Program'!M149</f>
        <v>0</v>
      </c>
      <c r="P549" s="455">
        <f>'WK6 - Expenditure Program'!N149</f>
        <v>0</v>
      </c>
      <c r="Q549" s="455">
        <f>'WK6 - Expenditure Program'!O149</f>
        <v>0</v>
      </c>
      <c r="R549" s="347">
        <f>'WK6 - Expenditure Program'!P149</f>
        <v>0</v>
      </c>
      <c r="S549" s="347">
        <f>'WK6 - Expenditure Program'!Q149</f>
        <v>0</v>
      </c>
      <c r="T549" s="3"/>
      <c r="U549" s="3"/>
      <c r="V549" s="3"/>
      <c r="W549" s="3"/>
      <c r="X549" s="3"/>
      <c r="Y549" s="3"/>
      <c r="Z549" s="3"/>
      <c r="AA549" s="3"/>
      <c r="AB549" s="3"/>
      <c r="AC549" s="3"/>
    </row>
    <row r="550" spans="1:29" ht="12" thickBot="1" x14ac:dyDescent="0.25">
      <c r="A550" s="3"/>
      <c r="B550" s="630" t="str">
        <f>'WK6 - Expenditure Program'!C150</f>
        <v>Annual total</v>
      </c>
      <c r="C550" s="3"/>
      <c r="D550" s="3"/>
      <c r="E550" s="135"/>
      <c r="F550" s="3"/>
      <c r="G550" s="3"/>
      <c r="H550" s="96"/>
      <c r="I550" s="904">
        <f>'WK6 - Expenditure Program'!G150</f>
        <v>0</v>
      </c>
      <c r="J550" s="905">
        <f>'WK6 - Expenditure Program'!H150</f>
        <v>0</v>
      </c>
      <c r="K550" s="905">
        <f>'WK6 - Expenditure Program'!I150</f>
        <v>0</v>
      </c>
      <c r="L550" s="905">
        <f>'WK6 - Expenditure Program'!J150</f>
        <v>0</v>
      </c>
      <c r="M550" s="905">
        <f>'WK6 - Expenditure Program'!K150</f>
        <v>0</v>
      </c>
      <c r="N550" s="905">
        <f>'WK6 - Expenditure Program'!L150</f>
        <v>0</v>
      </c>
      <c r="O550" s="905">
        <f>'WK6 - Expenditure Program'!M150</f>
        <v>0</v>
      </c>
      <c r="P550" s="905">
        <f>'WK6 - Expenditure Program'!N150</f>
        <v>0</v>
      </c>
      <c r="Q550" s="905">
        <f>'WK6 - Expenditure Program'!O150</f>
        <v>0</v>
      </c>
      <c r="R550" s="907">
        <f>'WK6 - Expenditure Program'!P150</f>
        <v>0</v>
      </c>
      <c r="S550" s="347">
        <f>'WK6 - Expenditure Program'!Q150</f>
        <v>0</v>
      </c>
      <c r="T550" s="3"/>
      <c r="U550" s="3"/>
      <c r="V550" s="3"/>
      <c r="W550" s="3"/>
      <c r="X550" s="3"/>
      <c r="Y550" s="3"/>
      <c r="Z550" s="3"/>
      <c r="AA550" s="3"/>
      <c r="AB550" s="3"/>
      <c r="AC550" s="3"/>
    </row>
    <row r="551" spans="1:29" ht="12" thickTop="1" x14ac:dyDescent="0.2">
      <c r="A551" s="3"/>
      <c r="B551" s="630" t="str">
        <f>'WK6 - Expenditure Program'!C151</f>
        <v>Cumulative totals by year</v>
      </c>
      <c r="C551" s="3"/>
      <c r="D551" s="3"/>
      <c r="E551" s="135"/>
      <c r="F551" s="3"/>
      <c r="G551" s="3"/>
      <c r="H551" s="96"/>
      <c r="I551" s="208">
        <f>'WK6 - Expenditure Program'!G151</f>
        <v>0</v>
      </c>
      <c r="J551" s="324">
        <f>'WK6 - Expenditure Program'!H151</f>
        <v>0</v>
      </c>
      <c r="K551" s="324">
        <f>'WK6 - Expenditure Program'!I151</f>
        <v>0</v>
      </c>
      <c r="L551" s="324">
        <f>'WK6 - Expenditure Program'!J151</f>
        <v>0</v>
      </c>
      <c r="M551" s="324">
        <f>'WK6 - Expenditure Program'!K151</f>
        <v>0</v>
      </c>
      <c r="N551" s="324">
        <f>'WK6 - Expenditure Program'!L151</f>
        <v>0</v>
      </c>
      <c r="O551" s="324">
        <f>'WK6 - Expenditure Program'!M151</f>
        <v>0</v>
      </c>
      <c r="P551" s="324">
        <f>'WK6 - Expenditure Program'!N151</f>
        <v>0</v>
      </c>
      <c r="Q551" s="324">
        <f>'WK6 - Expenditure Program'!O151</f>
        <v>0</v>
      </c>
      <c r="R551" s="645">
        <f>'WK6 - Expenditure Program'!P151</f>
        <v>0</v>
      </c>
      <c r="S551" s="500"/>
      <c r="T551" s="3"/>
      <c r="U551" s="3"/>
      <c r="V551" s="3"/>
      <c r="W551" s="3"/>
      <c r="X551" s="3"/>
      <c r="Y551" s="3"/>
      <c r="Z551" s="3"/>
      <c r="AA551" s="3"/>
      <c r="AB551" s="3"/>
      <c r="AC551" s="3"/>
    </row>
    <row r="552" spans="1:29" x14ac:dyDescent="0.2">
      <c r="A552" s="3"/>
      <c r="B552" s="568" t="s">
        <v>127</v>
      </c>
      <c r="C552" s="3"/>
      <c r="D552" s="3"/>
      <c r="E552" s="135"/>
      <c r="F552" s="3"/>
      <c r="G552" s="3"/>
      <c r="H552" s="96"/>
      <c r="I552" s="903">
        <f t="shared" ref="I552:S552" si="11">I550-SUM(I540:I549)</f>
        <v>0</v>
      </c>
      <c r="J552" s="635">
        <f t="shared" si="11"/>
        <v>0</v>
      </c>
      <c r="K552" s="635">
        <f t="shared" si="11"/>
        <v>0</v>
      </c>
      <c r="L552" s="635">
        <f t="shared" si="11"/>
        <v>0</v>
      </c>
      <c r="M552" s="635">
        <f t="shared" si="11"/>
        <v>0</v>
      </c>
      <c r="N552" s="635">
        <f t="shared" si="11"/>
        <v>0</v>
      </c>
      <c r="O552" s="635">
        <f t="shared" si="11"/>
        <v>0</v>
      </c>
      <c r="P552" s="635">
        <f t="shared" si="11"/>
        <v>0</v>
      </c>
      <c r="Q552" s="635">
        <f t="shared" si="11"/>
        <v>0</v>
      </c>
      <c r="R552" s="635">
        <f t="shared" si="11"/>
        <v>0</v>
      </c>
      <c r="S552" s="661">
        <f t="shared" si="11"/>
        <v>0</v>
      </c>
      <c r="T552" s="3"/>
      <c r="U552" s="3"/>
      <c r="V552" s="3"/>
      <c r="W552" s="3"/>
      <c r="X552" s="3"/>
      <c r="Y552" s="3"/>
      <c r="Z552" s="3"/>
      <c r="AA552" s="3"/>
      <c r="AB552" s="3"/>
      <c r="AC552" s="3"/>
    </row>
    <row r="553" spans="1:29" x14ac:dyDescent="0.2">
      <c r="A553" s="3"/>
      <c r="B553" s="135"/>
      <c r="C553" s="3"/>
      <c r="D553" s="3"/>
      <c r="E553" s="135"/>
      <c r="F553" s="3"/>
      <c r="G553" s="3"/>
      <c r="H553" s="96"/>
      <c r="I553" s="565"/>
      <c r="J553" s="77"/>
      <c r="K553" s="77"/>
      <c r="L553" s="77"/>
      <c r="M553" s="77"/>
      <c r="N553" s="77"/>
      <c r="O553" s="77"/>
      <c r="P553" s="77"/>
      <c r="Q553" s="77"/>
      <c r="R553" s="566"/>
      <c r="S553" s="278"/>
      <c r="T553" s="3"/>
      <c r="U553" s="3"/>
      <c r="V553" s="3"/>
      <c r="W553" s="3"/>
      <c r="X553" s="3"/>
      <c r="Y553" s="3"/>
      <c r="Z553" s="3"/>
      <c r="AA553" s="3"/>
      <c r="AB553" s="3"/>
      <c r="AC553" s="3"/>
    </row>
    <row r="554" spans="1:29" ht="12" x14ac:dyDescent="0.25">
      <c r="A554" s="3"/>
      <c r="B554" s="632" t="str">
        <f>'WK6 - Expenditure Program'!C153</f>
        <v xml:space="preserve">Total   </v>
      </c>
      <c r="C554" s="3"/>
      <c r="D554" s="3"/>
      <c r="E554" s="135"/>
      <c r="F554" s="3"/>
      <c r="G554" s="3"/>
      <c r="H554" s="96"/>
      <c r="I554" s="565"/>
      <c r="J554" s="77"/>
      <c r="K554" s="77"/>
      <c r="L554" s="77"/>
      <c r="M554" s="77"/>
      <c r="N554" s="77"/>
      <c r="O554" s="77"/>
      <c r="P554" s="77"/>
      <c r="Q554" s="77"/>
      <c r="R554" s="566"/>
      <c r="S554" s="278"/>
      <c r="T554" s="3"/>
      <c r="U554" s="3"/>
      <c r="V554" s="3"/>
      <c r="W554" s="3"/>
      <c r="X554" s="3"/>
      <c r="Y554" s="3"/>
      <c r="Z554" s="3"/>
      <c r="AA554" s="3"/>
      <c r="AB554" s="3"/>
      <c r="AC554" s="3"/>
    </row>
    <row r="555" spans="1:29" x14ac:dyDescent="0.2">
      <c r="A555" s="3"/>
      <c r="B555" s="662" t="str">
        <f>'WK6 - Expenditure Program'!C154</f>
        <v>Total use of proposed SV income</v>
      </c>
      <c r="C555" s="3"/>
      <c r="D555" s="3"/>
      <c r="E555" s="135"/>
      <c r="F555" s="3"/>
      <c r="G555" s="3"/>
      <c r="H555" s="96"/>
      <c r="I555" s="208">
        <f>'WK6 - Expenditure Program'!G154</f>
        <v>8788468</v>
      </c>
      <c r="J555" s="324">
        <f>'WK6 - Expenditure Program'!H154</f>
        <v>8693123</v>
      </c>
      <c r="K555" s="324">
        <f>'WK6 - Expenditure Program'!I154</f>
        <v>11704432.25</v>
      </c>
      <c r="L555" s="324">
        <f>'WK6 - Expenditure Program'!J154</f>
        <v>12097561.8125</v>
      </c>
      <c r="M555" s="324">
        <f>'WK6 - Expenditure Program'!K154</f>
        <v>17544942.453125</v>
      </c>
      <c r="N555" s="324">
        <f>'WK6 - Expenditure Program'!L154</f>
        <v>15367346.975781251</v>
      </c>
      <c r="O555" s="324">
        <f>'WK6 - Expenditure Program'!M154</f>
        <v>13786815.574570313</v>
      </c>
      <c r="P555" s="324">
        <f>'WK6 - Expenditure Program'!N154</f>
        <v>13849555.203298828</v>
      </c>
      <c r="Q555" s="324">
        <f>'WK6 - Expenditure Program'!O154</f>
        <v>14370145.96346377</v>
      </c>
      <c r="R555" s="645">
        <f>'WK6 - Expenditure Program'!P154</f>
        <v>14677613.511636958</v>
      </c>
      <c r="S555" s="658">
        <f>'WK6 - Expenditure Program'!Q154</f>
        <v>130880004.74437612</v>
      </c>
      <c r="T555" s="3"/>
      <c r="U555" s="3"/>
      <c r="V555" s="3"/>
      <c r="W555" s="3"/>
      <c r="X555" s="3"/>
      <c r="Y555" s="3"/>
      <c r="Z555" s="3"/>
      <c r="AA555" s="3"/>
      <c r="AB555" s="3"/>
      <c r="AC555" s="3"/>
    </row>
    <row r="556" spans="1:29" x14ac:dyDescent="0.2">
      <c r="A556" s="3"/>
      <c r="B556" s="662" t="str">
        <f>'WK6 - Expenditure Program'!C155</f>
        <v>Difference between additional SRV income and its uses</v>
      </c>
      <c r="C556" s="3"/>
      <c r="D556" s="3"/>
      <c r="E556" s="135"/>
      <c r="F556" s="3"/>
      <c r="G556" s="3"/>
      <c r="H556" s="96"/>
      <c r="I556" s="208">
        <f>'WK6 - Expenditure Program'!G155</f>
        <v>-5145742.783316493</v>
      </c>
      <c r="J556" s="324">
        <f>'WK6 - Expenditure Program'!H155</f>
        <v>-842291.25696022809</v>
      </c>
      <c r="K556" s="324">
        <f>'WK6 - Expenditure Program'!I155</f>
        <v>-116676.69287654757</v>
      </c>
      <c r="L556" s="324">
        <f>'WK6 - Expenditure Program'!J155</f>
        <v>2607984.2336820513</v>
      </c>
      <c r="M556" s="324">
        <f>'WK6 - Expenditure Program'!K155</f>
        <v>-2471757.7557884008</v>
      </c>
      <c r="N556" s="324">
        <f>'WK6 - Expenditure Program'!L155</f>
        <v>82667.338988762349</v>
      </c>
      <c r="O556" s="324">
        <f>'WK6 - Expenditure Program'!M155</f>
        <v>2049449.0980689526</v>
      </c>
      <c r="P556" s="324">
        <f>'WK6 - Expenditure Program'!N155</f>
        <v>2382616.0861564185</v>
      </c>
      <c r="Q556" s="324">
        <f>'WK6 - Expenditure Program'!O155</f>
        <v>2267829.6082278565</v>
      </c>
      <c r="R556" s="645">
        <f>'WK6 - Expenditure Program'!P155</f>
        <v>2376311.4493469596</v>
      </c>
      <c r="S556" s="658">
        <f>'WK6 - Expenditure Program'!Q155</f>
        <v>3190389.3255293313</v>
      </c>
      <c r="T556" s="3"/>
      <c r="U556" s="3"/>
      <c r="V556" s="3"/>
      <c r="W556" s="3"/>
      <c r="X556" s="3"/>
      <c r="Y556" s="3"/>
      <c r="Z556" s="3"/>
      <c r="AA556" s="3"/>
      <c r="AB556" s="3"/>
      <c r="AC556" s="3"/>
    </row>
    <row r="557" spans="1:29" x14ac:dyDescent="0.2">
      <c r="A557" s="3"/>
      <c r="B557" s="568" t="s">
        <v>127</v>
      </c>
      <c r="C557" s="3"/>
      <c r="D557" s="3"/>
      <c r="E557" s="135"/>
      <c r="F557" s="3"/>
      <c r="G557" s="3"/>
      <c r="H557" s="96"/>
      <c r="I557" s="565"/>
      <c r="J557" s="77"/>
      <c r="K557" s="77"/>
      <c r="L557" s="77"/>
      <c r="M557" s="77"/>
      <c r="N557" s="77"/>
      <c r="O557" s="77"/>
      <c r="P557" s="77"/>
      <c r="Q557" s="77"/>
      <c r="R557" s="566"/>
      <c r="S557" s="278"/>
      <c r="T557" s="3"/>
      <c r="U557" s="3"/>
      <c r="V557" s="3"/>
      <c r="W557" s="3"/>
      <c r="X557" s="3"/>
      <c r="Y557" s="3"/>
      <c r="Z557" s="3"/>
      <c r="AA557" s="3"/>
      <c r="AB557" s="3"/>
      <c r="AC557" s="3"/>
    </row>
    <row r="558" spans="1:29" x14ac:dyDescent="0.2">
      <c r="A558" s="3"/>
      <c r="B558" s="568" t="s">
        <v>127</v>
      </c>
      <c r="C558" s="3"/>
      <c r="D558" s="3"/>
      <c r="E558" s="135"/>
      <c r="F558" s="3"/>
      <c r="G558" s="3"/>
      <c r="H558" s="96"/>
      <c r="I558" s="903">
        <f t="shared" ref="I558:S558" si="12">I555-I550-I535-I465</f>
        <v>0</v>
      </c>
      <c r="J558" s="635">
        <f t="shared" si="12"/>
        <v>0</v>
      </c>
      <c r="K558" s="635">
        <f t="shared" si="12"/>
        <v>0</v>
      </c>
      <c r="L558" s="635">
        <f t="shared" si="12"/>
        <v>0</v>
      </c>
      <c r="M558" s="635">
        <f t="shared" si="12"/>
        <v>0</v>
      </c>
      <c r="N558" s="635">
        <f t="shared" si="12"/>
        <v>0</v>
      </c>
      <c r="O558" s="635">
        <f t="shared" si="12"/>
        <v>0</v>
      </c>
      <c r="P558" s="635">
        <f t="shared" si="12"/>
        <v>0</v>
      </c>
      <c r="Q558" s="635">
        <f t="shared" si="12"/>
        <v>0</v>
      </c>
      <c r="R558" s="906">
        <f t="shared" si="12"/>
        <v>0</v>
      </c>
      <c r="S558" s="661">
        <f t="shared" si="12"/>
        <v>0</v>
      </c>
      <c r="T558" s="3"/>
      <c r="U558" s="3"/>
      <c r="V558" s="3"/>
      <c r="W558" s="3"/>
      <c r="X558" s="3"/>
      <c r="Y558" s="3"/>
      <c r="Z558" s="3"/>
      <c r="AA558" s="3"/>
      <c r="AB558" s="3"/>
      <c r="AC558" s="3"/>
    </row>
    <row r="559" spans="1:29" x14ac:dyDescent="0.2">
      <c r="A559" s="3"/>
      <c r="B559" s="135"/>
      <c r="C559" s="3"/>
      <c r="D559" s="3"/>
      <c r="E559" s="135"/>
      <c r="F559" s="3"/>
      <c r="G559" s="3"/>
      <c r="H559" s="96"/>
      <c r="I559" s="903">
        <f t="shared" ref="I559:S559" si="13">I429-I555-I556</f>
        <v>0</v>
      </c>
      <c r="J559" s="635">
        <f t="shared" si="13"/>
        <v>0</v>
      </c>
      <c r="K559" s="635">
        <f t="shared" si="13"/>
        <v>0</v>
      </c>
      <c r="L559" s="635">
        <f t="shared" si="13"/>
        <v>0</v>
      </c>
      <c r="M559" s="635">
        <f t="shared" si="13"/>
        <v>0</v>
      </c>
      <c r="N559" s="635">
        <f t="shared" si="13"/>
        <v>0</v>
      </c>
      <c r="O559" s="635">
        <f t="shared" si="13"/>
        <v>0</v>
      </c>
      <c r="P559" s="635">
        <f t="shared" si="13"/>
        <v>0</v>
      </c>
      <c r="Q559" s="635">
        <f t="shared" si="13"/>
        <v>0</v>
      </c>
      <c r="R559" s="906">
        <f t="shared" si="13"/>
        <v>0</v>
      </c>
      <c r="S559" s="661">
        <f t="shared" si="13"/>
        <v>5.5879354476928711E-9</v>
      </c>
      <c r="T559" s="3"/>
      <c r="U559" s="3"/>
      <c r="V559" s="3"/>
      <c r="W559" s="3"/>
      <c r="X559" s="3"/>
      <c r="Y559" s="3"/>
      <c r="Z559" s="3"/>
      <c r="AA559" s="3"/>
      <c r="AB559" s="3"/>
      <c r="AC559" s="3"/>
    </row>
    <row r="560" spans="1:29" x14ac:dyDescent="0.2">
      <c r="A560" s="3"/>
      <c r="B560" s="97"/>
      <c r="C560" s="93"/>
      <c r="D560" s="93"/>
      <c r="E560" s="97"/>
      <c r="F560" s="93"/>
      <c r="G560" s="93"/>
      <c r="H560" s="98"/>
      <c r="I560" s="97"/>
      <c r="J560" s="93"/>
      <c r="K560" s="93"/>
      <c r="L560" s="93"/>
      <c r="M560" s="93"/>
      <c r="N560" s="93"/>
      <c r="O560" s="93"/>
      <c r="P560" s="93"/>
      <c r="Q560" s="93"/>
      <c r="R560" s="98"/>
      <c r="S560" s="139"/>
      <c r="T560" s="3"/>
      <c r="U560" s="3"/>
      <c r="V560" s="3"/>
      <c r="W560" s="3"/>
      <c r="X560" s="3"/>
      <c r="Y560" s="3"/>
      <c r="Z560" s="3"/>
      <c r="AA560" s="3"/>
      <c r="AB560" s="3"/>
      <c r="AC560" s="3"/>
    </row>
    <row r="561" spans="1:29"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x14ac:dyDescent="0.2">
      <c r="A564" s="3"/>
      <c r="B564" s="619" t="str">
        <f>'WK7 - Financials'!F5</f>
        <v>WORKSHEET 7</v>
      </c>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ht="12" x14ac:dyDescent="0.25">
      <c r="A565" s="3"/>
      <c r="B565" s="620" t="str">
        <f>'WK7 - Financials'!F7</f>
        <v>FINANCIAL INFORMATION</v>
      </c>
      <c r="C565" s="3"/>
      <c r="D565" s="3"/>
      <c r="E565" s="620" t="str">
        <f>'WK7 - Financials'!I75</f>
        <v>$'000 nominal</v>
      </c>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x14ac:dyDescent="0.2">
      <c r="A566" s="3"/>
      <c r="B566" s="1198" t="str">
        <f>B$51</f>
        <v>Year number</v>
      </c>
      <c r="C566" s="815"/>
      <c r="D566" s="918"/>
      <c r="E566" s="1201" t="str">
        <f t="shared" ref="E566:R566" si="14">E$51</f>
        <v>Hist yr 3</v>
      </c>
      <c r="F566" s="919" t="str">
        <f t="shared" si="14"/>
        <v>Hist yr 2</v>
      </c>
      <c r="G566" s="1203" t="str">
        <f t="shared" si="14"/>
        <v>Hist yr 1</v>
      </c>
      <c r="H566" s="872" t="str">
        <f t="shared" si="14"/>
        <v>Year 0</v>
      </c>
      <c r="I566" s="872" t="str">
        <f t="shared" si="14"/>
        <v>Year 1</v>
      </c>
      <c r="J566" s="872" t="str">
        <f t="shared" si="14"/>
        <v>Year 2</v>
      </c>
      <c r="K566" s="872" t="str">
        <f t="shared" si="14"/>
        <v>Year 3</v>
      </c>
      <c r="L566" s="872" t="str">
        <f t="shared" si="14"/>
        <v>Year 4</v>
      </c>
      <c r="M566" s="872" t="str">
        <f t="shared" si="14"/>
        <v>Year 5</v>
      </c>
      <c r="N566" s="872" t="str">
        <f t="shared" si="14"/>
        <v>Year 6</v>
      </c>
      <c r="O566" s="872" t="str">
        <f t="shared" si="14"/>
        <v>Year 7</v>
      </c>
      <c r="P566" s="872" t="str">
        <f t="shared" si="14"/>
        <v>Year 8</v>
      </c>
      <c r="Q566" s="872" t="str">
        <f t="shared" si="14"/>
        <v>Year 9</v>
      </c>
      <c r="R566" s="872" t="str">
        <f t="shared" si="14"/>
        <v>Year 10</v>
      </c>
      <c r="S566" s="923"/>
      <c r="T566" s="3"/>
      <c r="U566" s="3"/>
      <c r="V566" s="3"/>
      <c r="W566" s="3"/>
      <c r="X566" s="3"/>
      <c r="Y566" s="3"/>
      <c r="Z566" s="3"/>
      <c r="AA566" s="3"/>
      <c r="AB566" s="3"/>
      <c r="AC566" s="3"/>
    </row>
    <row r="567" spans="1:29" ht="12" x14ac:dyDescent="0.25">
      <c r="A567" s="3"/>
      <c r="B567" s="621" t="str">
        <f>B$52</f>
        <v>Financial year</v>
      </c>
      <c r="C567" s="93"/>
      <c r="D567" s="98"/>
      <c r="E567" s="622" t="str">
        <f t="shared" ref="E567:R567" si="15">E$52</f>
        <v>2019-20</v>
      </c>
      <c r="F567" s="623" t="str">
        <f t="shared" si="15"/>
        <v>2020-21</v>
      </c>
      <c r="G567" s="664" t="str">
        <f t="shared" si="15"/>
        <v>2021-22</v>
      </c>
      <c r="H567" s="626" t="str">
        <f t="shared" si="15"/>
        <v>2022-23</v>
      </c>
      <c r="I567" s="626" t="str">
        <f t="shared" si="15"/>
        <v>2023-24</v>
      </c>
      <c r="J567" s="626" t="str">
        <f t="shared" si="15"/>
        <v>2024-25</v>
      </c>
      <c r="K567" s="626" t="str">
        <f t="shared" si="15"/>
        <v>2025-26</v>
      </c>
      <c r="L567" s="626" t="str">
        <f t="shared" si="15"/>
        <v>2026-27</v>
      </c>
      <c r="M567" s="626" t="str">
        <f t="shared" si="15"/>
        <v>2027-28</v>
      </c>
      <c r="N567" s="626" t="str">
        <f t="shared" si="15"/>
        <v>2028-29</v>
      </c>
      <c r="O567" s="626" t="str">
        <f t="shared" si="15"/>
        <v>2029-30</v>
      </c>
      <c r="P567" s="626" t="str">
        <f t="shared" si="15"/>
        <v>2030-31</v>
      </c>
      <c r="Q567" s="626" t="str">
        <f t="shared" si="15"/>
        <v>2031-32</v>
      </c>
      <c r="R567" s="626" t="str">
        <f t="shared" si="15"/>
        <v>2032-33</v>
      </c>
      <c r="S567" s="570"/>
      <c r="T567" s="3"/>
      <c r="U567" s="3"/>
      <c r="V567" s="3"/>
      <c r="W567" s="3"/>
      <c r="X567" s="3"/>
      <c r="Y567" s="3"/>
      <c r="Z567" s="3"/>
      <c r="AA567" s="3"/>
      <c r="AB567" s="3"/>
      <c r="AC567" s="3"/>
    </row>
    <row r="568" spans="1:29" x14ac:dyDescent="0.2">
      <c r="A568" s="3"/>
      <c r="B568" s="135"/>
      <c r="C568" s="3"/>
      <c r="D568" s="3"/>
      <c r="E568" s="135"/>
      <c r="F568" s="3"/>
      <c r="G568" s="278"/>
      <c r="H568" s="3"/>
      <c r="I568" s="3"/>
      <c r="J568" s="3"/>
      <c r="K568" s="3"/>
      <c r="L568" s="3"/>
      <c r="M568" s="3"/>
      <c r="N568" s="3"/>
      <c r="O568" s="3"/>
      <c r="P568" s="3"/>
      <c r="Q568" s="3"/>
      <c r="R568" s="3"/>
      <c r="S568" s="96"/>
      <c r="T568" s="3"/>
      <c r="U568" s="3"/>
      <c r="V568" s="3"/>
      <c r="W568" s="3"/>
      <c r="X568" s="3"/>
      <c r="Y568" s="3"/>
      <c r="Z568" s="3"/>
      <c r="AA568" s="3"/>
      <c r="AB568" s="3"/>
      <c r="AC568" s="3"/>
    </row>
    <row r="569" spans="1:29" x14ac:dyDescent="0.2">
      <c r="A569" s="3"/>
      <c r="B569" s="135"/>
      <c r="C569" s="3"/>
      <c r="D569" s="3"/>
      <c r="E569" s="135"/>
      <c r="F569" s="3"/>
      <c r="G569" s="278"/>
      <c r="H569" s="3"/>
      <c r="I569" s="3"/>
      <c r="J569" s="3"/>
      <c r="K569" s="3"/>
      <c r="L569" s="3"/>
      <c r="M569" s="3"/>
      <c r="N569" s="3"/>
      <c r="O569" s="3"/>
      <c r="P569" s="3"/>
      <c r="Q569" s="3"/>
      <c r="R569" s="3"/>
      <c r="S569" s="96"/>
      <c r="T569" s="3"/>
      <c r="U569" s="3"/>
      <c r="V569" s="3"/>
      <c r="W569" s="3"/>
      <c r="X569" s="3"/>
      <c r="Y569" s="3"/>
      <c r="Z569" s="3"/>
      <c r="AA569" s="3"/>
      <c r="AB569" s="3"/>
      <c r="AC569" s="3"/>
    </row>
    <row r="570" spans="1:29" ht="12" x14ac:dyDescent="0.25">
      <c r="A570" s="3"/>
      <c r="B570" s="632" t="str">
        <f>'WK7 - Financials'!C75</f>
        <v>Cash and investments (General fund)</v>
      </c>
      <c r="C570" s="3"/>
      <c r="D570" s="3"/>
      <c r="E570" s="135"/>
      <c r="F570" s="79"/>
      <c r="G570" s="573"/>
      <c r="H570" s="79"/>
      <c r="I570" s="79"/>
      <c r="J570" s="79"/>
      <c r="K570" s="79"/>
      <c r="L570" s="79"/>
      <c r="M570" s="79"/>
      <c r="N570" s="79"/>
      <c r="O570" s="79"/>
      <c r="P570" s="79"/>
      <c r="Q570" s="79"/>
      <c r="R570" s="79"/>
      <c r="S570" s="564"/>
      <c r="T570" s="3"/>
      <c r="U570" s="3"/>
      <c r="V570" s="3"/>
      <c r="W570" s="3"/>
      <c r="X570" s="3"/>
      <c r="Y570" s="3"/>
      <c r="Z570" s="3"/>
      <c r="AA570" s="3"/>
      <c r="AB570" s="3"/>
      <c r="AC570" s="3"/>
    </row>
    <row r="571" spans="1:29" x14ac:dyDescent="0.2">
      <c r="A571" s="3"/>
      <c r="B571" s="630" t="str">
        <f>'WK7 - Financials'!C76</f>
        <v>Source:</v>
      </c>
      <c r="C571" s="619" t="str">
        <f>'WK7 - Financials'!D76</f>
        <v>Note 6a, 6b, 6c</v>
      </c>
      <c r="D571" s="3"/>
      <c r="E571" s="135"/>
      <c r="F571" s="3"/>
      <c r="G571" s="278"/>
      <c r="H571" s="3"/>
      <c r="I571" s="3"/>
      <c r="J571" s="3"/>
      <c r="K571" s="3"/>
      <c r="L571" s="3"/>
      <c r="M571" s="3"/>
      <c r="N571" s="3"/>
      <c r="O571" s="3"/>
      <c r="P571" s="3"/>
      <c r="Q571" s="3"/>
      <c r="R571" s="3"/>
      <c r="S571" s="96"/>
      <c r="T571" s="3"/>
      <c r="U571" s="3"/>
      <c r="V571" s="3"/>
      <c r="W571" s="3"/>
      <c r="X571" s="3"/>
      <c r="Y571" s="3"/>
      <c r="Z571" s="3"/>
      <c r="AA571" s="3"/>
      <c r="AB571" s="3"/>
      <c r="AC571" s="3"/>
    </row>
    <row r="572" spans="1:29" x14ac:dyDescent="0.2">
      <c r="A572" s="3"/>
      <c r="B572" s="135"/>
      <c r="C572" s="3"/>
      <c r="D572" s="3"/>
      <c r="E572" s="135"/>
      <c r="F572" s="3"/>
      <c r="G572" s="278"/>
      <c r="H572" s="3"/>
      <c r="I572" s="3"/>
      <c r="J572" s="3"/>
      <c r="K572" s="3"/>
      <c r="L572" s="3"/>
      <c r="M572" s="3"/>
      <c r="N572" s="3"/>
      <c r="O572" s="3"/>
      <c r="P572" s="3"/>
      <c r="Q572" s="3"/>
      <c r="R572" s="3"/>
      <c r="S572" s="96"/>
      <c r="T572" s="3"/>
      <c r="U572" s="3"/>
      <c r="V572" s="3"/>
      <c r="W572" s="3"/>
      <c r="X572" s="3"/>
      <c r="Y572" s="3"/>
      <c r="Z572" s="3"/>
      <c r="AA572" s="3"/>
      <c r="AB572" s="3"/>
      <c r="AC572" s="3"/>
    </row>
    <row r="573" spans="1:29" ht="12" x14ac:dyDescent="0.25">
      <c r="A573" s="3"/>
      <c r="B573" s="632" t="str">
        <f>'WK7 - Financials'!C79</f>
        <v>6a - Cash and cash equivalents</v>
      </c>
      <c r="C573" s="3"/>
      <c r="D573" s="3"/>
      <c r="E573" s="135"/>
      <c r="F573" s="3"/>
      <c r="G573" s="278"/>
      <c r="H573" s="3"/>
      <c r="I573" s="3"/>
      <c r="J573" s="3"/>
      <c r="K573" s="3"/>
      <c r="L573" s="3"/>
      <c r="M573" s="3"/>
      <c r="N573" s="3"/>
      <c r="O573" s="3"/>
      <c r="P573" s="3"/>
      <c r="Q573" s="3"/>
      <c r="R573" s="3"/>
      <c r="S573" s="96"/>
      <c r="T573" s="3"/>
      <c r="U573" s="3"/>
      <c r="V573" s="3"/>
      <c r="W573" s="3"/>
      <c r="X573" s="3"/>
      <c r="Y573" s="3"/>
      <c r="Z573" s="3"/>
      <c r="AA573" s="3"/>
      <c r="AB573" s="3"/>
      <c r="AC573" s="3"/>
    </row>
    <row r="574" spans="1:29" x14ac:dyDescent="0.2">
      <c r="A574" s="3"/>
      <c r="B574" s="630" t="str">
        <f>'WK7 - Financials'!C80</f>
        <v>Cash on hand and at bank</v>
      </c>
      <c r="C574" s="3"/>
      <c r="D574" s="3"/>
      <c r="E574" s="135"/>
      <c r="F574" s="3"/>
      <c r="G574" s="658">
        <f>'WK7 - Financials'!I80</f>
        <v>47763</v>
      </c>
      <c r="H574" s="3"/>
      <c r="I574" s="3"/>
      <c r="J574" s="3"/>
      <c r="K574" s="3"/>
      <c r="L574" s="3"/>
      <c r="M574" s="3"/>
      <c r="N574" s="3"/>
      <c r="O574" s="3"/>
      <c r="P574" s="3"/>
      <c r="Q574" s="3"/>
      <c r="R574" s="3"/>
      <c r="S574" s="96"/>
      <c r="T574" s="3"/>
      <c r="U574" s="3"/>
      <c r="V574" s="3"/>
      <c r="W574" s="3"/>
      <c r="X574" s="3"/>
      <c r="Y574" s="3"/>
      <c r="Z574" s="3"/>
      <c r="AA574" s="3"/>
      <c r="AB574" s="3"/>
      <c r="AC574" s="3"/>
    </row>
    <row r="575" spans="1:29" x14ac:dyDescent="0.2">
      <c r="A575" s="3"/>
      <c r="B575" s="630" t="str">
        <f>'WK7 - Financials'!C81</f>
        <v>Cash-equivalent assets</v>
      </c>
      <c r="C575" s="3"/>
      <c r="D575" s="3"/>
      <c r="E575" s="135"/>
      <c r="F575" s="3"/>
      <c r="G575" s="658">
        <f>'WK7 - Financials'!I81</f>
        <v>0</v>
      </c>
      <c r="H575" s="3"/>
      <c r="I575" s="3"/>
      <c r="J575" s="3"/>
      <c r="K575" s="3"/>
      <c r="L575" s="3"/>
      <c r="M575" s="3"/>
      <c r="N575" s="3"/>
      <c r="O575" s="3"/>
      <c r="P575" s="3"/>
      <c r="Q575" s="3"/>
      <c r="R575" s="3"/>
      <c r="S575" s="96"/>
      <c r="T575" s="3"/>
      <c r="U575" s="3"/>
      <c r="V575" s="3"/>
      <c r="W575" s="3"/>
      <c r="X575" s="3"/>
      <c r="Y575" s="3"/>
      <c r="Z575" s="3"/>
      <c r="AA575" s="3"/>
      <c r="AB575" s="3"/>
      <c r="AC575" s="3"/>
    </row>
    <row r="576" spans="1:29" x14ac:dyDescent="0.2">
      <c r="A576" s="3"/>
      <c r="B576" s="630" t="str">
        <f>'WK7 - Financials'!C82</f>
        <v>Total</v>
      </c>
      <c r="C576" s="3"/>
      <c r="D576" s="3"/>
      <c r="E576" s="135"/>
      <c r="F576" s="3"/>
      <c r="G576" s="658">
        <f>'WK7 - Financials'!I82</f>
        <v>47763</v>
      </c>
      <c r="H576" s="3"/>
      <c r="I576" s="3"/>
      <c r="J576" s="3"/>
      <c r="K576" s="3"/>
      <c r="L576" s="3"/>
      <c r="M576" s="3"/>
      <c r="N576" s="3"/>
      <c r="O576" s="3"/>
      <c r="P576" s="3"/>
      <c r="Q576" s="3"/>
      <c r="R576" s="3"/>
      <c r="S576" s="96"/>
      <c r="T576" s="3"/>
      <c r="U576" s="3"/>
      <c r="V576" s="3"/>
      <c r="W576" s="3"/>
      <c r="X576" s="3"/>
      <c r="Y576" s="3"/>
      <c r="Z576" s="3"/>
      <c r="AA576" s="3"/>
      <c r="AB576" s="3"/>
      <c r="AC576" s="3"/>
    </row>
    <row r="577" spans="1:29" x14ac:dyDescent="0.2">
      <c r="A577" s="3"/>
      <c r="B577" s="135"/>
      <c r="C577" s="3"/>
      <c r="D577" s="3"/>
      <c r="E577" s="135"/>
      <c r="F577" s="3"/>
      <c r="G577" s="278"/>
      <c r="H577" s="3"/>
      <c r="I577" s="3"/>
      <c r="J577" s="3"/>
      <c r="K577" s="3"/>
      <c r="L577" s="3"/>
      <c r="M577" s="3"/>
      <c r="N577" s="3"/>
      <c r="O577" s="3"/>
      <c r="P577" s="3"/>
      <c r="Q577" s="3"/>
      <c r="R577" s="3"/>
      <c r="S577" s="96"/>
      <c r="T577" s="3"/>
      <c r="U577" s="3"/>
      <c r="V577" s="3"/>
      <c r="W577" s="3"/>
      <c r="X577" s="3"/>
      <c r="Y577" s="3"/>
      <c r="Z577" s="3"/>
      <c r="AA577" s="3"/>
      <c r="AB577" s="3"/>
      <c r="AC577" s="3"/>
    </row>
    <row r="578" spans="1:29" ht="12" x14ac:dyDescent="0.25">
      <c r="A578" s="3"/>
      <c r="B578" s="632" t="str">
        <f>'WK7 - Financials'!C84</f>
        <v>6b - Investments</v>
      </c>
      <c r="C578" s="3"/>
      <c r="D578" s="3"/>
      <c r="E578" s="135"/>
      <c r="F578" s="3"/>
      <c r="G578" s="278"/>
      <c r="H578" s="3"/>
      <c r="I578" s="3"/>
      <c r="J578" s="3"/>
      <c r="K578" s="3"/>
      <c r="L578" s="3"/>
      <c r="M578" s="3"/>
      <c r="N578" s="3"/>
      <c r="O578" s="3"/>
      <c r="P578" s="3"/>
      <c r="Q578" s="3"/>
      <c r="R578" s="3"/>
      <c r="S578" s="96"/>
      <c r="T578" s="3"/>
      <c r="U578" s="3"/>
      <c r="V578" s="3"/>
      <c r="W578" s="3"/>
      <c r="X578" s="3"/>
      <c r="Y578" s="3"/>
      <c r="Z578" s="3"/>
      <c r="AA578" s="3"/>
      <c r="AB578" s="3"/>
      <c r="AC578" s="3"/>
    </row>
    <row r="579" spans="1:29" x14ac:dyDescent="0.2">
      <c r="A579" s="3"/>
      <c r="B579" s="630" t="str">
        <f>'WK7 - Financials'!C85</f>
        <v>Current</v>
      </c>
      <c r="C579" s="3"/>
      <c r="D579" s="3"/>
      <c r="E579" s="135"/>
      <c r="F579" s="3"/>
      <c r="G579" s="658">
        <f>'WK7 - Financials'!I85</f>
        <v>81171</v>
      </c>
      <c r="H579" s="3"/>
      <c r="I579" s="3"/>
      <c r="J579" s="3"/>
      <c r="K579" s="3"/>
      <c r="L579" s="3"/>
      <c r="M579" s="3"/>
      <c r="N579" s="3"/>
      <c r="O579" s="3"/>
      <c r="P579" s="3"/>
      <c r="Q579" s="3"/>
      <c r="R579" s="3"/>
      <c r="S579" s="96"/>
      <c r="T579" s="3"/>
      <c r="U579" s="3"/>
      <c r="V579" s="3"/>
      <c r="W579" s="3"/>
      <c r="X579" s="3"/>
      <c r="Y579" s="3"/>
      <c r="Z579" s="3"/>
      <c r="AA579" s="3"/>
      <c r="AB579" s="3"/>
      <c r="AC579" s="3"/>
    </row>
    <row r="580" spans="1:29" x14ac:dyDescent="0.2">
      <c r="A580" s="3"/>
      <c r="B580" s="630" t="str">
        <f>'WK7 - Financials'!C86</f>
        <v>Non-current</v>
      </c>
      <c r="C580" s="3"/>
      <c r="D580" s="3"/>
      <c r="E580" s="135"/>
      <c r="F580" s="3"/>
      <c r="G580" s="658">
        <f>'WK7 - Financials'!I86</f>
        <v>173922</v>
      </c>
      <c r="H580" s="3"/>
      <c r="I580" s="3"/>
      <c r="J580" s="3"/>
      <c r="K580" s="3"/>
      <c r="L580" s="3"/>
      <c r="M580" s="3"/>
      <c r="N580" s="3"/>
      <c r="O580" s="3"/>
      <c r="P580" s="3"/>
      <c r="Q580" s="3"/>
      <c r="R580" s="3"/>
      <c r="S580" s="96"/>
      <c r="T580" s="3"/>
      <c r="U580" s="3"/>
      <c r="V580" s="3"/>
      <c r="W580" s="3"/>
      <c r="X580" s="3"/>
      <c r="Y580" s="3"/>
      <c r="Z580" s="3"/>
      <c r="AA580" s="3"/>
      <c r="AB580" s="3"/>
      <c r="AC580" s="3"/>
    </row>
    <row r="581" spans="1:29" x14ac:dyDescent="0.2">
      <c r="A581" s="3"/>
      <c r="B581" s="630" t="str">
        <f>'WK7 - Financials'!C87</f>
        <v>Total</v>
      </c>
      <c r="C581" s="3"/>
      <c r="D581" s="3"/>
      <c r="E581" s="135"/>
      <c r="F581" s="3"/>
      <c r="G581" s="658">
        <f>'WK7 - Financials'!I87</f>
        <v>255093</v>
      </c>
      <c r="H581" s="3"/>
      <c r="I581" s="3"/>
      <c r="J581" s="3"/>
      <c r="K581" s="3"/>
      <c r="L581" s="3"/>
      <c r="M581" s="3"/>
      <c r="N581" s="3"/>
      <c r="O581" s="3"/>
      <c r="P581" s="3"/>
      <c r="Q581" s="3"/>
      <c r="R581" s="3"/>
      <c r="S581" s="96"/>
      <c r="T581" s="3"/>
      <c r="U581" s="3"/>
      <c r="V581" s="3"/>
      <c r="W581" s="3"/>
      <c r="X581" s="3"/>
      <c r="Y581" s="3"/>
      <c r="Z581" s="3"/>
      <c r="AA581" s="3"/>
      <c r="AB581" s="3"/>
      <c r="AC581" s="3"/>
    </row>
    <row r="582" spans="1:29" x14ac:dyDescent="0.2">
      <c r="A582" s="3"/>
      <c r="B582" s="135"/>
      <c r="C582" s="3"/>
      <c r="D582" s="3"/>
      <c r="E582" s="135"/>
      <c r="F582" s="3"/>
      <c r="G582" s="278"/>
      <c r="H582" s="3"/>
      <c r="I582" s="3"/>
      <c r="J582" s="3"/>
      <c r="K582" s="3"/>
      <c r="L582" s="3"/>
      <c r="M582" s="3"/>
      <c r="N582" s="3"/>
      <c r="O582" s="3"/>
      <c r="P582" s="3"/>
      <c r="Q582" s="3"/>
      <c r="R582" s="3"/>
      <c r="S582" s="96"/>
      <c r="T582" s="3"/>
      <c r="U582" s="3"/>
      <c r="V582" s="3"/>
      <c r="W582" s="3"/>
      <c r="X582" s="3"/>
      <c r="Y582" s="3"/>
      <c r="Z582" s="3"/>
      <c r="AA582" s="3"/>
      <c r="AB582" s="3"/>
      <c r="AC582" s="3"/>
    </row>
    <row r="583" spans="1:29" x14ac:dyDescent="0.2">
      <c r="A583" s="3"/>
      <c r="B583" s="630" t="str">
        <f>'WK7 - Financials'!C89</f>
        <v>Total cash, cash equivalents, and investments</v>
      </c>
      <c r="C583" s="3"/>
      <c r="D583" s="3"/>
      <c r="E583" s="135"/>
      <c r="F583" s="3"/>
      <c r="G583" s="658">
        <f>'WK7 - Financials'!I89</f>
        <v>302856</v>
      </c>
      <c r="H583" s="3"/>
      <c r="I583" s="3"/>
      <c r="J583" s="3"/>
      <c r="K583" s="3"/>
      <c r="L583" s="3"/>
      <c r="M583" s="3"/>
      <c r="N583" s="3"/>
      <c r="O583" s="3"/>
      <c r="P583" s="3"/>
      <c r="Q583" s="3"/>
      <c r="R583" s="3"/>
      <c r="S583" s="96"/>
      <c r="T583" s="3"/>
      <c r="U583" s="3"/>
      <c r="V583" s="3"/>
      <c r="W583" s="3"/>
      <c r="X583" s="3"/>
      <c r="Y583" s="3"/>
      <c r="Z583" s="3"/>
      <c r="AA583" s="3"/>
      <c r="AB583" s="3"/>
      <c r="AC583" s="3"/>
    </row>
    <row r="584" spans="1:29" x14ac:dyDescent="0.2">
      <c r="A584" s="3"/>
      <c r="B584" s="568" t="s">
        <v>127</v>
      </c>
      <c r="C584" s="3"/>
      <c r="D584" s="3"/>
      <c r="E584" s="135"/>
      <c r="F584" s="3"/>
      <c r="G584" s="661">
        <f>G583-SUM(G574:G575,G579:G580)</f>
        <v>0</v>
      </c>
      <c r="H584" s="3"/>
      <c r="I584" s="3"/>
      <c r="J584" s="3"/>
      <c r="K584" s="3"/>
      <c r="L584" s="3"/>
      <c r="M584" s="3"/>
      <c r="N584" s="3"/>
      <c r="O584" s="3"/>
      <c r="P584" s="3"/>
      <c r="Q584" s="3"/>
      <c r="R584" s="3"/>
      <c r="S584" s="96"/>
      <c r="T584" s="3"/>
      <c r="U584" s="3"/>
      <c r="V584" s="3"/>
      <c r="W584" s="3"/>
      <c r="X584" s="3"/>
      <c r="Y584" s="3"/>
      <c r="Z584" s="3"/>
      <c r="AA584" s="3"/>
      <c r="AB584" s="3"/>
      <c r="AC584" s="3"/>
    </row>
    <row r="585" spans="1:29" ht="12" x14ac:dyDescent="0.25">
      <c r="A585" s="3"/>
      <c r="B585" s="632" t="str">
        <f>'WK7 - Financials'!C91</f>
        <v>6c Restricted cash, cash equivalents, and investments</v>
      </c>
      <c r="C585" s="3"/>
      <c r="D585" s="3"/>
      <c r="E585" s="135"/>
      <c r="F585" s="3"/>
      <c r="G585" s="278"/>
      <c r="H585" s="3"/>
      <c r="I585" s="3"/>
      <c r="J585" s="3"/>
      <c r="K585" s="3"/>
      <c r="L585" s="3"/>
      <c r="M585" s="3"/>
      <c r="N585" s="3"/>
      <c r="O585" s="3"/>
      <c r="P585" s="3"/>
      <c r="Q585" s="3"/>
      <c r="R585" s="3"/>
      <c r="S585" s="96"/>
      <c r="T585" s="3"/>
      <c r="U585" s="3"/>
      <c r="V585" s="3"/>
      <c r="W585" s="3"/>
      <c r="X585" s="3"/>
      <c r="Y585" s="3"/>
      <c r="Z585" s="3"/>
      <c r="AA585" s="3"/>
      <c r="AB585" s="3"/>
      <c r="AC585" s="3"/>
    </row>
    <row r="586" spans="1:29" x14ac:dyDescent="0.2">
      <c r="A586" s="3"/>
      <c r="B586" s="630" t="str">
        <f>'WK7 - Financials'!C92</f>
        <v>External restrictions</v>
      </c>
      <c r="C586" s="3"/>
      <c r="D586" s="3"/>
      <c r="E586" s="135"/>
      <c r="F586" s="3"/>
      <c r="G586" s="658">
        <f>'WK7 - Financials'!I92</f>
        <v>200551</v>
      </c>
      <c r="H586" s="3"/>
      <c r="I586" s="3"/>
      <c r="J586" s="3"/>
      <c r="K586" s="3"/>
      <c r="L586" s="3"/>
      <c r="M586" s="3"/>
      <c r="N586" s="3"/>
      <c r="O586" s="3"/>
      <c r="P586" s="3"/>
      <c r="Q586" s="3"/>
      <c r="R586" s="3"/>
      <c r="S586" s="96"/>
      <c r="T586" s="3"/>
      <c r="U586" s="3"/>
      <c r="V586" s="3"/>
      <c r="W586" s="3"/>
      <c r="X586" s="3"/>
      <c r="Y586" s="3"/>
      <c r="Z586" s="3"/>
      <c r="AA586" s="3"/>
      <c r="AB586" s="3"/>
      <c r="AC586" s="3"/>
    </row>
    <row r="587" spans="1:29" x14ac:dyDescent="0.2">
      <c r="A587" s="3"/>
      <c r="B587" s="630" t="str">
        <f>'WK7 - Financials'!C93</f>
        <v>Internal restrictions</v>
      </c>
      <c r="C587" s="3"/>
      <c r="D587" s="3"/>
      <c r="E587" s="135"/>
      <c r="F587" s="3"/>
      <c r="G587" s="658">
        <f>'WK7 - Financials'!I93</f>
        <v>82415</v>
      </c>
      <c r="H587" s="3"/>
      <c r="I587" s="3"/>
      <c r="J587" s="3"/>
      <c r="K587" s="3"/>
      <c r="L587" s="3"/>
      <c r="M587" s="3"/>
      <c r="N587" s="3"/>
      <c r="O587" s="3"/>
      <c r="P587" s="3"/>
      <c r="Q587" s="3"/>
      <c r="R587" s="3"/>
      <c r="S587" s="96"/>
      <c r="T587" s="3"/>
      <c r="U587" s="3"/>
      <c r="V587" s="3"/>
      <c r="W587" s="3"/>
      <c r="X587" s="3"/>
      <c r="Y587" s="3"/>
      <c r="Z587" s="3"/>
      <c r="AA587" s="3"/>
      <c r="AB587" s="3"/>
      <c r="AC587" s="3"/>
    </row>
    <row r="588" spans="1:29" x14ac:dyDescent="0.2">
      <c r="A588" s="3"/>
      <c r="B588" s="630" t="str">
        <f>'WK7 - Financials'!C94</f>
        <v>Unrestricted</v>
      </c>
      <c r="C588" s="3"/>
      <c r="D588" s="3"/>
      <c r="E588" s="135"/>
      <c r="F588" s="3"/>
      <c r="G588" s="658">
        <f>'WK7 - Financials'!I94</f>
        <v>19890</v>
      </c>
      <c r="H588" s="3"/>
      <c r="I588" s="3"/>
      <c r="J588" s="3"/>
      <c r="K588" s="3"/>
      <c r="L588" s="3"/>
      <c r="M588" s="3"/>
      <c r="N588" s="3"/>
      <c r="O588" s="3"/>
      <c r="P588" s="3"/>
      <c r="Q588" s="3"/>
      <c r="R588" s="3"/>
      <c r="S588" s="96"/>
      <c r="T588" s="3"/>
      <c r="U588" s="3"/>
      <c r="V588" s="3"/>
      <c r="W588" s="3"/>
      <c r="X588" s="3"/>
      <c r="Y588" s="3"/>
      <c r="Z588" s="3"/>
      <c r="AA588" s="3"/>
      <c r="AB588" s="3"/>
      <c r="AC588" s="3"/>
    </row>
    <row r="589" spans="1:29" x14ac:dyDescent="0.2">
      <c r="A589" s="3"/>
      <c r="B589" s="630" t="str">
        <f>'WK7 - Financials'!C95</f>
        <v>Total</v>
      </c>
      <c r="C589" s="3"/>
      <c r="D589" s="3"/>
      <c r="E589" s="135"/>
      <c r="F589" s="3"/>
      <c r="G589" s="658">
        <f>'WK7 - Financials'!I95</f>
        <v>302856</v>
      </c>
      <c r="H589" s="3"/>
      <c r="I589" s="3"/>
      <c r="J589" s="3"/>
      <c r="K589" s="3"/>
      <c r="L589" s="3"/>
      <c r="M589" s="3"/>
      <c r="N589" s="3"/>
      <c r="O589" s="3"/>
      <c r="P589" s="3"/>
      <c r="Q589" s="3"/>
      <c r="R589" s="3"/>
      <c r="S589" s="96"/>
      <c r="T589" s="3"/>
      <c r="U589" s="3"/>
      <c r="V589" s="3"/>
      <c r="W589" s="3"/>
      <c r="X589" s="3"/>
      <c r="Y589" s="3"/>
      <c r="Z589" s="3"/>
      <c r="AA589" s="3"/>
      <c r="AB589" s="3"/>
      <c r="AC589" s="3"/>
    </row>
    <row r="590" spans="1:29" x14ac:dyDescent="0.2">
      <c r="A590" s="3"/>
      <c r="B590" s="135"/>
      <c r="C590" s="3"/>
      <c r="D590" s="3"/>
      <c r="E590" s="135"/>
      <c r="F590" s="3"/>
      <c r="G590" s="661">
        <f>G589-G583</f>
        <v>0</v>
      </c>
      <c r="H590" s="3"/>
      <c r="I590" s="3"/>
      <c r="J590" s="3"/>
      <c r="K590" s="3"/>
      <c r="L590" s="3"/>
      <c r="M590" s="3"/>
      <c r="N590" s="3"/>
      <c r="O590" s="3"/>
      <c r="P590" s="3"/>
      <c r="Q590" s="3"/>
      <c r="R590" s="3"/>
      <c r="S590" s="96"/>
      <c r="T590" s="3"/>
      <c r="U590" s="3"/>
      <c r="V590" s="3"/>
      <c r="W590" s="3"/>
      <c r="X590" s="3"/>
      <c r="Y590" s="3"/>
      <c r="Z590" s="3"/>
      <c r="AA590" s="3"/>
      <c r="AB590" s="3"/>
      <c r="AC590" s="3"/>
    </row>
    <row r="591" spans="1:29" x14ac:dyDescent="0.2">
      <c r="A591" s="3"/>
      <c r="B591" s="135"/>
      <c r="C591" s="3"/>
      <c r="D591" s="3"/>
      <c r="E591" s="135"/>
      <c r="F591" s="3"/>
      <c r="G591" s="278"/>
      <c r="H591" s="3"/>
      <c r="I591" s="3"/>
      <c r="J591" s="3"/>
      <c r="K591" s="3"/>
      <c r="L591" s="3"/>
      <c r="M591" s="3"/>
      <c r="N591" s="3"/>
      <c r="O591" s="3"/>
      <c r="P591" s="3"/>
      <c r="Q591" s="3"/>
      <c r="R591" s="3"/>
      <c r="S591" s="96"/>
      <c r="T591" s="3"/>
      <c r="U591" s="3"/>
      <c r="V591" s="3"/>
      <c r="W591" s="3"/>
      <c r="X591" s="3"/>
      <c r="Y591" s="3"/>
      <c r="Z591" s="3"/>
      <c r="AA591" s="3"/>
      <c r="AB591" s="3"/>
      <c r="AC591" s="3"/>
    </row>
    <row r="592" spans="1:29" ht="12" x14ac:dyDescent="0.25">
      <c r="A592" s="3"/>
      <c r="B592" s="632" t="str">
        <f>'WK7 - Financials'!C101</f>
        <v>Balance sheet extract (General fund) - historical and forecasts for SV scenario</v>
      </c>
      <c r="C592" s="3"/>
      <c r="D592" s="3"/>
      <c r="E592" s="135"/>
      <c r="F592" s="79"/>
      <c r="G592" s="879" t="str">
        <f>'WK7 - Financials'!I102</f>
        <v>Actual</v>
      </c>
      <c r="H592" s="880" t="str">
        <f>'WK7 - Financials'!J102</f>
        <v>Forecast</v>
      </c>
      <c r="I592" s="880" t="str">
        <f>'WK7 - Financials'!K102</f>
        <v>Forecast</v>
      </c>
      <c r="J592" s="880" t="str">
        <f>'WK7 - Financials'!L102</f>
        <v>Forecast</v>
      </c>
      <c r="K592" s="880" t="str">
        <f>'WK7 - Financials'!M102</f>
        <v>Forecast</v>
      </c>
      <c r="L592" s="880" t="str">
        <f>'WK7 - Financials'!N102</f>
        <v>Forecast</v>
      </c>
      <c r="M592" s="880" t="str">
        <f>'WK7 - Financials'!O102</f>
        <v>Forecast</v>
      </c>
      <c r="N592" s="880" t="str">
        <f>'WK7 - Financials'!P102</f>
        <v>Forecast</v>
      </c>
      <c r="O592" s="880" t="str">
        <f>'WK7 - Financials'!Q102</f>
        <v>Forecast</v>
      </c>
      <c r="P592" s="880" t="str">
        <f>'WK7 - Financials'!R102</f>
        <v>Forecast</v>
      </c>
      <c r="Q592" s="880" t="str">
        <f>'WK7 - Financials'!S102</f>
        <v>Forecast</v>
      </c>
      <c r="R592" s="880" t="str">
        <f>'WK7 - Financials'!T102</f>
        <v>Forecast</v>
      </c>
      <c r="S592" s="564"/>
      <c r="T592" s="3"/>
      <c r="U592" s="3"/>
      <c r="V592" s="3"/>
      <c r="W592" s="3"/>
      <c r="X592" s="3"/>
      <c r="Y592" s="3"/>
      <c r="Z592" s="3"/>
      <c r="AA592" s="3"/>
      <c r="AB592" s="3"/>
      <c r="AC592" s="3"/>
    </row>
    <row r="593" spans="1:29" x14ac:dyDescent="0.2">
      <c r="A593" s="3"/>
      <c r="B593" s="630" t="str">
        <f>'WK7 - Financials'!C102</f>
        <v>Sources:</v>
      </c>
      <c r="C593" s="619" t="str">
        <f>'WK7 - Financials'!D102</f>
        <v>Notes to financial statements and Council's Long Term Financial Plan (LTFP)</v>
      </c>
      <c r="D593" s="3"/>
      <c r="E593" s="135"/>
      <c r="F593" s="3"/>
      <c r="G593" s="278"/>
      <c r="H593" s="3"/>
      <c r="I593" s="3"/>
      <c r="J593" s="3"/>
      <c r="K593" s="3"/>
      <c r="L593" s="3"/>
      <c r="M593" s="3"/>
      <c r="N593" s="3"/>
      <c r="O593" s="3"/>
      <c r="P593" s="3"/>
      <c r="Q593" s="3"/>
      <c r="R593" s="3"/>
      <c r="S593" s="96"/>
      <c r="T593" s="3"/>
      <c r="U593" s="3"/>
      <c r="V593" s="3"/>
      <c r="W593" s="3"/>
      <c r="X593" s="3"/>
      <c r="Y593" s="3"/>
      <c r="Z593" s="3"/>
      <c r="AA593" s="3"/>
      <c r="AB593" s="3"/>
      <c r="AC593" s="3"/>
    </row>
    <row r="594" spans="1:29" x14ac:dyDescent="0.2">
      <c r="A594" s="3"/>
      <c r="B594" s="135"/>
      <c r="C594" s="3"/>
      <c r="D594" s="3"/>
      <c r="E594" s="135"/>
      <c r="F594" s="3"/>
      <c r="G594" s="278"/>
      <c r="H594" s="3"/>
      <c r="I594" s="3"/>
      <c r="J594" s="3"/>
      <c r="K594" s="3"/>
      <c r="L594" s="3"/>
      <c r="M594" s="3"/>
      <c r="N594" s="3"/>
      <c r="O594" s="3"/>
      <c r="P594" s="3"/>
      <c r="Q594" s="3"/>
      <c r="R594" s="3"/>
      <c r="S594" s="96"/>
      <c r="T594" s="3"/>
      <c r="U594" s="3"/>
      <c r="V594" s="3"/>
      <c r="W594" s="3"/>
      <c r="X594" s="3"/>
      <c r="Y594" s="3"/>
      <c r="Z594" s="3"/>
      <c r="AA594" s="3"/>
      <c r="AB594" s="3"/>
      <c r="AC594" s="3"/>
    </row>
    <row r="595" spans="1:29" ht="12" x14ac:dyDescent="0.25">
      <c r="A595" s="3"/>
      <c r="B595" s="632" t="str">
        <f>'WK7 - Financials'!C105</f>
        <v>Assets</v>
      </c>
      <c r="C595" s="3"/>
      <c r="D595" s="3"/>
      <c r="E595" s="135"/>
      <c r="F595" s="3"/>
      <c r="G595" s="278"/>
      <c r="H595" s="3"/>
      <c r="I595" s="3"/>
      <c r="J595" s="3"/>
      <c r="K595" s="3"/>
      <c r="L595" s="3"/>
      <c r="M595" s="3"/>
      <c r="N595" s="3"/>
      <c r="O595" s="3"/>
      <c r="P595" s="3"/>
      <c r="Q595" s="3"/>
      <c r="R595" s="3"/>
      <c r="S595" s="96"/>
      <c r="T595" s="3"/>
      <c r="U595" s="3"/>
      <c r="V595" s="3"/>
      <c r="W595" s="3"/>
      <c r="X595" s="3"/>
      <c r="Y595" s="3"/>
      <c r="Z595" s="3"/>
      <c r="AA595" s="3"/>
      <c r="AB595" s="3"/>
      <c r="AC595" s="3"/>
    </row>
    <row r="596" spans="1:29" x14ac:dyDescent="0.2">
      <c r="A596" s="3"/>
      <c r="B596" s="630" t="str">
        <f>'WK7 - Financials'!C106</f>
        <v>Cash &amp; Cash Equivalents</v>
      </c>
      <c r="C596" s="619" t="str">
        <f>'WK7 - Financials'!E106</f>
        <v>Current</v>
      </c>
      <c r="D596" s="3"/>
      <c r="E596" s="135"/>
      <c r="F596" s="3"/>
      <c r="G596" s="658">
        <f>'WK7 - Financials'!I106</f>
        <v>47763</v>
      </c>
      <c r="H596" s="656">
        <f>'WK7 - Financials'!J106</f>
        <v>9209.4196950563837</v>
      </c>
      <c r="I596" s="656">
        <f>'WK7 - Financials'!K106</f>
        <v>6252.3777005309666</v>
      </c>
      <c r="J596" s="656">
        <f>'WK7 - Financials'!L106</f>
        <v>4814.0501523404118</v>
      </c>
      <c r="K596" s="656">
        <f>'WK7 - Financials'!M106</f>
        <v>5578.449780009395</v>
      </c>
      <c r="L596" s="656">
        <f>'WK7 - Financials'!N106</f>
        <v>8679.0706620410274</v>
      </c>
      <c r="M596" s="656">
        <f>'WK7 - Financials'!O106</f>
        <v>7945.2200906822509</v>
      </c>
      <c r="N596" s="656">
        <f>'WK7 - Financials'!P106</f>
        <v>5059.6839602240761</v>
      </c>
      <c r="O596" s="656">
        <f>'WK7 - Financials'!Q106</f>
        <v>4939.0830432007115</v>
      </c>
      <c r="P596" s="656">
        <f>'WK7 - Financials'!R106</f>
        <v>9147.044978772421</v>
      </c>
      <c r="Q596" s="656">
        <f>'WK7 - Financials'!S106</f>
        <v>7996.5788731768362</v>
      </c>
      <c r="R596" s="656">
        <f>'WK7 - Financials'!T106</f>
        <v>7362.1553624662256</v>
      </c>
      <c r="S596" s="96"/>
      <c r="T596" s="3"/>
      <c r="U596" s="3"/>
      <c r="V596" s="3"/>
      <c r="W596" s="3"/>
      <c r="X596" s="3"/>
      <c r="Y596" s="3"/>
      <c r="Z596" s="3"/>
      <c r="AA596" s="3"/>
      <c r="AB596" s="3"/>
      <c r="AC596" s="3"/>
    </row>
    <row r="597" spans="1:29" x14ac:dyDescent="0.2">
      <c r="A597" s="3"/>
      <c r="B597" s="630" t="str">
        <f>'WK7 - Financials'!C107</f>
        <v>Receivables</v>
      </c>
      <c r="C597" s="619" t="str">
        <f>'WK7 - Financials'!E107</f>
        <v>Current</v>
      </c>
      <c r="D597" s="3"/>
      <c r="E597" s="135"/>
      <c r="F597" s="3"/>
      <c r="G597" s="658">
        <f>'WK7 - Financials'!I107</f>
        <v>9867</v>
      </c>
      <c r="H597" s="656">
        <f>'WK7 - Financials'!J107</f>
        <v>9077.3083673762085</v>
      </c>
      <c r="I597" s="656">
        <f>'WK7 - Financials'!K107</f>
        <v>9381.6464288135903</v>
      </c>
      <c r="J597" s="656">
        <f>'WK7 - Financials'!L107</f>
        <v>9421.9780655267114</v>
      </c>
      <c r="K597" s="656">
        <f>'WK7 - Financials'!M107</f>
        <v>9756.0427189743132</v>
      </c>
      <c r="L597" s="656">
        <f>'WK7 - Financials'!N107</f>
        <v>12599.609839846004</v>
      </c>
      <c r="M597" s="656">
        <f>'WK7 - Financials'!O107</f>
        <v>10269.342160724354</v>
      </c>
      <c r="N597" s="656">
        <f>'WK7 - Financials'!P107</f>
        <v>10463.529695169624</v>
      </c>
      <c r="O597" s="656">
        <f>'WK7 - Financials'!Q107</f>
        <v>10663.041803645749</v>
      </c>
      <c r="P597" s="656">
        <f>'WK7 - Financials'!R107</f>
        <v>10940.918209921956</v>
      </c>
      <c r="Q597" s="656">
        <f>'WK7 - Financials'!S107</f>
        <v>11229.928583387851</v>
      </c>
      <c r="R597" s="656">
        <f>'WK7 - Financials'!T107</f>
        <v>11536.698692896571</v>
      </c>
      <c r="S597" s="96"/>
      <c r="T597" s="3"/>
      <c r="U597" s="3"/>
      <c r="V597" s="3"/>
      <c r="W597" s="3"/>
      <c r="X597" s="3"/>
      <c r="Y597" s="3"/>
      <c r="Z597" s="3"/>
      <c r="AA597" s="3"/>
      <c r="AB597" s="3"/>
      <c r="AC597" s="3"/>
    </row>
    <row r="598" spans="1:29" x14ac:dyDescent="0.2">
      <c r="A598" s="3"/>
      <c r="B598" s="630" t="str">
        <f>'WK7 - Financials'!C108</f>
        <v>Receivables</v>
      </c>
      <c r="C598" s="619" t="str">
        <f>'WK7 - Financials'!E108</f>
        <v>Non-current</v>
      </c>
      <c r="D598" s="3"/>
      <c r="E598" s="135"/>
      <c r="F598" s="3"/>
      <c r="G598" s="658">
        <f>'WK7 - Financials'!I108</f>
        <v>1332</v>
      </c>
      <c r="H598" s="656">
        <f>'WK7 - Financials'!J108</f>
        <v>1616.0321958959778</v>
      </c>
      <c r="I598" s="656">
        <f>'WK7 - Financials'!K108</f>
        <v>1685.7815250940444</v>
      </c>
      <c r="J598" s="656">
        <f>'WK7 - Financials'!L108</f>
        <v>1747.8336468148264</v>
      </c>
      <c r="K598" s="656">
        <f>'WK7 - Financials'!M108</f>
        <v>1808.1559413172404</v>
      </c>
      <c r="L598" s="656">
        <f>'WK7 - Financials'!N108</f>
        <v>1861.7086612964438</v>
      </c>
      <c r="M598" s="656">
        <f>'WK7 - Financials'!O108</f>
        <v>1906.7353300193151</v>
      </c>
      <c r="N598" s="656">
        <f>'WK7 - Financials'!P108</f>
        <v>1952.8512830229722</v>
      </c>
      <c r="O598" s="656">
        <f>'WK7 - Financials'!Q108</f>
        <v>2000.0828757190536</v>
      </c>
      <c r="P598" s="656">
        <f>'WK7 - Financials'!R108</f>
        <v>2048.4571091119674</v>
      </c>
      <c r="Q598" s="656">
        <f>'WK7 - Financials'!S108</f>
        <v>2099.6685380731665</v>
      </c>
      <c r="R598" s="656">
        <f>'WK7 - Financials'!T108</f>
        <v>2154.6015779405616</v>
      </c>
      <c r="S598" s="96"/>
      <c r="T598" s="3"/>
      <c r="U598" s="3"/>
      <c r="V598" s="3"/>
      <c r="W598" s="3"/>
      <c r="X598" s="3"/>
      <c r="Y598" s="3"/>
      <c r="Z598" s="3"/>
      <c r="AA598" s="3"/>
      <c r="AB598" s="3"/>
      <c r="AC598" s="3"/>
    </row>
    <row r="599" spans="1:29" x14ac:dyDescent="0.2">
      <c r="A599" s="3"/>
      <c r="B599" s="630" t="str">
        <f>'WK7 - Financials'!C109</f>
        <v>Investments</v>
      </c>
      <c r="C599" s="619" t="str">
        <f>'WK7 - Financials'!E109</f>
        <v>Current</v>
      </c>
      <c r="D599" s="3"/>
      <c r="E599" s="135"/>
      <c r="F599" s="3"/>
      <c r="G599" s="658">
        <f>'WK7 - Financials'!I109</f>
        <v>81171</v>
      </c>
      <c r="H599" s="656">
        <f>'WK7 - Financials'!J109</f>
        <v>102783.87446625826</v>
      </c>
      <c r="I599" s="656">
        <f>'WK7 - Financials'!K109</f>
        <v>96663.905766520867</v>
      </c>
      <c r="J599" s="656">
        <f>'WK7 - Financials'!L109</f>
        <v>74426.868076383253</v>
      </c>
      <c r="K599" s="656">
        <f>'WK7 - Financials'!M109</f>
        <v>77247.357549884313</v>
      </c>
      <c r="L599" s="656">
        <f>'WK7 - Financials'!N109</f>
        <v>79261.992888099368</v>
      </c>
      <c r="M599" s="656">
        <f>'WK7 - Financials'!O109</f>
        <v>80470.77409102839</v>
      </c>
      <c r="N599" s="656">
        <f>'WK7 - Financials'!P109</f>
        <v>78466.207315885156</v>
      </c>
      <c r="O599" s="656">
        <f>'WK7 - Financials'!Q109</f>
        <v>76363.948765052162</v>
      </c>
      <c r="P599" s="656">
        <f>'WK7 - Financials'!R109</f>
        <v>78781.51117091022</v>
      </c>
      <c r="Q599" s="656">
        <f>'WK7 - Financials'!S109</f>
        <v>83213.708914983334</v>
      </c>
      <c r="R599" s="656">
        <f>'WK7 - Financials'!T109</f>
        <v>87242.97959141343</v>
      </c>
      <c r="S599" s="96"/>
      <c r="T599" s="3"/>
      <c r="U599" s="3"/>
      <c r="V599" s="3"/>
      <c r="W599" s="3"/>
      <c r="X599" s="3"/>
      <c r="Y599" s="3"/>
      <c r="Z599" s="3"/>
      <c r="AA599" s="3"/>
      <c r="AB599" s="3"/>
      <c r="AC599" s="3"/>
    </row>
    <row r="600" spans="1:29" x14ac:dyDescent="0.2">
      <c r="A600" s="3"/>
      <c r="B600" s="630" t="str">
        <f>'WK7 - Financials'!C110</f>
        <v>Investments</v>
      </c>
      <c r="C600" s="619" t="str">
        <f>'WK7 - Financials'!E110</f>
        <v>Non-current</v>
      </c>
      <c r="D600" s="3"/>
      <c r="E600" s="135"/>
      <c r="F600" s="3"/>
      <c r="G600" s="658">
        <f>'WK7 - Financials'!I110</f>
        <v>173922</v>
      </c>
      <c r="H600" s="656">
        <f>'WK7 - Financials'!J110</f>
        <v>152309.12553374175</v>
      </c>
      <c r="I600" s="656">
        <f>'WK7 - Financials'!K110</f>
        <v>143240.31891605709</v>
      </c>
      <c r="J600" s="656">
        <f>'WK7 - Financials'!L110</f>
        <v>110288.61532798535</v>
      </c>
      <c r="K600" s="656">
        <f>'WK7 - Financials'!M110</f>
        <v>114468.12585448427</v>
      </c>
      <c r="L600" s="656">
        <f>'WK7 - Financials'!N110</f>
        <v>117453.49051626923</v>
      </c>
      <c r="M600" s="656">
        <f>'WK7 - Financials'!O110</f>
        <v>119244.70931334021</v>
      </c>
      <c r="N600" s="656">
        <f>'WK7 - Financials'!P110</f>
        <v>116274.26463822449</v>
      </c>
      <c r="O600" s="656">
        <f>'WK7 - Financials'!Q110</f>
        <v>113159.05650673575</v>
      </c>
      <c r="P600" s="656">
        <f>'WK7 - Financials'!R110</f>
        <v>116741.4941008777</v>
      </c>
      <c r="Q600" s="656">
        <f>'WK7 - Financials'!S110</f>
        <v>123309.2963568046</v>
      </c>
      <c r="R600" s="656">
        <f>'WK7 - Financials'!T110</f>
        <v>129280.0256803745</v>
      </c>
      <c r="S600" s="96"/>
      <c r="T600" s="3"/>
      <c r="U600" s="3"/>
      <c r="V600" s="3"/>
      <c r="W600" s="3"/>
      <c r="X600" s="3"/>
      <c r="Y600" s="3"/>
      <c r="Z600" s="3"/>
      <c r="AA600" s="3"/>
      <c r="AB600" s="3"/>
      <c r="AC600" s="3"/>
    </row>
    <row r="601" spans="1:29" x14ac:dyDescent="0.2">
      <c r="A601" s="3"/>
      <c r="B601" s="568" t="s">
        <v>127</v>
      </c>
      <c r="C601" s="3"/>
      <c r="D601" s="3"/>
      <c r="E601" s="135"/>
      <c r="F601" s="3"/>
      <c r="G601" s="661">
        <f>SUM(G596:G600)-SUM('WK7 - Financials'!I106:I110)</f>
        <v>0</v>
      </c>
      <c r="H601" s="660">
        <f>SUM(H596:H600)-SUM('WK7 - Financials'!J106:J110)</f>
        <v>0</v>
      </c>
      <c r="I601" s="660">
        <f>SUM(I596:I600)-SUM('WK7 - Financials'!K106:K110)</f>
        <v>0</v>
      </c>
      <c r="J601" s="660">
        <f>SUM(J596:J600)-SUM('WK7 - Financials'!L106:L110)</f>
        <v>0</v>
      </c>
      <c r="K601" s="660">
        <f>SUM(K596:K600)-SUM('WK7 - Financials'!M106:M110)</f>
        <v>0</v>
      </c>
      <c r="L601" s="660">
        <f>SUM(L596:L600)-SUM('WK7 - Financials'!N106:N110)</f>
        <v>0</v>
      </c>
      <c r="M601" s="660">
        <f>SUM(M596:M600)-SUM('WK7 - Financials'!O106:O110)</f>
        <v>0</v>
      </c>
      <c r="N601" s="660">
        <f>SUM(N596:N600)-SUM('WK7 - Financials'!P106:P110)</f>
        <v>0</v>
      </c>
      <c r="O601" s="660">
        <f>SUM(O596:O600)-SUM('WK7 - Financials'!Q106:Q110)</f>
        <v>0</v>
      </c>
      <c r="P601" s="660">
        <f>SUM(P596:P600)-SUM('WK7 - Financials'!R106:R110)</f>
        <v>0</v>
      </c>
      <c r="Q601" s="660">
        <f>SUM(Q596:Q600)-SUM('WK7 - Financials'!S106:S110)</f>
        <v>0</v>
      </c>
      <c r="R601" s="660">
        <f>SUM(R596:R600)-SUM('WK7 - Financials'!T106:T110)</f>
        <v>0</v>
      </c>
      <c r="S601" s="96"/>
      <c r="T601" s="3"/>
      <c r="U601" s="3"/>
      <c r="V601" s="3"/>
      <c r="W601" s="3"/>
      <c r="X601" s="3"/>
      <c r="Y601" s="3"/>
      <c r="Z601" s="3"/>
      <c r="AA601" s="3"/>
      <c r="AB601" s="3"/>
      <c r="AC601" s="3"/>
    </row>
    <row r="602" spans="1:29" ht="12" x14ac:dyDescent="0.25">
      <c r="A602" s="3"/>
      <c r="B602" s="632" t="str">
        <f>'WK7 - Financials'!C112</f>
        <v>Liabilities</v>
      </c>
      <c r="C602" s="3"/>
      <c r="D602" s="3"/>
      <c r="E602" s="135"/>
      <c r="F602" s="3"/>
      <c r="G602" s="500"/>
      <c r="H602" s="192"/>
      <c r="I602" s="192"/>
      <c r="J602" s="192"/>
      <c r="K602" s="192"/>
      <c r="L602" s="192"/>
      <c r="M602" s="192"/>
      <c r="N602" s="192"/>
      <c r="O602" s="192"/>
      <c r="P602" s="192"/>
      <c r="Q602" s="192"/>
      <c r="R602" s="192"/>
      <c r="S602" s="96"/>
      <c r="T602" s="3"/>
      <c r="U602" s="3"/>
      <c r="V602" s="3"/>
      <c r="W602" s="3"/>
      <c r="X602" s="3"/>
      <c r="Y602" s="3"/>
      <c r="Z602" s="3"/>
      <c r="AA602" s="3"/>
      <c r="AB602" s="3"/>
      <c r="AC602" s="3"/>
    </row>
    <row r="603" spans="1:29" x14ac:dyDescent="0.2">
      <c r="A603" s="3"/>
      <c r="B603" s="630" t="str">
        <f>'WK7 - Financials'!C113</f>
        <v>Payables</v>
      </c>
      <c r="C603" s="619" t="str">
        <f>'WK7 - Financials'!E113</f>
        <v>Current</v>
      </c>
      <c r="D603" s="3"/>
      <c r="E603" s="135"/>
      <c r="F603" s="3"/>
      <c r="G603" s="658">
        <f>'WK7 - Financials'!I113</f>
        <v>13472</v>
      </c>
      <c r="H603" s="656">
        <f>'WK7 - Financials'!J113</f>
        <v>11940.60763526439</v>
      </c>
      <c r="I603" s="656">
        <f>'WK7 - Financials'!K113</f>
        <v>12624.74408938594</v>
      </c>
      <c r="J603" s="656">
        <f>'WK7 - Financials'!L113</f>
        <v>13082.408961988413</v>
      </c>
      <c r="K603" s="656">
        <f>'WK7 - Financials'!M113</f>
        <v>13574.041362129166</v>
      </c>
      <c r="L603" s="656">
        <f>'WK7 - Financials'!N113</f>
        <v>13997.219809384273</v>
      </c>
      <c r="M603" s="656">
        <f>'WK7 - Financials'!O113</f>
        <v>14461.806791132027</v>
      </c>
      <c r="N603" s="656">
        <f>'WK7 - Financials'!P113</f>
        <v>14925.305898566929</v>
      </c>
      <c r="O603" s="656">
        <f>'WK7 - Financials'!Q113</f>
        <v>15032.675879417393</v>
      </c>
      <c r="P603" s="656">
        <f>'WK7 - Financials'!R113</f>
        <v>15383.531894621136</v>
      </c>
      <c r="Q603" s="656">
        <f>'WK7 - Financials'!S113</f>
        <v>15769.254023689809</v>
      </c>
      <c r="R603" s="656">
        <f>'WK7 - Financials'!T113</f>
        <v>16275.407185106469</v>
      </c>
      <c r="S603" s="96"/>
      <c r="T603" s="3"/>
      <c r="U603" s="3"/>
      <c r="V603" s="3"/>
      <c r="W603" s="3"/>
      <c r="X603" s="3"/>
      <c r="Y603" s="3"/>
      <c r="Z603" s="3"/>
      <c r="AA603" s="3"/>
      <c r="AB603" s="3"/>
      <c r="AC603" s="3"/>
    </row>
    <row r="604" spans="1:29" x14ac:dyDescent="0.2">
      <c r="A604" s="3"/>
      <c r="B604" s="630" t="str">
        <f>'WK7 - Financials'!C114</f>
        <v>Payables</v>
      </c>
      <c r="C604" s="619" t="str">
        <f>'WK7 - Financials'!E114</f>
        <v>Non-current</v>
      </c>
      <c r="D604" s="3"/>
      <c r="E604" s="135"/>
      <c r="F604" s="3"/>
      <c r="G604" s="658">
        <f>'WK7 - Financials'!I114</f>
        <v>0</v>
      </c>
      <c r="H604" s="656">
        <f>'WK7 - Financials'!J114</f>
        <v>0</v>
      </c>
      <c r="I604" s="656">
        <f>'WK7 - Financials'!K114</f>
        <v>0</v>
      </c>
      <c r="J604" s="656">
        <f>'WK7 - Financials'!L114</f>
        <v>0</v>
      </c>
      <c r="K604" s="656">
        <f>'WK7 - Financials'!M114</f>
        <v>0</v>
      </c>
      <c r="L604" s="656">
        <f>'WK7 - Financials'!N114</f>
        <v>0</v>
      </c>
      <c r="M604" s="656">
        <f>'WK7 - Financials'!O114</f>
        <v>0</v>
      </c>
      <c r="N604" s="656">
        <f>'WK7 - Financials'!P114</f>
        <v>0</v>
      </c>
      <c r="O604" s="656">
        <f>'WK7 - Financials'!Q114</f>
        <v>0</v>
      </c>
      <c r="P604" s="656">
        <f>'WK7 - Financials'!R114</f>
        <v>0</v>
      </c>
      <c r="Q604" s="656">
        <f>'WK7 - Financials'!S114</f>
        <v>0</v>
      </c>
      <c r="R604" s="656">
        <f>'WK7 - Financials'!T114</f>
        <v>0</v>
      </c>
      <c r="S604" s="96"/>
      <c r="T604" s="3"/>
      <c r="U604" s="3"/>
      <c r="V604" s="3"/>
      <c r="W604" s="3"/>
      <c r="X604" s="3"/>
      <c r="Y604" s="3"/>
      <c r="Z604" s="3"/>
      <c r="AA604" s="3"/>
      <c r="AB604" s="3"/>
      <c r="AC604" s="3"/>
    </row>
    <row r="605" spans="1:29" x14ac:dyDescent="0.2">
      <c r="A605" s="3"/>
      <c r="B605" s="630" t="str">
        <f>'WK7 - Financials'!C115</f>
        <v>Borrowing</v>
      </c>
      <c r="C605" s="619" t="str">
        <f>'WK7 - Financials'!E115</f>
        <v>Current</v>
      </c>
      <c r="D605" s="3"/>
      <c r="E605" s="135"/>
      <c r="F605" s="3"/>
      <c r="G605" s="658">
        <f>'WK7 - Financials'!I115</f>
        <v>257</v>
      </c>
      <c r="H605" s="656">
        <f>'WK7 - Financials'!J115</f>
        <v>0</v>
      </c>
      <c r="I605" s="656">
        <f>'WK7 - Financials'!K115</f>
        <v>0</v>
      </c>
      <c r="J605" s="656">
        <f>'WK7 - Financials'!L115</f>
        <v>0</v>
      </c>
      <c r="K605" s="656">
        <f>'WK7 - Financials'!M115</f>
        <v>0</v>
      </c>
      <c r="L605" s="656">
        <f>'WK7 - Financials'!N115</f>
        <v>0</v>
      </c>
      <c r="M605" s="656">
        <f>'WK7 - Financials'!O115</f>
        <v>0</v>
      </c>
      <c r="N605" s="656">
        <f>'WK7 - Financials'!P115</f>
        <v>0</v>
      </c>
      <c r="O605" s="656">
        <f>'WK7 - Financials'!Q115</f>
        <v>0</v>
      </c>
      <c r="P605" s="656">
        <f>'WK7 - Financials'!R115</f>
        <v>0</v>
      </c>
      <c r="Q605" s="656">
        <f>'WK7 - Financials'!S115</f>
        <v>0</v>
      </c>
      <c r="R605" s="656">
        <f>'WK7 - Financials'!T115</f>
        <v>0</v>
      </c>
      <c r="S605" s="96"/>
      <c r="T605" s="3"/>
      <c r="U605" s="3"/>
      <c r="V605" s="3"/>
      <c r="W605" s="3"/>
      <c r="X605" s="3"/>
      <c r="Y605" s="3"/>
      <c r="Z605" s="3"/>
      <c r="AA605" s="3"/>
      <c r="AB605" s="3"/>
      <c r="AC605" s="3"/>
    </row>
    <row r="606" spans="1:29" x14ac:dyDescent="0.2">
      <c r="A606" s="3"/>
      <c r="B606" s="630" t="str">
        <f>'WK7 - Financials'!C116</f>
        <v>Borrowing</v>
      </c>
      <c r="C606" s="619" t="str">
        <f>'WK7 - Financials'!E116</f>
        <v>Non-current</v>
      </c>
      <c r="D606" s="3"/>
      <c r="E606" s="135"/>
      <c r="F606" s="3"/>
      <c r="G606" s="658">
        <f>'WK7 - Financials'!I116</f>
        <v>0</v>
      </c>
      <c r="H606" s="656">
        <f>'WK7 - Financials'!J116</f>
        <v>0</v>
      </c>
      <c r="I606" s="656">
        <f>'WK7 - Financials'!K116</f>
        <v>0</v>
      </c>
      <c r="J606" s="656">
        <f>'WK7 - Financials'!L116</f>
        <v>0</v>
      </c>
      <c r="K606" s="656">
        <f>'WK7 - Financials'!M116</f>
        <v>0</v>
      </c>
      <c r="L606" s="656">
        <f>'WK7 - Financials'!N116</f>
        <v>0</v>
      </c>
      <c r="M606" s="656">
        <f>'WK7 - Financials'!O116</f>
        <v>0</v>
      </c>
      <c r="N606" s="656">
        <f>'WK7 - Financials'!P116</f>
        <v>0</v>
      </c>
      <c r="O606" s="656">
        <f>'WK7 - Financials'!Q116</f>
        <v>0</v>
      </c>
      <c r="P606" s="656">
        <f>'WK7 - Financials'!R116</f>
        <v>0</v>
      </c>
      <c r="Q606" s="656">
        <f>'WK7 - Financials'!S116</f>
        <v>0</v>
      </c>
      <c r="R606" s="656">
        <f>'WK7 - Financials'!T116</f>
        <v>0</v>
      </c>
      <c r="S606" s="96"/>
      <c r="T606" s="3"/>
      <c r="U606" s="3"/>
      <c r="V606" s="3"/>
      <c r="W606" s="3"/>
      <c r="X606" s="3"/>
      <c r="Y606" s="3"/>
      <c r="Z606" s="3"/>
      <c r="AA606" s="3"/>
      <c r="AB606" s="3"/>
      <c r="AC606" s="3"/>
    </row>
    <row r="607" spans="1:29" x14ac:dyDescent="0.2">
      <c r="A607" s="3"/>
      <c r="B607" s="568" t="s">
        <v>127</v>
      </c>
      <c r="C607" s="3"/>
      <c r="D607" s="3"/>
      <c r="E607" s="135"/>
      <c r="F607" s="3"/>
      <c r="G607" s="661">
        <f>SUM(G603:G606)-SUM('WK7 - Financials'!I113:I116)</f>
        <v>0</v>
      </c>
      <c r="H607" s="660">
        <f>SUM(H603:H606)-SUM('WK7 - Financials'!J113:J116)</f>
        <v>0</v>
      </c>
      <c r="I607" s="660">
        <f>SUM(I603:I606)-SUM('WK7 - Financials'!K113:K116)</f>
        <v>0</v>
      </c>
      <c r="J607" s="660">
        <f>SUM(J603:J606)-SUM('WK7 - Financials'!L113:L116)</f>
        <v>0</v>
      </c>
      <c r="K607" s="660">
        <f>SUM(K603:K606)-SUM('WK7 - Financials'!M113:M116)</f>
        <v>0</v>
      </c>
      <c r="L607" s="660">
        <f>SUM(L603:L606)-SUM('WK7 - Financials'!N113:N116)</f>
        <v>0</v>
      </c>
      <c r="M607" s="660">
        <f>SUM(M603:M606)-SUM('WK7 - Financials'!O113:O116)</f>
        <v>0</v>
      </c>
      <c r="N607" s="660">
        <f>SUM(N603:N606)-SUM('WK7 - Financials'!P113:P116)</f>
        <v>0</v>
      </c>
      <c r="O607" s="660">
        <f>SUM(O603:O606)-SUM('WK7 - Financials'!Q113:Q116)</f>
        <v>0</v>
      </c>
      <c r="P607" s="660">
        <f>SUM(P603:P606)-SUM('WK7 - Financials'!R113:R116)</f>
        <v>0</v>
      </c>
      <c r="Q607" s="660">
        <f>SUM(Q603:Q606)-SUM('WK7 - Financials'!S113:S116)</f>
        <v>0</v>
      </c>
      <c r="R607" s="660">
        <f>SUM(R603:R606)-SUM('WK7 - Financials'!T113:T116)</f>
        <v>0</v>
      </c>
      <c r="S607" s="96"/>
      <c r="T607" s="3"/>
      <c r="U607" s="3"/>
      <c r="V607" s="3"/>
      <c r="W607" s="3"/>
      <c r="X607" s="3"/>
      <c r="Y607" s="3"/>
      <c r="Z607" s="3"/>
      <c r="AA607" s="3"/>
      <c r="AB607" s="3"/>
      <c r="AC607" s="3"/>
    </row>
    <row r="608" spans="1:29" x14ac:dyDescent="0.2">
      <c r="A608" s="3"/>
      <c r="B608" s="97"/>
      <c r="C608" s="93"/>
      <c r="D608" s="93"/>
      <c r="E608" s="97"/>
      <c r="F608" s="93"/>
      <c r="G608" s="139"/>
      <c r="H608" s="93"/>
      <c r="I608" s="93"/>
      <c r="J608" s="93"/>
      <c r="K608" s="93"/>
      <c r="L608" s="93"/>
      <c r="M608" s="93"/>
      <c r="N608" s="93"/>
      <c r="O608" s="93"/>
      <c r="P608" s="93"/>
      <c r="Q608" s="93"/>
      <c r="R608" s="93"/>
      <c r="S608" s="98"/>
      <c r="T608" s="3"/>
      <c r="U608" s="3"/>
      <c r="V608" s="3"/>
      <c r="W608" s="3"/>
      <c r="X608" s="3"/>
      <c r="Y608" s="3"/>
      <c r="Z608" s="3"/>
      <c r="AA608" s="3"/>
      <c r="AB608" s="3"/>
      <c r="AC608" s="3"/>
    </row>
    <row r="609" spans="1:29"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x14ac:dyDescent="0.2">
      <c r="A612" s="3"/>
      <c r="B612" s="619" t="str">
        <f>'WK8 - LTFP'!I5</f>
        <v>WORKSHEET 8</v>
      </c>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ht="12" x14ac:dyDescent="0.25">
      <c r="A613" s="3"/>
      <c r="B613" s="620" t="str">
        <f>'WK8 - LTFP'!I7</f>
        <v>LONG TERM FINANCIAL PLAN - SV SCENARIO AND BASE CASE</v>
      </c>
      <c r="C613" s="3"/>
      <c r="D613" s="3"/>
      <c r="E613" s="3"/>
      <c r="F613" s="620" t="str">
        <f>'WK8 - LTFP'!F19</f>
        <v>$ nominal per year</v>
      </c>
      <c r="G613" s="3"/>
      <c r="H613" s="3"/>
      <c r="I613" s="3"/>
      <c r="J613" s="3"/>
      <c r="K613" s="3"/>
      <c r="L613" s="3"/>
      <c r="M613" s="3"/>
      <c r="N613" s="3"/>
      <c r="O613" s="3"/>
      <c r="P613" s="3"/>
      <c r="Q613" s="3"/>
      <c r="R613" s="3"/>
      <c r="S613" s="3"/>
      <c r="T613" s="3"/>
      <c r="U613" s="3"/>
      <c r="V613" s="3"/>
      <c r="W613" s="3"/>
      <c r="X613" s="3"/>
      <c r="Y613" s="3"/>
      <c r="Z613" s="3"/>
      <c r="AA613" s="3"/>
      <c r="AB613" s="3"/>
      <c r="AC613" s="3"/>
    </row>
    <row r="614" spans="1:29" x14ac:dyDescent="0.2">
      <c r="A614" s="3"/>
      <c r="B614" s="1198" t="str">
        <f>B$51</f>
        <v>Year number</v>
      </c>
      <c r="C614" s="815"/>
      <c r="D614" s="815"/>
      <c r="E614" s="1201" t="str">
        <f t="shared" ref="E614:R614" si="16">E$51</f>
        <v>Hist yr 3</v>
      </c>
      <c r="F614" s="919" t="str">
        <f t="shared" si="16"/>
        <v>Hist yr 2</v>
      </c>
      <c r="G614" s="920" t="str">
        <f t="shared" si="16"/>
        <v>Hist yr 1</v>
      </c>
      <c r="H614" s="1200" t="str">
        <f t="shared" si="16"/>
        <v>Year 0</v>
      </c>
      <c r="I614" s="872" t="str">
        <f t="shared" si="16"/>
        <v>Year 1</v>
      </c>
      <c r="J614" s="872" t="str">
        <f t="shared" si="16"/>
        <v>Year 2</v>
      </c>
      <c r="K614" s="872" t="str">
        <f t="shared" si="16"/>
        <v>Year 3</v>
      </c>
      <c r="L614" s="872" t="str">
        <f t="shared" si="16"/>
        <v>Year 4</v>
      </c>
      <c r="M614" s="872" t="str">
        <f t="shared" si="16"/>
        <v>Year 5</v>
      </c>
      <c r="N614" s="872" t="str">
        <f t="shared" si="16"/>
        <v>Year 6</v>
      </c>
      <c r="O614" s="872" t="str">
        <f t="shared" si="16"/>
        <v>Year 7</v>
      </c>
      <c r="P614" s="872" t="str">
        <f t="shared" si="16"/>
        <v>Year 8</v>
      </c>
      <c r="Q614" s="872" t="str">
        <f t="shared" si="16"/>
        <v>Year 9</v>
      </c>
      <c r="R614" s="922" t="str">
        <f t="shared" si="16"/>
        <v>Year 10</v>
      </c>
      <c r="S614" s="1204" t="str">
        <f>'WK8 - LTFP'!Q17</f>
        <v>Sum of 10 years</v>
      </c>
      <c r="T614" s="924"/>
      <c r="U614" s="925" t="str">
        <f>'WK8 - LTFP'!S17</f>
        <v xml:space="preserve">  Change over 10 years</v>
      </c>
      <c r="V614" s="926"/>
      <c r="W614" s="927" t="s">
        <v>127</v>
      </c>
      <c r="X614" s="918"/>
      <c r="Y614" s="3"/>
      <c r="Z614" s="3"/>
      <c r="AA614" s="3"/>
      <c r="AB614" s="3"/>
      <c r="AC614" s="3"/>
    </row>
    <row r="615" spans="1:29" ht="12" x14ac:dyDescent="0.25">
      <c r="A615" s="3"/>
      <c r="B615" s="630" t="str">
        <f>B$52</f>
        <v>Financial year</v>
      </c>
      <c r="C615" s="3"/>
      <c r="D615" s="3"/>
      <c r="E615" s="666" t="str">
        <f t="shared" ref="E615:R615" si="17">E$52</f>
        <v>2019-20</v>
      </c>
      <c r="F615" s="667" t="str">
        <f t="shared" si="17"/>
        <v>2020-21</v>
      </c>
      <c r="G615" s="668" t="str">
        <f t="shared" si="17"/>
        <v>2021-22</v>
      </c>
      <c r="H615" s="669" t="str">
        <f t="shared" si="17"/>
        <v>2022-23</v>
      </c>
      <c r="I615" s="670" t="str">
        <f t="shared" si="17"/>
        <v>2023-24</v>
      </c>
      <c r="J615" s="670" t="str">
        <f t="shared" si="17"/>
        <v>2024-25</v>
      </c>
      <c r="K615" s="670" t="str">
        <f t="shared" si="17"/>
        <v>2025-26</v>
      </c>
      <c r="L615" s="670" t="str">
        <f t="shared" si="17"/>
        <v>2026-27</v>
      </c>
      <c r="M615" s="670" t="str">
        <f t="shared" si="17"/>
        <v>2027-28</v>
      </c>
      <c r="N615" s="670" t="str">
        <f t="shared" si="17"/>
        <v>2028-29</v>
      </c>
      <c r="O615" s="670" t="str">
        <f t="shared" si="17"/>
        <v>2029-30</v>
      </c>
      <c r="P615" s="670" t="str">
        <f t="shared" si="17"/>
        <v>2030-31</v>
      </c>
      <c r="Q615" s="670" t="str">
        <f t="shared" si="17"/>
        <v>2031-32</v>
      </c>
      <c r="R615" s="671" t="str">
        <f t="shared" si="17"/>
        <v>2032-33</v>
      </c>
      <c r="S615" s="153"/>
      <c r="T615" s="93"/>
      <c r="U615" s="672" t="str">
        <f>'WK8 - LTFP'!S18</f>
        <v>$</v>
      </c>
      <c r="V615" s="673" t="str">
        <f>'WK8 - LTFP'!T18</f>
        <v>%</v>
      </c>
      <c r="W615" s="93"/>
      <c r="X615" s="98"/>
      <c r="Y615" s="3"/>
      <c r="Z615" s="3"/>
      <c r="AA615" s="3"/>
      <c r="AB615" s="3"/>
      <c r="AC615" s="3"/>
    </row>
    <row r="616" spans="1:29" x14ac:dyDescent="0.2">
      <c r="A616" s="3"/>
      <c r="B616" s="1199"/>
      <c r="C616" s="815"/>
      <c r="D616" s="815"/>
      <c r="E616" s="1199"/>
      <c r="F616" s="815"/>
      <c r="G616" s="918"/>
      <c r="H616" s="1199"/>
      <c r="I616" s="815"/>
      <c r="J616" s="815"/>
      <c r="K616" s="815"/>
      <c r="L616" s="815"/>
      <c r="M616" s="815"/>
      <c r="N616" s="815"/>
      <c r="O616" s="815"/>
      <c r="P616" s="815"/>
      <c r="Q616" s="815"/>
      <c r="R616" s="918"/>
      <c r="S616" s="135"/>
      <c r="T616" s="3"/>
      <c r="U616" s="3"/>
      <c r="V616" s="96"/>
      <c r="W616" s="3"/>
      <c r="X616" s="96"/>
      <c r="Y616" s="3"/>
      <c r="Z616" s="3"/>
      <c r="AA616" s="3"/>
      <c r="AB616" s="3"/>
      <c r="AC616" s="3"/>
    </row>
    <row r="617" spans="1:29" ht="12" x14ac:dyDescent="0.25">
      <c r="A617" s="3"/>
      <c r="B617" s="665" t="str">
        <f>'WK8 - LTFP'!C16</f>
        <v>SCENARIO 1: Proposed additional SV income and expenditure</v>
      </c>
      <c r="C617" s="79"/>
      <c r="D617" s="79"/>
      <c r="E617" s="563"/>
      <c r="F617" s="79"/>
      <c r="G617" s="564"/>
      <c r="H617" s="563"/>
      <c r="I617" s="79"/>
      <c r="J617" s="79"/>
      <c r="K617" s="79"/>
      <c r="L617" s="79"/>
      <c r="M617" s="79"/>
      <c r="N617" s="79"/>
      <c r="O617" s="79"/>
      <c r="P617" s="79"/>
      <c r="Q617" s="79"/>
      <c r="R617" s="564"/>
      <c r="S617" s="563"/>
      <c r="T617" s="79"/>
      <c r="U617" s="79"/>
      <c r="V617" s="564"/>
      <c r="W617" s="3"/>
      <c r="X617" s="96"/>
      <c r="Y617" s="3"/>
      <c r="Z617" s="3"/>
      <c r="AA617" s="3"/>
      <c r="AB617" s="3"/>
      <c r="AC617" s="3"/>
    </row>
    <row r="618" spans="1:29" x14ac:dyDescent="0.2">
      <c r="A618" s="3"/>
      <c r="B618" s="655" t="str">
        <f>'WK8 - LTFP'!C25</f>
        <v>Grants &amp; Contributions Op Purposes</v>
      </c>
      <c r="C618" s="3"/>
      <c r="D618" s="3"/>
      <c r="E618" s="135"/>
      <c r="F618" s="3"/>
      <c r="G618" s="96"/>
      <c r="H618" s="655">
        <f>'WK8 - LTFP'!F25</f>
        <v>12770693.92</v>
      </c>
      <c r="I618" s="656">
        <f>'WK8 - LTFP'!G25</f>
        <v>13217668.210000001</v>
      </c>
      <c r="J618" s="656">
        <f>'WK8 - LTFP'!H25</f>
        <v>13600980.630000001</v>
      </c>
      <c r="K618" s="656">
        <f>'WK8 - LTFP'!I25</f>
        <v>13981808.059999999</v>
      </c>
      <c r="L618" s="656">
        <f>'WK8 - LTFP'!J25</f>
        <v>14317371.470000003</v>
      </c>
      <c r="M618" s="656">
        <f>'WK8 - LTFP'!K25</f>
        <v>14660988.369999999</v>
      </c>
      <c r="N618" s="656">
        <f>'WK8 - LTFP'!L25</f>
        <v>15012852.100000001</v>
      </c>
      <c r="O618" s="656">
        <f>'WK8 - LTFP'!M25</f>
        <v>15373160.559999999</v>
      </c>
      <c r="P618" s="656">
        <f>'WK8 - LTFP'!N25</f>
        <v>15742116.439999998</v>
      </c>
      <c r="Q618" s="656">
        <f>'WK8 - LTFP'!O25</f>
        <v>16135669.369999999</v>
      </c>
      <c r="R618" s="657">
        <f>'WK8 - LTFP'!P25</f>
        <v>16539061.149999999</v>
      </c>
      <c r="S618" s="655">
        <f>'WK8 - LTFP'!Q25</f>
        <v>148581676.36000001</v>
      </c>
      <c r="T618" s="192"/>
      <c r="U618" s="656">
        <f>'WK8 - LTFP'!S25</f>
        <v>3768367.2299999986</v>
      </c>
      <c r="V618" s="674">
        <f>'WK8 - LTFP'!T25</f>
        <v>0.29507928493207508</v>
      </c>
      <c r="W618" s="660">
        <f t="shared" ref="W618:W621" si="18">R618-H618-U618</f>
        <v>0</v>
      </c>
      <c r="X618" s="96"/>
      <c r="Y618" s="3"/>
      <c r="Z618" s="3"/>
      <c r="AA618" s="3"/>
      <c r="AB618" s="3"/>
      <c r="AC618" s="3"/>
    </row>
    <row r="619" spans="1:29" x14ac:dyDescent="0.2">
      <c r="A619" s="3"/>
      <c r="B619" s="655" t="str">
        <f>'WK8 - LTFP'!C26</f>
        <v>Grants &amp; Contributions Capital Purposes</v>
      </c>
      <c r="C619" s="3"/>
      <c r="D619" s="3"/>
      <c r="E619" s="135"/>
      <c r="F619" s="3"/>
      <c r="G619" s="96"/>
      <c r="H619" s="655">
        <f>'WK8 - LTFP'!F26</f>
        <v>8350000</v>
      </c>
      <c r="I619" s="656">
        <f>'WK8 - LTFP'!G26</f>
        <v>9327953</v>
      </c>
      <c r="J619" s="656">
        <f>'WK8 - LTFP'!H26</f>
        <v>9450563.6500000004</v>
      </c>
      <c r="K619" s="656">
        <f>'WK8 - LTFP'!I26</f>
        <v>9572379.4499999993</v>
      </c>
      <c r="L619" s="656">
        <f>'WK8 - LTFP'!J26</f>
        <v>58289716.539999999</v>
      </c>
      <c r="M619" s="656">
        <f>'WK8 - LTFP'!K26</f>
        <v>9789629.7399999984</v>
      </c>
      <c r="N619" s="656">
        <f>'WK8 - LTFP'!L26</f>
        <v>9902180.870000001</v>
      </c>
      <c r="O619" s="656">
        <f>'WK8 - LTFP'!M26</f>
        <v>10017433.199999999</v>
      </c>
      <c r="P619" s="656">
        <f>'WK8 - LTFP'!N26</f>
        <v>10135451.58</v>
      </c>
      <c r="Q619" s="656">
        <f>'WK8 - LTFP'!O26</f>
        <v>10261337.890000001</v>
      </c>
      <c r="R619" s="657">
        <f>'WK8 - LTFP'!P26</f>
        <v>10390371.34</v>
      </c>
      <c r="S619" s="655">
        <f>'WK8 - LTFP'!Q26</f>
        <v>147137017.26000002</v>
      </c>
      <c r="T619" s="192"/>
      <c r="U619" s="656">
        <f>'WK8 - LTFP'!S26</f>
        <v>2040371.3399999999</v>
      </c>
      <c r="V619" s="674">
        <f>'WK8 - LTFP'!T26</f>
        <v>0.24435584910179639</v>
      </c>
      <c r="W619" s="660">
        <f t="shared" si="18"/>
        <v>0</v>
      </c>
      <c r="X619" s="96"/>
      <c r="Y619" s="3"/>
      <c r="Z619" s="3"/>
      <c r="AA619" s="3"/>
      <c r="AB619" s="3"/>
      <c r="AC619" s="3"/>
    </row>
    <row r="620" spans="1:29" x14ac:dyDescent="0.2">
      <c r="A620" s="3"/>
      <c r="B620" s="655" t="str">
        <f>'WK8 - LTFP'!C31&amp;", "&amp;'WK8 - LTFP'!C30&amp;" &amp; "&amp;'WK8 - LTFP'!C31</f>
        <v>Net gains from disposal of assets, Fair value gains &amp; Net gains from disposal of assets</v>
      </c>
      <c r="C620" s="3"/>
      <c r="D620" s="3"/>
      <c r="E620" s="135"/>
      <c r="F620" s="3"/>
      <c r="G620" s="96"/>
      <c r="H620" s="655">
        <f>SUM('WK8 - LTFP'!F29:F31)</f>
        <v>100000</v>
      </c>
      <c r="I620" s="656">
        <f>SUM('WK8 - LTFP'!G29:G31)</f>
        <v>103500</v>
      </c>
      <c r="J620" s="656">
        <f>SUM('WK8 - LTFP'!H29:H31)</f>
        <v>106501.5</v>
      </c>
      <c r="K620" s="656">
        <f>SUM('WK8 - LTFP'!I29:I31)</f>
        <v>109483.54</v>
      </c>
      <c r="L620" s="656">
        <f>SUM('WK8 - LTFP'!J29:J31)</f>
        <v>112111.14</v>
      </c>
      <c r="M620" s="656">
        <f>SUM('WK8 - LTFP'!K29:K31)</f>
        <v>114801.81</v>
      </c>
      <c r="N620" s="656">
        <f>SUM('WK8 - LTFP'!L29:L31)</f>
        <v>117557.05</v>
      </c>
      <c r="O620" s="656">
        <f>SUM('WK8 - LTFP'!M29:M31)</f>
        <v>120378.42</v>
      </c>
      <c r="P620" s="656">
        <f>SUM('WK8 - LTFP'!N29:N31)</f>
        <v>123267.5</v>
      </c>
      <c r="Q620" s="656">
        <f>SUM('WK8 - LTFP'!O29:O31)</f>
        <v>126349.19</v>
      </c>
      <c r="R620" s="657">
        <f>SUM('WK8 - LTFP'!P29:P31)</f>
        <v>129507.92</v>
      </c>
      <c r="S620" s="655">
        <f>SUM('WK8 - LTFP'!Q29:Q31)</f>
        <v>1163458.07</v>
      </c>
      <c r="T620" s="192"/>
      <c r="U620" s="656">
        <f>SUM('WK8 - LTFP'!S29:S31)</f>
        <v>29507.919999999998</v>
      </c>
      <c r="V620" s="674"/>
      <c r="W620" s="660">
        <f t="shared" si="18"/>
        <v>0</v>
      </c>
      <c r="X620" s="96"/>
      <c r="Y620" s="3"/>
      <c r="Z620" s="3"/>
      <c r="AA620" s="3"/>
      <c r="AB620" s="3"/>
      <c r="AC620" s="3"/>
    </row>
    <row r="621" spans="1:29" x14ac:dyDescent="0.2">
      <c r="A621" s="3"/>
      <c r="B621" s="897" t="s">
        <v>142</v>
      </c>
      <c r="C621" s="3"/>
      <c r="D621" s="3"/>
      <c r="E621" s="135"/>
      <c r="F621" s="3"/>
      <c r="G621" s="96"/>
      <c r="H621" s="655">
        <f>SUM('WK8 - LTFP'!F21:F24,'WK8 - LTFP'!F27:F27)</f>
        <v>135098977.64000002</v>
      </c>
      <c r="I621" s="656">
        <f>SUM('WK8 - LTFP'!G21:G24,'WK8 - LTFP'!G27:G27)</f>
        <v>143980540.66</v>
      </c>
      <c r="J621" s="656">
        <f>SUM('WK8 - LTFP'!H21:H24,'WK8 - LTFP'!H27:H27)</f>
        <v>151144788.13999993</v>
      </c>
      <c r="K621" s="656">
        <f>SUM('WK8 - LTFP'!I21:I24,'WK8 - LTFP'!I27:I27)</f>
        <v>157284540.92624995</v>
      </c>
      <c r="L621" s="656">
        <f>SUM('WK8 - LTFP'!J21:J24,'WK8 - LTFP'!J27:J27)</f>
        <v>163960995.47065628</v>
      </c>
      <c r="M621" s="656">
        <f>SUM('WK8 - LTFP'!K21:K24,'WK8 - LTFP'!K27:K27)</f>
        <v>167965228.5159227</v>
      </c>
      <c r="N621" s="656">
        <f>SUM('WK8 - LTFP'!L21:L24,'WK8 - LTFP'!L27:L27)</f>
        <v>172011228.52557069</v>
      </c>
      <c r="O621" s="656">
        <f>SUM('WK8 - LTFP'!M21:M24,'WK8 - LTFP'!M27:M27)</f>
        <v>176182084.29396001</v>
      </c>
      <c r="P621" s="656">
        <f>SUM('WK8 - LTFP'!N21:N24,'WK8 - LTFP'!N27:N27)</f>
        <v>180452377.88630897</v>
      </c>
      <c r="Q621" s="656">
        <f>SUM('WK8 - LTFP'!O21:O24,'WK8 - LTFP'!O27:O27)</f>
        <v>184821463.51871672</v>
      </c>
      <c r="R621" s="657">
        <f>SUM('WK8 - LTFP'!P21:P24,'WK8 - LTFP'!P27:P27)</f>
        <v>189996215.99818465</v>
      </c>
      <c r="S621" s="655">
        <f>SUM('WK8 - LTFP'!Q21:Q24,'WK8 - LTFP'!Q27:Q27)</f>
        <v>1687799463.9355702</v>
      </c>
      <c r="T621" s="192"/>
      <c r="U621" s="656">
        <f>SUM('WK8 - LTFP'!S21:S24,'WK8 - LTFP'!S27:S27)</f>
        <v>54897238.358184658</v>
      </c>
      <c r="V621" s="674">
        <f>SUM('WK8 - LTFP'!T21:T24,'WK8 - LTFP'!T27:T27)</f>
        <v>0.81840804693575231</v>
      </c>
      <c r="W621" s="660">
        <f t="shared" si="18"/>
        <v>0</v>
      </c>
      <c r="X621" s="96"/>
      <c r="Y621" s="3"/>
      <c r="Z621" s="3"/>
      <c r="AA621" s="3"/>
      <c r="AB621" s="3"/>
      <c r="AC621" s="3"/>
    </row>
    <row r="622" spans="1:29" x14ac:dyDescent="0.2">
      <c r="A622" s="3"/>
      <c r="B622" s="655" t="str">
        <f>'WK8 - LTFP'!C33</f>
        <v>Total Income Continuing Operations</v>
      </c>
      <c r="C622" s="3"/>
      <c r="D622" s="3"/>
      <c r="E622" s="135"/>
      <c r="F622" s="3"/>
      <c r="G622" s="96"/>
      <c r="H622" s="655">
        <f>'WK8 - LTFP'!F33</f>
        <v>156319671.56</v>
      </c>
      <c r="I622" s="656">
        <f>'WK8 - LTFP'!G33</f>
        <v>166629661.87</v>
      </c>
      <c r="J622" s="656">
        <f>'WK8 - LTFP'!H33</f>
        <v>174302833.91999993</v>
      </c>
      <c r="K622" s="656">
        <f>'WK8 - LTFP'!I33</f>
        <v>180948211.97624993</v>
      </c>
      <c r="L622" s="656">
        <f>'WK8 - LTFP'!J33</f>
        <v>236680194.62065625</v>
      </c>
      <c r="M622" s="656">
        <f>'WK8 - LTFP'!K33</f>
        <v>192530648.43592271</v>
      </c>
      <c r="N622" s="656">
        <f>'WK8 - LTFP'!L33</f>
        <v>197043818.5455707</v>
      </c>
      <c r="O622" s="656">
        <f>'WK8 - LTFP'!M33</f>
        <v>201693056.47395998</v>
      </c>
      <c r="P622" s="656">
        <f>'WK8 - LTFP'!N33</f>
        <v>206453213.40630898</v>
      </c>
      <c r="Q622" s="656">
        <f>'WK8 - LTFP'!O33</f>
        <v>211344819.96871674</v>
      </c>
      <c r="R622" s="657">
        <f>'WK8 - LTFP'!P33</f>
        <v>217055156.40818465</v>
      </c>
      <c r="S622" s="655">
        <f>'WK8 - LTFP'!Q33</f>
        <v>1984681615.6255698</v>
      </c>
      <c r="T622" s="192"/>
      <c r="U622" s="656">
        <f>'WK8 - LTFP'!S33</f>
        <v>60735484.848184645</v>
      </c>
      <c r="V622" s="674">
        <f>'WK8 - LTFP'!T33</f>
        <v>0.38853385656502365</v>
      </c>
      <c r="W622" s="660">
        <f>R622-H622-U622</f>
        <v>0</v>
      </c>
      <c r="X622" s="96"/>
      <c r="Y622" s="3"/>
      <c r="Z622" s="3"/>
      <c r="AA622" s="3"/>
      <c r="AB622" s="3"/>
      <c r="AC622" s="3"/>
    </row>
    <row r="623" spans="1:29" x14ac:dyDescent="0.2">
      <c r="A623" s="3"/>
      <c r="B623" s="655" t="str">
        <f>'WK8 - LTFP'!C35</f>
        <v>Income excluding capital grants and contributions</v>
      </c>
      <c r="C623" s="3"/>
      <c r="D623" s="3"/>
      <c r="E623" s="135"/>
      <c r="F623" s="3"/>
      <c r="G623" s="96"/>
      <c r="H623" s="655">
        <f>'WK8 - LTFP'!F35</f>
        <v>147969671.56</v>
      </c>
      <c r="I623" s="656">
        <f>'WK8 - LTFP'!G35</f>
        <v>157301708.87</v>
      </c>
      <c r="J623" s="656">
        <f>'WK8 - LTFP'!H35</f>
        <v>164852270.26999992</v>
      </c>
      <c r="K623" s="656">
        <f>'WK8 - LTFP'!I35</f>
        <v>171375832.52624995</v>
      </c>
      <c r="L623" s="656">
        <f>'WK8 - LTFP'!J35</f>
        <v>178390478.08065626</v>
      </c>
      <c r="M623" s="656">
        <f>'WK8 - LTFP'!K35</f>
        <v>182741018.6959227</v>
      </c>
      <c r="N623" s="656">
        <f>'WK8 - LTFP'!L35</f>
        <v>187141637.6755707</v>
      </c>
      <c r="O623" s="656">
        <f>'WK8 - LTFP'!M35</f>
        <v>191675623.27395999</v>
      </c>
      <c r="P623" s="656">
        <f>'WK8 - LTFP'!N35</f>
        <v>196317761.82630897</v>
      </c>
      <c r="Q623" s="656">
        <f>'WK8 - LTFP'!O35</f>
        <v>201083482.07871675</v>
      </c>
      <c r="R623" s="657">
        <f>'WK8 - LTFP'!P35</f>
        <v>206664785.06818464</v>
      </c>
      <c r="S623" s="655">
        <f>'WK8 - LTFP'!Q35</f>
        <v>1837544598.3655701</v>
      </c>
      <c r="T623" s="192"/>
      <c r="U623" s="656">
        <f>'WK8 - LTFP'!S35</f>
        <v>58695113.508184642</v>
      </c>
      <c r="V623" s="674">
        <f>'WK8 - LTFP'!T35</f>
        <v>0.39666989112957818</v>
      </c>
      <c r="W623" s="660">
        <f>R623-H623-U623</f>
        <v>0</v>
      </c>
      <c r="X623" s="96"/>
      <c r="Y623" s="3"/>
      <c r="Z623" s="3"/>
      <c r="AA623" s="3"/>
      <c r="AB623" s="3"/>
      <c r="AC623" s="3"/>
    </row>
    <row r="624" spans="1:29" x14ac:dyDescent="0.2">
      <c r="A624" s="3"/>
      <c r="B624" s="630" t="str">
        <f>'WK8 - LTFP'!C37</f>
        <v>Income excluding capital grants and contributions, net gains from asset disposals, profit on joint ventures and fair value gains</v>
      </c>
      <c r="C624" s="3"/>
      <c r="D624" s="3"/>
      <c r="E624" s="135"/>
      <c r="F624" s="3"/>
      <c r="G624" s="96"/>
      <c r="H624" s="655">
        <f>'WK8 - LTFP'!F37</f>
        <v>147869671.56</v>
      </c>
      <c r="I624" s="656">
        <f>'WK8 - LTFP'!G37</f>
        <v>157198208.87</v>
      </c>
      <c r="J624" s="656">
        <f>'WK8 - LTFP'!H37</f>
        <v>164745768.76999992</v>
      </c>
      <c r="K624" s="656">
        <f>'WK8 - LTFP'!I37</f>
        <v>171266348.98624995</v>
      </c>
      <c r="L624" s="656">
        <f>'WK8 - LTFP'!J37</f>
        <v>178278366.94065627</v>
      </c>
      <c r="M624" s="656">
        <f>'WK8 - LTFP'!K37</f>
        <v>182626216.8859227</v>
      </c>
      <c r="N624" s="656">
        <f>'WK8 - LTFP'!L37</f>
        <v>187024080.62557068</v>
      </c>
      <c r="O624" s="656">
        <f>'WK8 - LTFP'!M37</f>
        <v>191555244.85396001</v>
      </c>
      <c r="P624" s="656">
        <f>'WK8 - LTFP'!N37</f>
        <v>196194494.32630897</v>
      </c>
      <c r="Q624" s="656">
        <f>'WK8 - LTFP'!O37</f>
        <v>200957132.88871676</v>
      </c>
      <c r="R624" s="657">
        <f>'WK8 - LTFP'!P37</f>
        <v>206535277.14818466</v>
      </c>
      <c r="S624" s="655">
        <f>'WK8 - LTFP'!Q37</f>
        <v>1836381140.2955699</v>
      </c>
      <c r="T624" s="192"/>
      <c r="U624" s="656">
        <f>'WK8 - LTFP'!S37</f>
        <v>58665605.588184655</v>
      </c>
      <c r="V624" s="674">
        <f>'WK8 - LTFP'!T37</f>
        <v>0.39673859398801964</v>
      </c>
      <c r="W624" s="660">
        <f>R624-H624-U624</f>
        <v>0</v>
      </c>
      <c r="X624" s="96"/>
      <c r="Y624" s="3"/>
      <c r="Z624" s="3"/>
      <c r="AA624" s="3"/>
      <c r="AB624" s="3"/>
      <c r="AC624" s="3"/>
    </row>
    <row r="625" spans="1:29" x14ac:dyDescent="0.2">
      <c r="A625" s="3"/>
      <c r="B625" s="630"/>
      <c r="C625" s="3"/>
      <c r="D625" s="3"/>
      <c r="E625" s="135"/>
      <c r="F625" s="3"/>
      <c r="G625" s="96"/>
      <c r="H625" s="655"/>
      <c r="I625" s="656"/>
      <c r="J625" s="656"/>
      <c r="K625" s="656"/>
      <c r="L625" s="656"/>
      <c r="M625" s="656"/>
      <c r="N625" s="656"/>
      <c r="O625" s="656"/>
      <c r="P625" s="656"/>
      <c r="Q625" s="656"/>
      <c r="R625" s="657"/>
      <c r="S625" s="655"/>
      <c r="T625" s="192"/>
      <c r="U625" s="656"/>
      <c r="V625" s="674"/>
      <c r="W625" s="660"/>
      <c r="X625" s="96"/>
      <c r="Y625" s="3"/>
      <c r="Z625" s="3"/>
      <c r="AA625" s="3"/>
      <c r="AB625" s="3"/>
      <c r="AC625" s="3"/>
    </row>
    <row r="626" spans="1:29" x14ac:dyDescent="0.2">
      <c r="A626" s="3"/>
      <c r="B626" s="655" t="str">
        <f>'WK8 - LTFP'!C50&amp;", "&amp;'WK8 - LTFP'!C48&amp;" &amp; "&amp;'WK8 - LTFP'!C49</f>
        <v>Net loss from disposal of assets, Net loss on joint ventures &amp; Fair value losses</v>
      </c>
      <c r="C626" s="3"/>
      <c r="D626" s="3"/>
      <c r="E626" s="135"/>
      <c r="F626" s="3"/>
      <c r="G626" s="96"/>
      <c r="H626" s="655">
        <f>SUM('WK8 - LTFP'!F48:F50)</f>
        <v>0</v>
      </c>
      <c r="I626" s="656">
        <f>SUM('WK8 - LTFP'!G48:G50)</f>
        <v>0</v>
      </c>
      <c r="J626" s="656">
        <f>SUM('WK8 - LTFP'!H48:H50)</f>
        <v>0</v>
      </c>
      <c r="K626" s="656">
        <f>SUM('WK8 - LTFP'!I48:I50)</f>
        <v>0</v>
      </c>
      <c r="L626" s="656">
        <f>SUM('WK8 - LTFP'!J48:J50)</f>
        <v>0</v>
      </c>
      <c r="M626" s="656">
        <f>SUM('WK8 - LTFP'!K48:K50)</f>
        <v>0</v>
      </c>
      <c r="N626" s="656">
        <f>SUM('WK8 - LTFP'!L48:L50)</f>
        <v>0</v>
      </c>
      <c r="O626" s="656">
        <f>SUM('WK8 - LTFP'!M48:M50)</f>
        <v>0</v>
      </c>
      <c r="P626" s="656">
        <f>SUM('WK8 - LTFP'!N48:N50)</f>
        <v>0</v>
      </c>
      <c r="Q626" s="656">
        <f>SUM('WK8 - LTFP'!O48:O50)</f>
        <v>0</v>
      </c>
      <c r="R626" s="657">
        <f>SUM('WK8 - LTFP'!P48:P50)</f>
        <v>0</v>
      </c>
      <c r="S626" s="655">
        <f>SUM('WK8 - LTFP'!Q48:Q50)</f>
        <v>0</v>
      </c>
      <c r="T626" s="192"/>
      <c r="U626" s="656">
        <f>SUM('WK8 - LTFP'!S48:S50)</f>
        <v>0</v>
      </c>
      <c r="V626" s="674"/>
      <c r="W626" s="660">
        <f t="shared" ref="W626" si="19">R626-H626-U626</f>
        <v>0</v>
      </c>
      <c r="X626" s="96"/>
      <c r="Y626" s="3"/>
      <c r="Z626" s="3"/>
      <c r="AA626" s="3"/>
      <c r="AB626" s="3"/>
      <c r="AC626" s="3"/>
    </row>
    <row r="627" spans="1:29" x14ac:dyDescent="0.2">
      <c r="A627" s="3"/>
      <c r="B627" s="630" t="str">
        <f>'WK8 - LTFP'!C52</f>
        <v>Total expenses continuing operations</v>
      </c>
      <c r="C627" s="3"/>
      <c r="D627" s="3"/>
      <c r="E627" s="135"/>
      <c r="F627" s="3"/>
      <c r="G627" s="96"/>
      <c r="H627" s="655">
        <f>'WK8 - LTFP'!F52</f>
        <v>144415987.30000004</v>
      </c>
      <c r="I627" s="656">
        <f>'WK8 - LTFP'!G52</f>
        <v>152291785.43000007</v>
      </c>
      <c r="J627" s="656">
        <f>'WK8 - LTFP'!H52</f>
        <v>158073207.4199999</v>
      </c>
      <c r="K627" s="656">
        <f>'WK8 - LTFP'!I52</f>
        <v>164119104.94</v>
      </c>
      <c r="L627" s="656">
        <f>'WK8 - LTFP'!J52</f>
        <v>169432065.05999994</v>
      </c>
      <c r="M627" s="656">
        <f>'WK8 - LTFP'!K52</f>
        <v>175339396.48000002</v>
      </c>
      <c r="N627" s="656">
        <f>'WK8 - LTFP'!L52</f>
        <v>181162142.50999996</v>
      </c>
      <c r="O627" s="656">
        <f>'WK8 - LTFP'!M52</f>
        <v>184330101.67999998</v>
      </c>
      <c r="P627" s="656">
        <f>'WK8 - LTFP'!N52</f>
        <v>189647148.24999991</v>
      </c>
      <c r="Q627" s="656">
        <f>'WK8 - LTFP'!O52</f>
        <v>195325631.96000004</v>
      </c>
      <c r="R627" s="657">
        <f>'WK8 - LTFP'!P52</f>
        <v>201978587.61999997</v>
      </c>
      <c r="S627" s="655">
        <f>'WK8 - LTFP'!Q52</f>
        <v>1771699171.3499999</v>
      </c>
      <c r="T627" s="192"/>
      <c r="U627" s="656">
        <f>'WK8 - LTFP'!S52</f>
        <v>57562600.319999933</v>
      </c>
      <c r="V627" s="674">
        <f>'WK8 - LTFP'!T52</f>
        <v>0.39858883629291864</v>
      </c>
      <c r="W627" s="660">
        <f>R627-H627-U627</f>
        <v>0</v>
      </c>
      <c r="X627" s="96"/>
      <c r="Y627" s="3"/>
      <c r="Z627" s="3"/>
      <c r="AA627" s="3"/>
      <c r="AB627" s="3"/>
      <c r="AC627" s="3"/>
    </row>
    <row r="628" spans="1:29" x14ac:dyDescent="0.2">
      <c r="A628" s="3"/>
      <c r="B628" s="630"/>
      <c r="C628" s="3"/>
      <c r="D628" s="3"/>
      <c r="E628" s="135"/>
      <c r="F628" s="3"/>
      <c r="G628" s="96"/>
      <c r="H628" s="655"/>
      <c r="I628" s="656"/>
      <c r="J628" s="656"/>
      <c r="K628" s="656"/>
      <c r="L628" s="656"/>
      <c r="M628" s="656"/>
      <c r="N628" s="656"/>
      <c r="O628" s="656"/>
      <c r="P628" s="656"/>
      <c r="Q628" s="656"/>
      <c r="R628" s="657"/>
      <c r="S628" s="655"/>
      <c r="T628" s="192"/>
      <c r="U628" s="656"/>
      <c r="V628" s="674"/>
      <c r="W628" s="660"/>
      <c r="X628" s="96"/>
      <c r="Y628" s="3"/>
      <c r="Z628" s="3"/>
      <c r="AA628" s="3"/>
      <c r="AB628" s="3"/>
      <c r="AC628" s="3"/>
    </row>
    <row r="629" spans="1:29" x14ac:dyDescent="0.2">
      <c r="A629" s="3"/>
      <c r="B629" s="662" t="str">
        <f>'WK8 - LTFP'!C58</f>
        <v>Operating result from continuing operations</v>
      </c>
      <c r="C629" s="3"/>
      <c r="D629" s="3"/>
      <c r="E629" s="135"/>
      <c r="F629" s="3"/>
      <c r="G629" s="96"/>
      <c r="H629" s="655">
        <f>'WK8 - LTFP'!F58</f>
        <v>11903684.259999961</v>
      </c>
      <c r="I629" s="656">
        <f>'WK8 - LTFP'!G58</f>
        <v>14337876.439999938</v>
      </c>
      <c r="J629" s="656">
        <f>'WK8 - LTFP'!H58</f>
        <v>16229626.50000003</v>
      </c>
      <c r="K629" s="656">
        <f>'WK8 - LTFP'!I58</f>
        <v>16829107.036249936</v>
      </c>
      <c r="L629" s="656">
        <f>'WK8 - LTFP'!J58</f>
        <v>67248129.560656309</v>
      </c>
      <c r="M629" s="656">
        <f>'WK8 - LTFP'!K58</f>
        <v>17191251.955922693</v>
      </c>
      <c r="N629" s="656">
        <f>'WK8 - LTFP'!L58</f>
        <v>15881676.035570741</v>
      </c>
      <c r="O629" s="656">
        <f>'WK8 - LTFP'!M58</f>
        <v>17362954.793960005</v>
      </c>
      <c r="P629" s="656">
        <f>'WK8 - LTFP'!N58</f>
        <v>16806065.156309068</v>
      </c>
      <c r="Q629" s="656">
        <f>'WK8 - LTFP'!O58</f>
        <v>16019188.008716702</v>
      </c>
      <c r="R629" s="657">
        <f>'WK8 - LTFP'!P58</f>
        <v>15076568.788184673</v>
      </c>
      <c r="S629" s="655">
        <f>'WK8 - LTFP'!Q58</f>
        <v>212982444.27557009</v>
      </c>
      <c r="T629" s="192"/>
      <c r="U629" s="656">
        <f>'WK8 - LTFP'!S58</f>
        <v>3172884.5281847119</v>
      </c>
      <c r="V629" s="674">
        <f>'WK8 - LTFP'!T58</f>
        <v>0.26654642872598522</v>
      </c>
      <c r="W629" s="660">
        <f>R629-H629-U629</f>
        <v>0</v>
      </c>
      <c r="X629" s="96"/>
      <c r="Y629" s="3"/>
      <c r="Z629" s="3"/>
      <c r="AA629" s="3"/>
      <c r="AB629" s="3"/>
      <c r="AC629" s="3"/>
    </row>
    <row r="630" spans="1:29" x14ac:dyDescent="0.2">
      <c r="A630" s="3"/>
      <c r="B630" s="662" t="str">
        <f>'WK8 - LTFP'!C59</f>
        <v>Net operating result before capital grants &amp; contributions</v>
      </c>
      <c r="C630" s="3"/>
      <c r="D630" s="3"/>
      <c r="E630" s="135"/>
      <c r="F630" s="3"/>
      <c r="G630" s="96"/>
      <c r="H630" s="655">
        <f>'WK8 - LTFP'!F59</f>
        <v>3553684.2599999607</v>
      </c>
      <c r="I630" s="656">
        <f>'WK8 - LTFP'!G59</f>
        <v>5009923.439999938</v>
      </c>
      <c r="J630" s="656">
        <f>'WK8 - LTFP'!H59</f>
        <v>6779062.8500000238</v>
      </c>
      <c r="K630" s="656">
        <f>'WK8 - LTFP'!I59</f>
        <v>7256727.5862499475</v>
      </c>
      <c r="L630" s="656">
        <f>'WK8 - LTFP'!J59</f>
        <v>8958413.0206563175</v>
      </c>
      <c r="M630" s="656">
        <f>'WK8 - LTFP'!K59</f>
        <v>7401622.2159226835</v>
      </c>
      <c r="N630" s="656">
        <f>'WK8 - LTFP'!L59</f>
        <v>5979495.1655707359</v>
      </c>
      <c r="O630" s="656">
        <f>'WK8 - LTFP'!M59</f>
        <v>7345521.593960017</v>
      </c>
      <c r="P630" s="656">
        <f>'WK8 - LTFP'!N59</f>
        <v>6670613.5763090551</v>
      </c>
      <c r="Q630" s="656">
        <f>'WK8 - LTFP'!O59</f>
        <v>5757850.1187167168</v>
      </c>
      <c r="R630" s="657">
        <f>'WK8 - LTFP'!P59</f>
        <v>4686197.448184669</v>
      </c>
      <c r="S630" s="655">
        <f>'WK8 - LTFP'!Q59</f>
        <v>65845427.015570104</v>
      </c>
      <c r="T630" s="192"/>
      <c r="U630" s="656">
        <f>'WK8 - LTFP'!S59</f>
        <v>1132513.1881847084</v>
      </c>
      <c r="V630" s="674">
        <f>'WK8 - LTFP'!T59</f>
        <v>0.3186870597740501</v>
      </c>
      <c r="W630" s="660"/>
      <c r="X630" s="96"/>
      <c r="Y630" s="3"/>
      <c r="Z630" s="3"/>
      <c r="AA630" s="3"/>
      <c r="AB630" s="3"/>
      <c r="AC630" s="3"/>
    </row>
    <row r="631" spans="1:29" x14ac:dyDescent="0.2">
      <c r="A631" s="3"/>
      <c r="B631" s="662" t="str">
        <f>'WK8 - LTFP'!C60</f>
        <v>Net operating result before capital grants &amp; contributions, gains/losses on asset disposals, gains/losses on joint ventures and fair value adjustments</v>
      </c>
      <c r="C631" s="3"/>
      <c r="D631" s="3"/>
      <c r="E631" s="135"/>
      <c r="F631" s="3"/>
      <c r="G631" s="96"/>
      <c r="H631" s="655">
        <f>'WK8 - LTFP'!F60</f>
        <v>3453684.2599999607</v>
      </c>
      <c r="I631" s="656">
        <f>'WK8 - LTFP'!G60</f>
        <v>4906423.439999938</v>
      </c>
      <c r="J631" s="656">
        <f>'WK8 - LTFP'!H60</f>
        <v>6672561.3500000238</v>
      </c>
      <c r="K631" s="656">
        <f>'WK8 - LTFP'!I60</f>
        <v>7147244.0462499559</v>
      </c>
      <c r="L631" s="656">
        <f>'WK8 - LTFP'!J60</f>
        <v>8846301.8806563318</v>
      </c>
      <c r="M631" s="656">
        <f>'WK8 - LTFP'!K60</f>
        <v>7286820.4059226811</v>
      </c>
      <c r="N631" s="656">
        <f>'WK8 - LTFP'!L60</f>
        <v>5861938.115570724</v>
      </c>
      <c r="O631" s="656">
        <f>'WK8 - LTFP'!M60</f>
        <v>7225143.1739600301</v>
      </c>
      <c r="P631" s="656">
        <f>'WK8 - LTFP'!N60</f>
        <v>6547346.0763090551</v>
      </c>
      <c r="Q631" s="656">
        <f>'WK8 - LTFP'!O60</f>
        <v>5631500.9287167192</v>
      </c>
      <c r="R631" s="657">
        <f>'WK8 - LTFP'!P60</f>
        <v>4556689.5281846821</v>
      </c>
      <c r="S631" s="655">
        <f>'WK8 - LTFP'!Q60</f>
        <v>64681968.945570141</v>
      </c>
      <c r="T631" s="192"/>
      <c r="U631" s="656">
        <f>'WK8 - LTFP'!S60</f>
        <v>1103005.2681847215</v>
      </c>
      <c r="V631" s="910">
        <f>'WK8 - LTFP'!T60</f>
        <v>0.31937061559435487</v>
      </c>
      <c r="W631" s="660">
        <f>R631-H631-U631</f>
        <v>0</v>
      </c>
      <c r="X631" s="96"/>
      <c r="Y631" s="3"/>
      <c r="Z631" s="3"/>
      <c r="AA631" s="3"/>
      <c r="AB631" s="3"/>
      <c r="AC631" s="3"/>
    </row>
    <row r="632" spans="1:29" x14ac:dyDescent="0.2">
      <c r="A632" s="3"/>
      <c r="B632" s="568" t="s">
        <v>127</v>
      </c>
      <c r="C632" s="3"/>
      <c r="D632" s="3"/>
      <c r="E632" s="135"/>
      <c r="F632" s="3"/>
      <c r="G632" s="96"/>
      <c r="H632" s="659">
        <f>H622-SUM(H618:H621)</f>
        <v>0</v>
      </c>
      <c r="I632" s="660">
        <f t="shared" ref="I632:R632" si="20">I622-SUM(I618:I621)</f>
        <v>0</v>
      </c>
      <c r="J632" s="660">
        <f t="shared" si="20"/>
        <v>0</v>
      </c>
      <c r="K632" s="660">
        <f t="shared" si="20"/>
        <v>0</v>
      </c>
      <c r="L632" s="660">
        <f t="shared" si="20"/>
        <v>0</v>
      </c>
      <c r="M632" s="660">
        <f t="shared" si="20"/>
        <v>0</v>
      </c>
      <c r="N632" s="660">
        <f t="shared" si="20"/>
        <v>0</v>
      </c>
      <c r="O632" s="660">
        <f t="shared" si="20"/>
        <v>0</v>
      </c>
      <c r="P632" s="660">
        <f t="shared" si="20"/>
        <v>0</v>
      </c>
      <c r="Q632" s="660">
        <f t="shared" si="20"/>
        <v>0</v>
      </c>
      <c r="R632" s="663">
        <f t="shared" si="20"/>
        <v>0</v>
      </c>
      <c r="S632" s="659">
        <f t="shared" ref="S632:U632" si="21">S622-SUM(S618:S621)</f>
        <v>0</v>
      </c>
      <c r="T632" s="3"/>
      <c r="U632" s="660">
        <f t="shared" si="21"/>
        <v>0</v>
      </c>
      <c r="V632" s="96"/>
      <c r="W632" s="3"/>
      <c r="X632" s="96"/>
      <c r="Y632" s="3"/>
      <c r="Z632" s="3"/>
      <c r="AA632" s="3"/>
      <c r="AB632" s="3"/>
      <c r="AC632" s="3"/>
    </row>
    <row r="633" spans="1:29" ht="11.25" customHeight="1" x14ac:dyDescent="0.25">
      <c r="A633" s="3"/>
      <c r="B633" s="568" t="s">
        <v>127</v>
      </c>
      <c r="C633" s="3"/>
      <c r="D633" s="3"/>
      <c r="E633" s="135"/>
      <c r="F633" s="3"/>
      <c r="G633" s="96"/>
      <c r="H633" s="659">
        <f>H622-H627-H629</f>
        <v>0</v>
      </c>
      <c r="I633" s="660">
        <f t="shared" ref="I633:U633" si="22">I622-I627-I629</f>
        <v>0</v>
      </c>
      <c r="J633" s="660">
        <f t="shared" si="22"/>
        <v>0</v>
      </c>
      <c r="K633" s="660">
        <f t="shared" si="22"/>
        <v>0</v>
      </c>
      <c r="L633" s="660">
        <f t="shared" si="22"/>
        <v>0</v>
      </c>
      <c r="M633" s="660">
        <f t="shared" si="22"/>
        <v>0</v>
      </c>
      <c r="N633" s="660">
        <f t="shared" si="22"/>
        <v>0</v>
      </c>
      <c r="O633" s="660">
        <f t="shared" si="22"/>
        <v>0</v>
      </c>
      <c r="P633" s="660">
        <f t="shared" si="22"/>
        <v>0</v>
      </c>
      <c r="Q633" s="660">
        <f t="shared" si="22"/>
        <v>0</v>
      </c>
      <c r="R633" s="663">
        <f t="shared" si="22"/>
        <v>0</v>
      </c>
      <c r="S633" s="659">
        <f t="shared" si="22"/>
        <v>0</v>
      </c>
      <c r="T633" s="571"/>
      <c r="U633" s="660">
        <f t="shared" si="22"/>
        <v>0</v>
      </c>
      <c r="V633" s="679"/>
      <c r="W633" s="660"/>
      <c r="X633" s="96"/>
      <c r="Y633" s="3"/>
      <c r="Z633" s="3"/>
      <c r="AA633" s="3"/>
      <c r="AB633" s="3"/>
      <c r="AC633" s="3"/>
    </row>
    <row r="634" spans="1:29" x14ac:dyDescent="0.2">
      <c r="A634" s="3"/>
      <c r="B634" s="568" t="s">
        <v>127</v>
      </c>
      <c r="C634" s="3"/>
      <c r="D634" s="3"/>
      <c r="E634" s="135"/>
      <c r="F634" s="3"/>
      <c r="G634" s="96"/>
      <c r="H634" s="659">
        <f>H621+H618-H627+H626-H631</f>
        <v>0</v>
      </c>
      <c r="I634" s="660">
        <f t="shared" ref="I634:S634" si="23">I621+I618-I627+I626-I631</f>
        <v>0</v>
      </c>
      <c r="J634" s="660">
        <f t="shared" si="23"/>
        <v>0</v>
      </c>
      <c r="K634" s="660">
        <f t="shared" si="23"/>
        <v>0</v>
      </c>
      <c r="L634" s="660">
        <f t="shared" si="23"/>
        <v>0</v>
      </c>
      <c r="M634" s="660">
        <f t="shared" si="23"/>
        <v>0</v>
      </c>
      <c r="N634" s="660">
        <f t="shared" si="23"/>
        <v>0</v>
      </c>
      <c r="O634" s="660">
        <f t="shared" si="23"/>
        <v>0</v>
      </c>
      <c r="P634" s="660">
        <f t="shared" si="23"/>
        <v>0</v>
      </c>
      <c r="Q634" s="660">
        <f t="shared" si="23"/>
        <v>-2.9802322387695313E-8</v>
      </c>
      <c r="R634" s="663">
        <f t="shared" si="23"/>
        <v>0</v>
      </c>
      <c r="S634" s="659">
        <f t="shared" si="23"/>
        <v>3.2782554626464844E-7</v>
      </c>
      <c r="T634" s="569"/>
      <c r="U634" s="660">
        <f>R631-H631-U631</f>
        <v>0</v>
      </c>
      <c r="V634" s="680">
        <f>R631/H631-1-V631</f>
        <v>0</v>
      </c>
      <c r="W634" s="3"/>
      <c r="X634" s="96"/>
      <c r="Y634" s="3"/>
      <c r="Z634" s="3"/>
      <c r="AA634" s="3"/>
      <c r="AB634" s="3"/>
      <c r="AC634" s="3"/>
    </row>
    <row r="635" spans="1:29" ht="12" x14ac:dyDescent="0.25">
      <c r="A635" s="3"/>
      <c r="B635" s="665" t="str">
        <f>'WK8 - LTFP'!C69</f>
        <v>SCENARIO 2: Base case -  no SV income or expenditure</v>
      </c>
      <c r="C635" s="79"/>
      <c r="D635" s="79"/>
      <c r="E635" s="563"/>
      <c r="F635" s="79"/>
      <c r="G635" s="564"/>
      <c r="H635" s="563"/>
      <c r="I635" s="79"/>
      <c r="J635" s="79"/>
      <c r="K635" s="79"/>
      <c r="L635" s="79"/>
      <c r="M635" s="79"/>
      <c r="N635" s="79"/>
      <c r="O635" s="79"/>
      <c r="P635" s="79"/>
      <c r="Q635" s="79"/>
      <c r="R635" s="564"/>
      <c r="S635" s="563"/>
      <c r="T635" s="79"/>
      <c r="U635" s="79"/>
      <c r="V635" s="564"/>
      <c r="W635" s="3"/>
      <c r="X635" s="96"/>
      <c r="Y635" s="3"/>
      <c r="Z635" s="3"/>
      <c r="AA635" s="3"/>
      <c r="AB635" s="3"/>
      <c r="AC635" s="3"/>
    </row>
    <row r="636" spans="1:29" x14ac:dyDescent="0.2">
      <c r="A636" s="3"/>
      <c r="B636" s="655" t="str">
        <f>'WK8 - LTFP'!C78</f>
        <v>Grants &amp; Contributions Op Purposes</v>
      </c>
      <c r="C636" s="3"/>
      <c r="D636" s="3"/>
      <c r="E636" s="135"/>
      <c r="F636" s="3"/>
      <c r="G636" s="96"/>
      <c r="H636" s="655">
        <f>'WK8 - LTFP'!F78</f>
        <v>12770693.92</v>
      </c>
      <c r="I636" s="656">
        <f>'WK8 - LTFP'!G78</f>
        <v>13217668.210000001</v>
      </c>
      <c r="J636" s="656">
        <f>'WK8 - LTFP'!H78</f>
        <v>13600980.630000001</v>
      </c>
      <c r="K636" s="656">
        <f>'WK8 - LTFP'!I78</f>
        <v>13981808.059999999</v>
      </c>
      <c r="L636" s="656">
        <f>'WK8 - LTFP'!J78</f>
        <v>14317371.470000003</v>
      </c>
      <c r="M636" s="656">
        <f>'WK8 - LTFP'!K78</f>
        <v>14660988.369999999</v>
      </c>
      <c r="N636" s="656">
        <f>'WK8 - LTFP'!L78</f>
        <v>15012852.100000001</v>
      </c>
      <c r="O636" s="656">
        <f>'WK8 - LTFP'!M78</f>
        <v>15373160.559999999</v>
      </c>
      <c r="P636" s="656">
        <f>'WK8 - LTFP'!N78</f>
        <v>15742116.439999998</v>
      </c>
      <c r="Q636" s="656">
        <f>'WK8 - LTFP'!O78</f>
        <v>16135669.369999999</v>
      </c>
      <c r="R636" s="657">
        <f>'WK8 - LTFP'!P78</f>
        <v>16539061.149999999</v>
      </c>
      <c r="S636" s="655">
        <f>'WK8 - LTFP'!Q78</f>
        <v>148581676.36000001</v>
      </c>
      <c r="T636" s="192"/>
      <c r="U636" s="656">
        <f>'WK8 - LTFP'!S78</f>
        <v>3768367.2299999986</v>
      </c>
      <c r="V636" s="674">
        <f>'WK8 - LTFP'!T78</f>
        <v>0.29507928493207508</v>
      </c>
      <c r="W636" s="660"/>
      <c r="X636" s="96"/>
      <c r="Y636" s="3"/>
      <c r="Z636" s="3"/>
      <c r="AA636" s="3"/>
      <c r="AB636" s="3"/>
      <c r="AC636" s="3"/>
    </row>
    <row r="637" spans="1:29" x14ac:dyDescent="0.2">
      <c r="A637" s="3"/>
      <c r="B637" s="655" t="str">
        <f>'WK8 - LTFP'!C79</f>
        <v>Grants &amp; Contributions Capital Purposes</v>
      </c>
      <c r="C637" s="3"/>
      <c r="D637" s="3"/>
      <c r="E637" s="135"/>
      <c r="F637" s="3"/>
      <c r="G637" s="96"/>
      <c r="H637" s="655">
        <f>'WK8 - LTFP'!F79</f>
        <v>8350000</v>
      </c>
      <c r="I637" s="656">
        <f>'WK8 - LTFP'!G79</f>
        <v>9327953</v>
      </c>
      <c r="J637" s="656">
        <f>'WK8 - LTFP'!H79</f>
        <v>9450563.6500000004</v>
      </c>
      <c r="K637" s="656">
        <f>'WK8 - LTFP'!I79</f>
        <v>9572379.4499999993</v>
      </c>
      <c r="L637" s="656">
        <f>'WK8 - LTFP'!J79</f>
        <v>58289716.539999999</v>
      </c>
      <c r="M637" s="656">
        <f>'WK8 - LTFP'!K79</f>
        <v>9789629.7399999984</v>
      </c>
      <c r="N637" s="656">
        <f>'WK8 - LTFP'!L79</f>
        <v>9902180.870000001</v>
      </c>
      <c r="O637" s="656">
        <f>'WK8 - LTFP'!M79</f>
        <v>10017433.199999999</v>
      </c>
      <c r="P637" s="656">
        <f>'WK8 - LTFP'!N79</f>
        <v>10135451.58</v>
      </c>
      <c r="Q637" s="656">
        <f>'WK8 - LTFP'!O79</f>
        <v>10261337.890000001</v>
      </c>
      <c r="R637" s="657">
        <f>'WK8 - LTFP'!P79</f>
        <v>10390371.34</v>
      </c>
      <c r="S637" s="655">
        <f>'WK8 - LTFP'!Q79</f>
        <v>147137017.26000002</v>
      </c>
      <c r="T637" s="192"/>
      <c r="U637" s="656">
        <f>'WK8 - LTFP'!S79</f>
        <v>2040371.3399999999</v>
      </c>
      <c r="V637" s="674">
        <f>'WK8 - LTFP'!T79</f>
        <v>0.24435584910179639</v>
      </c>
      <c r="W637" s="660"/>
      <c r="X637" s="96"/>
      <c r="Y637" s="3"/>
      <c r="Z637" s="3"/>
      <c r="AA637" s="3"/>
      <c r="AB637" s="3"/>
      <c r="AC637" s="3"/>
    </row>
    <row r="638" spans="1:29" x14ac:dyDescent="0.2">
      <c r="A638" s="3"/>
      <c r="B638" s="655" t="str">
        <f>B620</f>
        <v>Net gains from disposal of assets, Fair value gains &amp; Net gains from disposal of assets</v>
      </c>
      <c r="C638" s="3"/>
      <c r="D638" s="3"/>
      <c r="E638" s="135"/>
      <c r="F638" s="3"/>
      <c r="G638" s="96"/>
      <c r="H638" s="655">
        <f>SUM('WK8 - LTFP'!F82:F84)</f>
        <v>100000</v>
      </c>
      <c r="I638" s="656">
        <f>SUM('WK8 - LTFP'!G82:G84)</f>
        <v>103500</v>
      </c>
      <c r="J638" s="656">
        <f>SUM('WK8 - LTFP'!H82:H84)</f>
        <v>106501.5</v>
      </c>
      <c r="K638" s="656">
        <f>SUM('WK8 - LTFP'!I82:I84)</f>
        <v>109483.54</v>
      </c>
      <c r="L638" s="656">
        <f>SUM('WK8 - LTFP'!J82:J84)</f>
        <v>112111.14</v>
      </c>
      <c r="M638" s="656">
        <f>SUM('WK8 - LTFP'!K82:K84)</f>
        <v>114801.81</v>
      </c>
      <c r="N638" s="656">
        <f>SUM('WK8 - LTFP'!L82:L84)</f>
        <v>117557.05</v>
      </c>
      <c r="O638" s="656">
        <f>SUM('WK8 - LTFP'!M82:M84)</f>
        <v>120378.42</v>
      </c>
      <c r="P638" s="656">
        <f>SUM('WK8 - LTFP'!N82:N84)</f>
        <v>123267.5</v>
      </c>
      <c r="Q638" s="656">
        <f>SUM('WK8 - LTFP'!O82:O84)</f>
        <v>126349.19</v>
      </c>
      <c r="R638" s="657">
        <f>SUM('WK8 - LTFP'!P82:P84)</f>
        <v>129507.92</v>
      </c>
      <c r="S638" s="655">
        <f>SUM('WK8 - LTFP'!Q82:Q84)</f>
        <v>1163458.07</v>
      </c>
      <c r="T638" s="192"/>
      <c r="U638" s="656">
        <f>SUM('WK8 - LTFP'!S82:S84)</f>
        <v>29507.919999999998</v>
      </c>
      <c r="V638" s="674"/>
      <c r="W638" s="660"/>
      <c r="X638" s="96"/>
      <c r="Y638" s="3"/>
      <c r="Z638" s="3"/>
      <c r="AA638" s="3"/>
      <c r="AB638" s="3"/>
      <c r="AC638" s="3"/>
    </row>
    <row r="639" spans="1:29" x14ac:dyDescent="0.2">
      <c r="A639" s="3"/>
      <c r="B639" s="655" t="str">
        <f>B621</f>
        <v>All other income</v>
      </c>
      <c r="C639" s="3"/>
      <c r="D639" s="3"/>
      <c r="E639" s="135"/>
      <c r="F639" s="3"/>
      <c r="G639" s="96"/>
      <c r="H639" s="655">
        <f>SUM('WK8 - LTFP'!F74:F77,'WK8 - LTFP'!F80:F80)</f>
        <v>135098977.64000002</v>
      </c>
      <c r="I639" s="656">
        <f>SUM('WK8 - LTFP'!G74:G77,'WK8 - LTFP'!G80:G80)</f>
        <v>140517935.78000003</v>
      </c>
      <c r="J639" s="656">
        <f>SUM('WK8 - LTFP'!H74:H77,'WK8 - LTFP'!H80:H80)</f>
        <v>144294099.65000001</v>
      </c>
      <c r="K639" s="656">
        <f>SUM('WK8 - LTFP'!I74:I77,'WK8 - LTFP'!I80:I80)</f>
        <v>147155411.06625003</v>
      </c>
      <c r="L639" s="656">
        <f>SUM('WK8 - LTFP'!J74:J77,'WK8 - LTFP'!J80:J80)</f>
        <v>150773499.73065624</v>
      </c>
      <c r="M639" s="656">
        <f>SUM('WK8 - LTFP'!K74:K77,'WK8 - LTFP'!K80:K80)</f>
        <v>154448045.38592267</v>
      </c>
      <c r="N639" s="656">
        <f>SUM('WK8 - LTFP'!L74:L77,'WK8 - LTFP'!L80:L80)</f>
        <v>158156115.85557073</v>
      </c>
      <c r="O639" s="656">
        <f>SUM('WK8 - LTFP'!M74:M77,'WK8 - LTFP'!M80:M80)</f>
        <v>161980593.75395995</v>
      </c>
      <c r="P639" s="656">
        <f>SUM('WK8 - LTFP'!N74:N77,'WK8 - LTFP'!N80:N80)</f>
        <v>165895850.09630901</v>
      </c>
      <c r="Q639" s="656">
        <f>SUM('WK8 - LTFP'!O74:O77,'WK8 - LTFP'!O80:O80)</f>
        <v>169901022.55871671</v>
      </c>
      <c r="R639" s="657">
        <f>SUM('WK8 - LTFP'!P74:P77,'WK8 - LTFP'!P80:P80)</f>
        <v>174609624.68818459</v>
      </c>
      <c r="S639" s="655">
        <f>SUM('WK8 - LTFP'!Q74:Q77,'WK8 - LTFP'!Q80:Q80)</f>
        <v>1567732198.5655699</v>
      </c>
      <c r="T639" s="192"/>
      <c r="U639" s="656">
        <f>SUM('WK8 - LTFP'!S74:S77,'WK8 - LTFP'!S80:S80)</f>
        <v>39510647.048184596</v>
      </c>
      <c r="V639" s="674">
        <f>SUM('WK8 - LTFP'!T74:T77,'WK8 - LTFP'!T80:T80)</f>
        <v>0.67744336073854328</v>
      </c>
      <c r="W639" s="660"/>
      <c r="X639" s="96"/>
      <c r="Y639" s="3"/>
      <c r="Z639" s="3"/>
      <c r="AA639" s="3"/>
      <c r="AB639" s="3"/>
      <c r="AC639" s="3"/>
    </row>
    <row r="640" spans="1:29" x14ac:dyDescent="0.2">
      <c r="A640" s="3"/>
      <c r="B640" s="655" t="str">
        <f>'WK8 - LTFP'!C86</f>
        <v>Total Income Continuing Operations</v>
      </c>
      <c r="C640" s="3"/>
      <c r="D640" s="3"/>
      <c r="E640" s="135"/>
      <c r="F640" s="3"/>
      <c r="G640" s="96"/>
      <c r="H640" s="655">
        <f>'WK8 - LTFP'!F86</f>
        <v>156319671.56</v>
      </c>
      <c r="I640" s="656">
        <f>'WK8 - LTFP'!G86</f>
        <v>163167056.99000004</v>
      </c>
      <c r="J640" s="656">
        <f>'WK8 - LTFP'!H86</f>
        <v>167452145.43000001</v>
      </c>
      <c r="K640" s="656">
        <f>'WK8 - LTFP'!I86</f>
        <v>170819082.11625001</v>
      </c>
      <c r="L640" s="656">
        <f>'WK8 - LTFP'!J86</f>
        <v>223492698.88065621</v>
      </c>
      <c r="M640" s="656">
        <f>'WK8 - LTFP'!K86</f>
        <v>179013465.30592269</v>
      </c>
      <c r="N640" s="656">
        <f>'WK8 - LTFP'!L86</f>
        <v>183188705.87557074</v>
      </c>
      <c r="O640" s="656">
        <f>'WK8 - LTFP'!M86</f>
        <v>187491565.93395993</v>
      </c>
      <c r="P640" s="656">
        <f>'WK8 - LTFP'!N86</f>
        <v>191896685.61630902</v>
      </c>
      <c r="Q640" s="656">
        <f>'WK8 - LTFP'!O86</f>
        <v>196424379.0087167</v>
      </c>
      <c r="R640" s="657">
        <f>'WK8 - LTFP'!P86</f>
        <v>201668565.09818459</v>
      </c>
      <c r="S640" s="655">
        <f>'WK8 - LTFP'!Q86</f>
        <v>1864614350.2555699</v>
      </c>
      <c r="T640" s="192"/>
      <c r="U640" s="656">
        <f>'WK8 - LTFP'!S86</f>
        <v>45348893.538184583</v>
      </c>
      <c r="V640" s="674">
        <f>'WK8 - LTFP'!T86</f>
        <v>0.29010356205091159</v>
      </c>
      <c r="W640" s="660">
        <f t="shared" ref="W640:W649" si="24">R640-H640-U640</f>
        <v>0</v>
      </c>
      <c r="X640" s="96"/>
      <c r="Y640" s="3"/>
      <c r="Z640" s="3"/>
      <c r="AA640" s="3"/>
      <c r="AB640" s="3"/>
      <c r="AC640" s="3"/>
    </row>
    <row r="641" spans="1:29" ht="11.25" customHeight="1" x14ac:dyDescent="0.2">
      <c r="A641" s="3"/>
      <c r="B641" s="630" t="str">
        <f>'WK8 - LTFP'!C88</f>
        <v>Income excluding capital grants and contributions</v>
      </c>
      <c r="C641" s="3"/>
      <c r="D641" s="3"/>
      <c r="E641" s="135"/>
      <c r="F641" s="3"/>
      <c r="G641" s="96"/>
      <c r="H641" s="655">
        <f>'WK8 - LTFP'!F88</f>
        <v>147969671.56</v>
      </c>
      <c r="I641" s="656">
        <f>'WK8 - LTFP'!G88</f>
        <v>153839103.99000004</v>
      </c>
      <c r="J641" s="656">
        <f>'WK8 - LTFP'!H88</f>
        <v>158001581.78</v>
      </c>
      <c r="K641" s="656">
        <f>'WK8 - LTFP'!I88</f>
        <v>161246702.66625002</v>
      </c>
      <c r="L641" s="656">
        <f>'WK8 - LTFP'!J88</f>
        <v>165202982.34065622</v>
      </c>
      <c r="M641" s="656">
        <f>'WK8 - LTFP'!K88</f>
        <v>169223835.56592268</v>
      </c>
      <c r="N641" s="656">
        <f>'WK8 - LTFP'!L88</f>
        <v>173286525.00557074</v>
      </c>
      <c r="O641" s="656">
        <f>'WK8 - LTFP'!M88</f>
        <v>177474132.73395994</v>
      </c>
      <c r="P641" s="656">
        <f>'WK8 - LTFP'!N88</f>
        <v>181761234.036309</v>
      </c>
      <c r="Q641" s="656">
        <f>'WK8 - LTFP'!O88</f>
        <v>186163041.11871672</v>
      </c>
      <c r="R641" s="657">
        <f>'WK8 - LTFP'!P88</f>
        <v>191278193.75818458</v>
      </c>
      <c r="S641" s="655">
        <f>'WK8 - LTFP'!Q88</f>
        <v>1717477332.9955702</v>
      </c>
      <c r="T641" s="192"/>
      <c r="U641" s="656">
        <f>'WK8 - LTFP'!S88</f>
        <v>43308522.19818458</v>
      </c>
      <c r="V641" s="674">
        <f>'WK8 - LTFP'!T88</f>
        <v>0.29268512757780552</v>
      </c>
      <c r="W641" s="660">
        <f t="shared" si="24"/>
        <v>0</v>
      </c>
      <c r="X641" s="96"/>
      <c r="Y641" s="3"/>
      <c r="Z641" s="3"/>
      <c r="AA641" s="3"/>
      <c r="AB641" s="3"/>
      <c r="AC641" s="3"/>
    </row>
    <row r="642" spans="1:29" x14ac:dyDescent="0.2">
      <c r="A642" s="3"/>
      <c r="B642" s="630" t="str">
        <f>'WK8 - LTFP'!C90</f>
        <v>Income excluding capital grants and contributions, net gains from asset disposals, profit on joint ventures and fair value gains</v>
      </c>
      <c r="C642" s="3"/>
      <c r="D642" s="3"/>
      <c r="E642" s="135"/>
      <c r="F642" s="3"/>
      <c r="G642" s="96"/>
      <c r="H642" s="655">
        <f>'WK8 - LTFP'!F90</f>
        <v>147869671.56</v>
      </c>
      <c r="I642" s="656">
        <f>'WK8 - LTFP'!G90</f>
        <v>153735603.99000004</v>
      </c>
      <c r="J642" s="656">
        <f>'WK8 - LTFP'!H90</f>
        <v>157895080.28</v>
      </c>
      <c r="K642" s="656">
        <f>'WK8 - LTFP'!I90</f>
        <v>161137219.12625003</v>
      </c>
      <c r="L642" s="656">
        <f>'WK8 - LTFP'!J90</f>
        <v>165090871.20065624</v>
      </c>
      <c r="M642" s="656">
        <f>'WK8 - LTFP'!K90</f>
        <v>169109033.75592268</v>
      </c>
      <c r="N642" s="656">
        <f>'WK8 - LTFP'!L90</f>
        <v>173168967.95557073</v>
      </c>
      <c r="O642" s="656">
        <f>'WK8 - LTFP'!M90</f>
        <v>177353754.31395996</v>
      </c>
      <c r="P642" s="656">
        <f>'WK8 - LTFP'!N90</f>
        <v>181637966.536309</v>
      </c>
      <c r="Q642" s="656">
        <f>'WK8 - LTFP'!O90</f>
        <v>186036691.92871672</v>
      </c>
      <c r="R642" s="657">
        <f>'WK8 - LTFP'!P90</f>
        <v>191148685.8381846</v>
      </c>
      <c r="S642" s="655">
        <f>'WK8 - LTFP'!Q90</f>
        <v>1716313874.92557</v>
      </c>
      <c r="T642" s="192"/>
      <c r="U642" s="656">
        <f>'WK8 - LTFP'!S90</f>
        <v>43279014.278184593</v>
      </c>
      <c r="V642" s="674">
        <f>'WK8 - LTFP'!T90</f>
        <v>0.29268350853557945</v>
      </c>
      <c r="W642" s="660">
        <f t="shared" si="24"/>
        <v>0</v>
      </c>
      <c r="X642" s="96"/>
      <c r="Y642" s="3"/>
      <c r="Z642" s="3"/>
      <c r="AA642" s="3"/>
      <c r="AB642" s="3"/>
      <c r="AC642" s="3"/>
    </row>
    <row r="643" spans="1:29" x14ac:dyDescent="0.2">
      <c r="A643" s="3"/>
      <c r="B643" s="630"/>
      <c r="C643" s="3"/>
      <c r="D643" s="3"/>
      <c r="E643" s="135"/>
      <c r="F643" s="3"/>
      <c r="G643" s="96"/>
      <c r="H643" s="655"/>
      <c r="I643" s="656"/>
      <c r="J643" s="656"/>
      <c r="K643" s="656"/>
      <c r="L643" s="656"/>
      <c r="M643" s="656"/>
      <c r="N643" s="656"/>
      <c r="O643" s="656"/>
      <c r="P643" s="656"/>
      <c r="Q643" s="656"/>
      <c r="R643" s="657"/>
      <c r="S643" s="655"/>
      <c r="T643" s="192"/>
      <c r="U643" s="656"/>
      <c r="V643" s="674"/>
      <c r="W643" s="660"/>
      <c r="X643" s="96"/>
      <c r="Y643" s="3"/>
      <c r="Z643" s="3"/>
      <c r="AA643" s="3"/>
      <c r="AB643" s="3"/>
      <c r="AC643" s="3"/>
    </row>
    <row r="644" spans="1:29" x14ac:dyDescent="0.2">
      <c r="A644" s="3"/>
      <c r="B644" s="655" t="str">
        <f>B626</f>
        <v>Net loss from disposal of assets, Net loss on joint ventures &amp; Fair value losses</v>
      </c>
      <c r="C644" s="3"/>
      <c r="D644" s="3"/>
      <c r="E644" s="135"/>
      <c r="F644" s="3"/>
      <c r="G644" s="96"/>
      <c r="H644" s="655">
        <f>SUM('WK8 - LTFP'!F101:F103)</f>
        <v>0</v>
      </c>
      <c r="I644" s="656">
        <f>SUM('WK8 - LTFP'!G101:G103)</f>
        <v>0</v>
      </c>
      <c r="J644" s="656">
        <f>SUM('WK8 - LTFP'!H101:H103)</f>
        <v>0</v>
      </c>
      <c r="K644" s="656">
        <f>SUM('WK8 - LTFP'!I101:I103)</f>
        <v>0</v>
      </c>
      <c r="L644" s="656">
        <f>SUM('WK8 - LTFP'!J101:J103)</f>
        <v>0</v>
      </c>
      <c r="M644" s="656">
        <f>SUM('WK8 - LTFP'!K101:K103)</f>
        <v>0</v>
      </c>
      <c r="N644" s="656">
        <f>SUM('WK8 - LTFP'!L101:L103)</f>
        <v>0</v>
      </c>
      <c r="O644" s="656">
        <f>SUM('WK8 - LTFP'!M101:M103)</f>
        <v>0</v>
      </c>
      <c r="P644" s="656">
        <f>SUM('WK8 - LTFP'!N101:N103)</f>
        <v>0</v>
      </c>
      <c r="Q644" s="656">
        <f>SUM('WK8 - LTFP'!O101:O103)</f>
        <v>0</v>
      </c>
      <c r="R644" s="657">
        <f>SUM('WK8 - LTFP'!P101:P103)</f>
        <v>0</v>
      </c>
      <c r="S644" s="655">
        <f>SUM('WK8 - LTFP'!Q101:Q103)</f>
        <v>0</v>
      </c>
      <c r="T644" s="192"/>
      <c r="U644" s="656">
        <f>SUM('WK8 - LTFP'!S101:S103)</f>
        <v>0</v>
      </c>
      <c r="V644" s="674"/>
      <c r="W644" s="660"/>
      <c r="X644" s="96"/>
      <c r="Y644" s="3"/>
      <c r="Z644" s="3"/>
      <c r="AA644" s="3"/>
      <c r="AB644" s="3"/>
      <c r="AC644" s="3"/>
    </row>
    <row r="645" spans="1:29" x14ac:dyDescent="0.2">
      <c r="A645" s="3"/>
      <c r="B645" s="630" t="str">
        <f>'WK8 - LTFP'!C105</f>
        <v>Total expenses continuing operations</v>
      </c>
      <c r="C645" s="3"/>
      <c r="D645" s="3"/>
      <c r="E645" s="135"/>
      <c r="F645" s="3"/>
      <c r="G645" s="96"/>
      <c r="H645" s="655">
        <f>'WK8 - LTFP'!F105</f>
        <v>144415987.30000004</v>
      </c>
      <c r="I645" s="656">
        <f>'WK8 - LTFP'!G105</f>
        <v>150670617.43000007</v>
      </c>
      <c r="J645" s="656">
        <f>'WK8 - LTFP'!H105</f>
        <v>156319384.4199999</v>
      </c>
      <c r="K645" s="656">
        <f>'WK8 - LTFP'!I105</f>
        <v>162217622.69000003</v>
      </c>
      <c r="L645" s="656">
        <f>'WK8 - LTFP'!J105</f>
        <v>167417785.74999994</v>
      </c>
      <c r="M645" s="656">
        <f>'WK8 - LTFP'!K105</f>
        <v>173494077.65000004</v>
      </c>
      <c r="N645" s="656">
        <f>'WK8 - LTFP'!L105</f>
        <v>179267443.73999998</v>
      </c>
      <c r="O645" s="656">
        <f>'WK8 - LTFP'!M105</f>
        <v>182383553.97</v>
      </c>
      <c r="P645" s="656">
        <f>'WK8 - LTFP'!N105</f>
        <v>187896159.14999989</v>
      </c>
      <c r="Q645" s="656">
        <f>'WK8 - LTFP'!O105</f>
        <v>193517479.41000003</v>
      </c>
      <c r="R645" s="657">
        <f>'WK8 - LTFP'!P105</f>
        <v>200110413.43999997</v>
      </c>
      <c r="S645" s="655">
        <f>'WK8 - LTFP'!Q105</f>
        <v>1753294537.6500001</v>
      </c>
      <c r="T645" s="192"/>
      <c r="U645" s="656">
        <f>'WK8 - LTFP'!S105</f>
        <v>55694426.139999926</v>
      </c>
      <c r="V645" s="674">
        <f>'WK8 - LTFP'!T105</f>
        <v>0.38565277419254196</v>
      </c>
      <c r="W645" s="660">
        <f t="shared" si="24"/>
        <v>0</v>
      </c>
      <c r="X645" s="96"/>
      <c r="Y645" s="3"/>
      <c r="Z645" s="3"/>
      <c r="AA645" s="3"/>
      <c r="AB645" s="3"/>
      <c r="AC645" s="3"/>
    </row>
    <row r="646" spans="1:29" x14ac:dyDescent="0.2">
      <c r="A646" s="3"/>
      <c r="B646" s="630"/>
      <c r="C646" s="3"/>
      <c r="D646" s="3"/>
      <c r="E646" s="135"/>
      <c r="F646" s="3"/>
      <c r="G646" s="96"/>
      <c r="H646" s="655"/>
      <c r="I646" s="656"/>
      <c r="J646" s="656"/>
      <c r="K646" s="656"/>
      <c r="L646" s="656"/>
      <c r="M646" s="656"/>
      <c r="N646" s="656"/>
      <c r="O646" s="656"/>
      <c r="P646" s="656"/>
      <c r="Q646" s="656"/>
      <c r="R646" s="657"/>
      <c r="S646" s="655"/>
      <c r="T646" s="192"/>
      <c r="U646" s="656"/>
      <c r="V646" s="674"/>
      <c r="W646" s="660"/>
      <c r="X646" s="96"/>
      <c r="Y646" s="3"/>
      <c r="Z646" s="3"/>
      <c r="AA646" s="3"/>
      <c r="AB646" s="3"/>
      <c r="AC646" s="3"/>
    </row>
    <row r="647" spans="1:29" x14ac:dyDescent="0.2">
      <c r="A647" s="3"/>
      <c r="B647" s="662" t="str">
        <f>'WK8 - LTFP'!C111</f>
        <v>Operating result from continuing operations</v>
      </c>
      <c r="C647" s="3"/>
      <c r="D647" s="3"/>
      <c r="E647" s="135"/>
      <c r="F647" s="3"/>
      <c r="G647" s="96"/>
      <c r="H647" s="655">
        <f>'WK8 - LTFP'!F111</f>
        <v>11903684.259999961</v>
      </c>
      <c r="I647" s="656">
        <f>'WK8 - LTFP'!G111</f>
        <v>12496439.559999973</v>
      </c>
      <c r="J647" s="656">
        <f>'WK8 - LTFP'!H111</f>
        <v>11132761.01000011</v>
      </c>
      <c r="K647" s="656">
        <f>'WK8 - LTFP'!I111</f>
        <v>8601459.4262499809</v>
      </c>
      <c r="L647" s="656">
        <f>'WK8 - LTFP'!J111</f>
        <v>56074913.130656272</v>
      </c>
      <c r="M647" s="656">
        <f>'WK8 - LTFP'!K111</f>
        <v>5519387.6559226513</v>
      </c>
      <c r="N647" s="656">
        <f>'WK8 - LTFP'!L111</f>
        <v>3921262.1355707645</v>
      </c>
      <c r="O647" s="656">
        <f>'WK8 - LTFP'!M111</f>
        <v>5108011.9639599323</v>
      </c>
      <c r="P647" s="656">
        <f>'WK8 - LTFP'!N111</f>
        <v>4000526.4663091302</v>
      </c>
      <c r="Q647" s="656">
        <f>'WK8 - LTFP'!O111</f>
        <v>2906899.5987166762</v>
      </c>
      <c r="R647" s="657">
        <f>'WK8 - LTFP'!P111</f>
        <v>1558151.6581846178</v>
      </c>
      <c r="S647" s="655">
        <f>'WK8 - LTFP'!Q111</f>
        <v>111319812.60557011</v>
      </c>
      <c r="T647" s="192"/>
      <c r="U647" s="656">
        <f>'WK8 - LTFP'!S111</f>
        <v>-10345532.601815343</v>
      </c>
      <c r="V647" s="674">
        <f>'WK8 - LTFP'!T111</f>
        <v>-0.86910341167057947</v>
      </c>
      <c r="W647" s="660">
        <f t="shared" si="24"/>
        <v>0</v>
      </c>
      <c r="X647" s="96"/>
      <c r="Y647" s="3"/>
      <c r="Z647" s="3"/>
      <c r="AA647" s="3"/>
      <c r="AB647" s="3"/>
      <c r="AC647" s="3"/>
    </row>
    <row r="648" spans="1:29" x14ac:dyDescent="0.2">
      <c r="A648" s="3"/>
      <c r="B648" s="662" t="str">
        <f>'WK8 - LTFP'!C112</f>
        <v>Net operating result before capital grants &amp; contributions</v>
      </c>
      <c r="C648" s="3"/>
      <c r="D648" s="3"/>
      <c r="E648" s="135"/>
      <c r="F648" s="3"/>
      <c r="G648" s="96"/>
      <c r="H648" s="655">
        <f>'WK8 - LTFP'!F112</f>
        <v>3553684.2599999607</v>
      </c>
      <c r="I648" s="656">
        <f>'WK8 - LTFP'!G112</f>
        <v>3168486.5599999726</v>
      </c>
      <c r="J648" s="656">
        <f>'WK8 - LTFP'!H112</f>
        <v>1682197.3600001037</v>
      </c>
      <c r="K648" s="656">
        <f>'WK8 - LTFP'!I112</f>
        <v>-970920.02375000715</v>
      </c>
      <c r="L648" s="656">
        <f>'WK8 - LTFP'!J112</f>
        <v>-2214803.4093437195</v>
      </c>
      <c r="M648" s="656">
        <f>'WK8 - LTFP'!K112</f>
        <v>-4270242.0840773582</v>
      </c>
      <c r="N648" s="656">
        <f>'WK8 - LTFP'!L112</f>
        <v>-5980918.7344292402</v>
      </c>
      <c r="O648" s="656">
        <f>'WK8 - LTFP'!M112</f>
        <v>-4909421.2360400558</v>
      </c>
      <c r="P648" s="656">
        <f>'WK8 - LTFP'!N112</f>
        <v>-6134925.1136908829</v>
      </c>
      <c r="Q648" s="656">
        <f>'WK8 - LTFP'!O112</f>
        <v>-7354438.2912833095</v>
      </c>
      <c r="R648" s="657">
        <f>'WK8 - LTFP'!P112</f>
        <v>-8832219.6818153858</v>
      </c>
      <c r="S648" s="655">
        <f>'WK8 - LTFP'!Q112</f>
        <v>-35817204.654429883</v>
      </c>
      <c r="T648" s="192"/>
      <c r="U648" s="656">
        <f>'WK8 - LTFP'!S112</f>
        <v>-12385903.941815346</v>
      </c>
      <c r="V648" s="674">
        <f>'WK8 - LTFP'!T112</f>
        <v>-3.4853698403176323</v>
      </c>
      <c r="W648" s="660"/>
      <c r="X648" s="96"/>
      <c r="Y648" s="3"/>
      <c r="Z648" s="3"/>
      <c r="AA648" s="3"/>
      <c r="AB648" s="3"/>
      <c r="AC648" s="3"/>
    </row>
    <row r="649" spans="1:29" ht="12" x14ac:dyDescent="0.25">
      <c r="A649" s="3"/>
      <c r="B649" s="675" t="str">
        <f>'WK8 - LTFP'!C113</f>
        <v>Net operating result before capital grants &amp; contributions, gains/losses on asset disposals, gains/losses on joint ventures and fair value adjustments</v>
      </c>
      <c r="C649" s="3"/>
      <c r="D649" s="3"/>
      <c r="E649" s="135"/>
      <c r="F649" s="3"/>
      <c r="G649" s="96"/>
      <c r="H649" s="676">
        <f>'WK8 - LTFP'!F113</f>
        <v>3453684.2599999607</v>
      </c>
      <c r="I649" s="677">
        <f>'WK8 - LTFP'!G113</f>
        <v>3064986.5599999726</v>
      </c>
      <c r="J649" s="677">
        <f>'WK8 - LTFP'!H113</f>
        <v>1575695.8600001037</v>
      </c>
      <c r="K649" s="677">
        <f>'WK8 - LTFP'!I113</f>
        <v>-1080403.5637499988</v>
      </c>
      <c r="L649" s="677">
        <f>'WK8 - LTFP'!J113</f>
        <v>-2326914.5493437052</v>
      </c>
      <c r="M649" s="677">
        <f>'WK8 - LTFP'!K113</f>
        <v>-4385043.8940773606</v>
      </c>
      <c r="N649" s="677">
        <f>'WK8 - LTFP'!L113</f>
        <v>-6098475.7844292521</v>
      </c>
      <c r="O649" s="677">
        <f>'WK8 - LTFP'!M113</f>
        <v>-5029799.6560400426</v>
      </c>
      <c r="P649" s="677">
        <f>'WK8 - LTFP'!N113</f>
        <v>-6258192.6136908829</v>
      </c>
      <c r="Q649" s="677">
        <f>'WK8 - LTFP'!O113</f>
        <v>-7480787.4812833071</v>
      </c>
      <c r="R649" s="678">
        <f>'WK8 - LTFP'!P113</f>
        <v>-8961727.6018153727</v>
      </c>
      <c r="S649" s="676">
        <f>'WK8 - LTFP'!Q113</f>
        <v>-36980662.724429846</v>
      </c>
      <c r="T649" s="571"/>
      <c r="U649" s="677">
        <f>'WK8 - LTFP'!S113</f>
        <v>-12415411.861815333</v>
      </c>
      <c r="V649" s="679">
        <f>'WK8 - LTFP'!T113</f>
        <v>-3.5948311794476182</v>
      </c>
      <c r="W649" s="660">
        <f t="shared" si="24"/>
        <v>0</v>
      </c>
      <c r="X649" s="96"/>
      <c r="Y649" s="3"/>
      <c r="Z649" s="3"/>
      <c r="AA649" s="3"/>
      <c r="AB649" s="3"/>
      <c r="AC649" s="3"/>
    </row>
    <row r="650" spans="1:29" x14ac:dyDescent="0.2">
      <c r="A650" s="3"/>
      <c r="B650" s="568" t="s">
        <v>127</v>
      </c>
      <c r="C650" s="3"/>
      <c r="D650" s="3"/>
      <c r="E650" s="135"/>
      <c r="F650" s="3"/>
      <c r="G650" s="96"/>
      <c r="H650" s="659">
        <f t="shared" ref="H650:S650" si="25">H640-SUM(H636:H639)</f>
        <v>0</v>
      </c>
      <c r="I650" s="660">
        <f t="shared" si="25"/>
        <v>0</v>
      </c>
      <c r="J650" s="660">
        <f t="shared" si="25"/>
        <v>0</v>
      </c>
      <c r="K650" s="660">
        <f t="shared" si="25"/>
        <v>0</v>
      </c>
      <c r="L650" s="660">
        <f t="shared" si="25"/>
        <v>0</v>
      </c>
      <c r="M650" s="660">
        <f t="shared" si="25"/>
        <v>0</v>
      </c>
      <c r="N650" s="660">
        <f t="shared" si="25"/>
        <v>0</v>
      </c>
      <c r="O650" s="660">
        <f t="shared" si="25"/>
        <v>0</v>
      </c>
      <c r="P650" s="660">
        <f t="shared" si="25"/>
        <v>0</v>
      </c>
      <c r="Q650" s="660">
        <f t="shared" si="25"/>
        <v>0</v>
      </c>
      <c r="R650" s="663">
        <f t="shared" si="25"/>
        <v>0</v>
      </c>
      <c r="S650" s="659">
        <f t="shared" si="25"/>
        <v>0</v>
      </c>
      <c r="T650" s="3"/>
      <c r="U650" s="660">
        <f>U640-SUM(U636:U639)</f>
        <v>0</v>
      </c>
      <c r="V650" s="96"/>
      <c r="W650" s="3"/>
      <c r="X650" s="96"/>
      <c r="Y650" s="3"/>
      <c r="Z650" s="3"/>
      <c r="AA650" s="3"/>
      <c r="AB650" s="3"/>
      <c r="AC650" s="3"/>
    </row>
    <row r="651" spans="1:29" ht="12" x14ac:dyDescent="0.25">
      <c r="A651" s="3"/>
      <c r="B651" s="568" t="s">
        <v>127</v>
      </c>
      <c r="C651" s="3"/>
      <c r="D651" s="3"/>
      <c r="E651" s="135"/>
      <c r="F651" s="3"/>
      <c r="G651" s="96"/>
      <c r="H651" s="659">
        <f t="shared" ref="H651:S651" si="26">H640-H645-H647</f>
        <v>0</v>
      </c>
      <c r="I651" s="660">
        <f t="shared" si="26"/>
        <v>0</v>
      </c>
      <c r="J651" s="660">
        <f t="shared" si="26"/>
        <v>0</v>
      </c>
      <c r="K651" s="660">
        <f t="shared" si="26"/>
        <v>0</v>
      </c>
      <c r="L651" s="660">
        <f t="shared" si="26"/>
        <v>0</v>
      </c>
      <c r="M651" s="660">
        <f t="shared" si="26"/>
        <v>0</v>
      </c>
      <c r="N651" s="660">
        <f t="shared" si="26"/>
        <v>0</v>
      </c>
      <c r="O651" s="660">
        <f t="shared" si="26"/>
        <v>0</v>
      </c>
      <c r="P651" s="660">
        <f t="shared" si="26"/>
        <v>0</v>
      </c>
      <c r="Q651" s="660">
        <f t="shared" si="26"/>
        <v>0</v>
      </c>
      <c r="R651" s="663">
        <f t="shared" si="26"/>
        <v>0</v>
      </c>
      <c r="S651" s="659">
        <f t="shared" si="26"/>
        <v>-2.6822090148925781E-7</v>
      </c>
      <c r="T651" s="571"/>
      <c r="U651" s="660">
        <f>U640-U645-U647</f>
        <v>0</v>
      </c>
      <c r="V651" s="679"/>
      <c r="W651" s="3"/>
      <c r="X651" s="96"/>
      <c r="Y651" s="3"/>
      <c r="Z651" s="3"/>
      <c r="AA651" s="3"/>
      <c r="AB651" s="3"/>
      <c r="AC651" s="3"/>
    </row>
    <row r="652" spans="1:29" x14ac:dyDescent="0.2">
      <c r="A652" s="3"/>
      <c r="B652" s="568" t="s">
        <v>127</v>
      </c>
      <c r="C652" s="3"/>
      <c r="D652" s="3"/>
      <c r="E652" s="135"/>
      <c r="F652" s="3"/>
      <c r="G652" s="96"/>
      <c r="H652" s="659">
        <f t="shared" ref="H652:S652" si="27">H639+H636-H645+H644-H649</f>
        <v>0</v>
      </c>
      <c r="I652" s="660">
        <f t="shared" si="27"/>
        <v>0</v>
      </c>
      <c r="J652" s="660">
        <f t="shared" si="27"/>
        <v>0</v>
      </c>
      <c r="K652" s="660">
        <f t="shared" si="27"/>
        <v>0</v>
      </c>
      <c r="L652" s="660">
        <f t="shared" si="27"/>
        <v>0</v>
      </c>
      <c r="M652" s="660">
        <f t="shared" si="27"/>
        <v>0</v>
      </c>
      <c r="N652" s="660">
        <f t="shared" si="27"/>
        <v>0</v>
      </c>
      <c r="O652" s="660">
        <f t="shared" si="27"/>
        <v>0</v>
      </c>
      <c r="P652" s="660">
        <f t="shared" si="27"/>
        <v>0</v>
      </c>
      <c r="Q652" s="660">
        <f t="shared" si="27"/>
        <v>0</v>
      </c>
      <c r="R652" s="663">
        <f t="shared" si="27"/>
        <v>0</v>
      </c>
      <c r="S652" s="659">
        <f t="shared" si="27"/>
        <v>-2.384185791015625E-7</v>
      </c>
      <c r="T652" s="569"/>
      <c r="U652" s="660">
        <f>R649-H649-U649</f>
        <v>0</v>
      </c>
      <c r="V652" s="680">
        <f>R649/H649-1-V649</f>
        <v>0</v>
      </c>
      <c r="W652" s="3"/>
      <c r="X652" s="96"/>
      <c r="Y652" s="3"/>
      <c r="Z652" s="3"/>
      <c r="AA652" s="3"/>
      <c r="AB652" s="3"/>
      <c r="AC652" s="3"/>
    </row>
    <row r="653" spans="1:29" ht="12" x14ac:dyDescent="0.25">
      <c r="A653" s="3"/>
      <c r="B653" s="665" t="str">
        <f>'WK8 - LTFP'!C122</f>
        <v xml:space="preserve">SCENARIO 3: Hybrid case  - SV expenditure but no SV income </v>
      </c>
      <c r="C653" s="79"/>
      <c r="D653" s="79"/>
      <c r="E653" s="563"/>
      <c r="F653" s="79"/>
      <c r="G653" s="564"/>
      <c r="H653" s="563"/>
      <c r="I653" s="79"/>
      <c r="J653" s="79"/>
      <c r="K653" s="79"/>
      <c r="L653" s="79"/>
      <c r="M653" s="79"/>
      <c r="N653" s="79"/>
      <c r="O653" s="79"/>
      <c r="P653" s="79"/>
      <c r="Q653" s="79"/>
      <c r="R653" s="564"/>
      <c r="S653" s="563"/>
      <c r="T653" s="79"/>
      <c r="U653" s="79"/>
      <c r="V653" s="564"/>
      <c r="W653" s="3"/>
      <c r="X653" s="96"/>
      <c r="Y653" s="3"/>
      <c r="Z653" s="3"/>
      <c r="AA653" s="3"/>
      <c r="AB653" s="3"/>
      <c r="AC653" s="3"/>
    </row>
    <row r="654" spans="1:29" x14ac:dyDescent="0.2">
      <c r="A654" s="3"/>
      <c r="B654" s="655" t="str">
        <f>'WK8 - LTFP'!C139</f>
        <v>Total Income Continuing Operations</v>
      </c>
      <c r="C654" s="3"/>
      <c r="D654" s="3"/>
      <c r="E654" s="135"/>
      <c r="F654" s="3"/>
      <c r="G654" s="96"/>
      <c r="H654" s="655">
        <f>'WK8 - LTFP'!F139</f>
        <v>156319671.56</v>
      </c>
      <c r="I654" s="656">
        <f>'WK8 - LTFP'!G139</f>
        <v>163167056.99000004</v>
      </c>
      <c r="J654" s="656">
        <f>'WK8 - LTFP'!H139</f>
        <v>167452145.43000001</v>
      </c>
      <c r="K654" s="656">
        <f>'WK8 - LTFP'!I139</f>
        <v>170819082.11625001</v>
      </c>
      <c r="L654" s="656">
        <f>'WK8 - LTFP'!J139</f>
        <v>223492698.88065621</v>
      </c>
      <c r="M654" s="656">
        <f>'WK8 - LTFP'!K139</f>
        <v>179013465.30592269</v>
      </c>
      <c r="N654" s="656">
        <f>'WK8 - LTFP'!L139</f>
        <v>183188705.87557074</v>
      </c>
      <c r="O654" s="656">
        <f>'WK8 - LTFP'!M139</f>
        <v>187491565.93395993</v>
      </c>
      <c r="P654" s="656">
        <f>'WK8 - LTFP'!N139</f>
        <v>191896685.61630902</v>
      </c>
      <c r="Q654" s="656">
        <f>'WK8 - LTFP'!O139</f>
        <v>196424379.0087167</v>
      </c>
      <c r="R654" s="657">
        <f>'WK8 - LTFP'!P139</f>
        <v>201668565.09818459</v>
      </c>
      <c r="S654" s="655">
        <f>'WK8 - LTFP'!Q139</f>
        <v>1864614350.2555699</v>
      </c>
      <c r="T654" s="192"/>
      <c r="U654" s="656">
        <f>'WK8 - LTFP'!S139</f>
        <v>45348893.538184583</v>
      </c>
      <c r="V654" s="674">
        <f>'WK8 - LTFP'!T139</f>
        <v>0.29010356205091159</v>
      </c>
      <c r="W654" s="660">
        <f>R654-H654-U654</f>
        <v>0</v>
      </c>
      <c r="X654" s="96"/>
      <c r="Y654" s="3"/>
      <c r="Z654" s="3"/>
      <c r="AA654" s="3"/>
      <c r="AB654" s="3"/>
      <c r="AC654" s="3"/>
    </row>
    <row r="655" spans="1:29" x14ac:dyDescent="0.2">
      <c r="A655" s="3"/>
      <c r="B655" s="630" t="str">
        <f>'WK8 - LTFP'!C141</f>
        <v>Income excluding capital grants and contributions</v>
      </c>
      <c r="C655" s="3"/>
      <c r="D655" s="3"/>
      <c r="E655" s="135"/>
      <c r="F655" s="3"/>
      <c r="G655" s="96"/>
      <c r="H655" s="655">
        <f>'WK8 - LTFP'!F141</f>
        <v>147969671.56</v>
      </c>
      <c r="I655" s="656">
        <f>'WK8 - LTFP'!G141</f>
        <v>153839103.99000004</v>
      </c>
      <c r="J655" s="656">
        <f>'WK8 - LTFP'!H141</f>
        <v>158001581.78</v>
      </c>
      <c r="K655" s="656">
        <f>'WK8 - LTFP'!I141</f>
        <v>161246702.66625002</v>
      </c>
      <c r="L655" s="656">
        <f>'WK8 - LTFP'!J141</f>
        <v>165202982.34065622</v>
      </c>
      <c r="M655" s="656">
        <f>'WK8 - LTFP'!K141</f>
        <v>169223835.56592268</v>
      </c>
      <c r="N655" s="656">
        <f>'WK8 - LTFP'!L141</f>
        <v>173286525.00557074</v>
      </c>
      <c r="O655" s="656">
        <f>'WK8 - LTFP'!M141</f>
        <v>177474132.73395994</v>
      </c>
      <c r="P655" s="656">
        <f>'WK8 - LTFP'!N141</f>
        <v>181761234.036309</v>
      </c>
      <c r="Q655" s="656">
        <f>'WK8 - LTFP'!O141</f>
        <v>186163041.11871672</v>
      </c>
      <c r="R655" s="657">
        <f>'WK8 - LTFP'!P141</f>
        <v>191278193.75818458</v>
      </c>
      <c r="S655" s="655">
        <f>'WK8 - LTFP'!Q141</f>
        <v>1717477332.9955702</v>
      </c>
      <c r="T655" s="192"/>
      <c r="U655" s="656">
        <f>'WK8 - LTFP'!S141</f>
        <v>43308522.19818458</v>
      </c>
      <c r="V655" s="674">
        <f>'WK8 - LTFP'!T141</f>
        <v>0.29268512757780552</v>
      </c>
      <c r="W655" s="660">
        <f>R655-H655-U655</f>
        <v>0</v>
      </c>
      <c r="X655" s="567"/>
      <c r="Y655" s="3"/>
      <c r="Z655" s="3"/>
      <c r="AA655" s="3"/>
      <c r="AB655" s="3"/>
      <c r="AC655" s="3"/>
    </row>
    <row r="656" spans="1:29" x14ac:dyDescent="0.2">
      <c r="A656" s="3"/>
      <c r="B656" s="630" t="str">
        <f>'WK8 - LTFP'!C143</f>
        <v>Income excluding capital grants and contributions, net gains from asset disposals, profit on joint ventures and fair value gains</v>
      </c>
      <c r="C656" s="3"/>
      <c r="D656" s="3"/>
      <c r="E656" s="135"/>
      <c r="F656" s="3"/>
      <c r="G656" s="96"/>
      <c r="H656" s="655">
        <f>'WK8 - LTFP'!F143</f>
        <v>147869671.56</v>
      </c>
      <c r="I656" s="656">
        <f>'WK8 - LTFP'!G143</f>
        <v>153735603.99000004</v>
      </c>
      <c r="J656" s="656">
        <f>'WK8 - LTFP'!H143</f>
        <v>157895080.28</v>
      </c>
      <c r="K656" s="656">
        <f>'WK8 - LTFP'!I143</f>
        <v>161137219.12625003</v>
      </c>
      <c r="L656" s="656">
        <f>'WK8 - LTFP'!J143</f>
        <v>165090871.20065624</v>
      </c>
      <c r="M656" s="656">
        <f>'WK8 - LTFP'!K143</f>
        <v>169109033.75592268</v>
      </c>
      <c r="N656" s="656">
        <f>'WK8 - LTFP'!L143</f>
        <v>173168967.95557073</v>
      </c>
      <c r="O656" s="656">
        <f>'WK8 - LTFP'!M143</f>
        <v>177353754.31395996</v>
      </c>
      <c r="P656" s="656">
        <f>'WK8 - LTFP'!N143</f>
        <v>181637966.536309</v>
      </c>
      <c r="Q656" s="656">
        <f>'WK8 - LTFP'!O143</f>
        <v>186036691.92871672</v>
      </c>
      <c r="R656" s="657">
        <f>'WK8 - LTFP'!P143</f>
        <v>191148685.8381846</v>
      </c>
      <c r="S656" s="655">
        <f>'WK8 - LTFP'!Q143</f>
        <v>1716313874.92557</v>
      </c>
      <c r="T656" s="192"/>
      <c r="U656" s="656">
        <f>'WK8 - LTFP'!S143</f>
        <v>43279014.278184593</v>
      </c>
      <c r="V656" s="674">
        <f>'WK8 - LTFP'!T143</f>
        <v>0.29268350853557945</v>
      </c>
      <c r="W656" s="660">
        <f>R656-H656-U656</f>
        <v>0</v>
      </c>
      <c r="X656" s="96"/>
      <c r="Y656" s="3"/>
      <c r="Z656" s="3"/>
      <c r="AA656" s="3"/>
      <c r="AB656" s="3"/>
      <c r="AC656" s="3"/>
    </row>
    <row r="657" spans="1:29" x14ac:dyDescent="0.2">
      <c r="A657" s="3"/>
      <c r="B657" s="630"/>
      <c r="C657" s="3"/>
      <c r="D657" s="3"/>
      <c r="E657" s="135"/>
      <c r="F657" s="3"/>
      <c r="G657" s="96"/>
      <c r="H657" s="655"/>
      <c r="I657" s="656"/>
      <c r="J657" s="656"/>
      <c r="K657" s="656"/>
      <c r="L657" s="656"/>
      <c r="M657" s="656"/>
      <c r="N657" s="656"/>
      <c r="O657" s="656"/>
      <c r="P657" s="656"/>
      <c r="Q657" s="656"/>
      <c r="R657" s="657"/>
      <c r="S657" s="655"/>
      <c r="T657" s="192"/>
      <c r="U657" s="656"/>
      <c r="V657" s="674"/>
      <c r="W657" s="660"/>
      <c r="X657" s="96"/>
      <c r="Y657" s="3"/>
      <c r="Z657" s="3"/>
      <c r="AA657" s="3"/>
      <c r="AB657" s="3"/>
      <c r="AC657" s="3"/>
    </row>
    <row r="658" spans="1:29" ht="11.25" customHeight="1" x14ac:dyDescent="0.2">
      <c r="A658" s="3"/>
      <c r="B658" s="630" t="str">
        <f>'WK8 - LTFP'!C158</f>
        <v>Total expenses continuing operations</v>
      </c>
      <c r="C658" s="3"/>
      <c r="D658" s="3"/>
      <c r="E658" s="135"/>
      <c r="F658" s="3"/>
      <c r="G658" s="96"/>
      <c r="H658" s="655">
        <f>'WK8 - LTFP'!F158</f>
        <v>144415987.30000004</v>
      </c>
      <c r="I658" s="656">
        <f>'WK8 - LTFP'!G158</f>
        <v>152291785.43000007</v>
      </c>
      <c r="J658" s="656">
        <f>'WK8 - LTFP'!H158</f>
        <v>158073207.4199999</v>
      </c>
      <c r="K658" s="656">
        <f>'WK8 - LTFP'!I158</f>
        <v>164119104.94</v>
      </c>
      <c r="L658" s="656">
        <f>'WK8 - LTFP'!J158</f>
        <v>169432065.05999994</v>
      </c>
      <c r="M658" s="656">
        <f>'WK8 - LTFP'!K158</f>
        <v>175339396.48000002</v>
      </c>
      <c r="N658" s="656">
        <f>'WK8 - LTFP'!L158</f>
        <v>181162142.50999996</v>
      </c>
      <c r="O658" s="656">
        <f>'WK8 - LTFP'!M158</f>
        <v>184330101.67999998</v>
      </c>
      <c r="P658" s="656">
        <f>'WK8 - LTFP'!N158</f>
        <v>189647148.24999991</v>
      </c>
      <c r="Q658" s="656">
        <f>'WK8 - LTFP'!O158</f>
        <v>195325631.96000004</v>
      </c>
      <c r="R658" s="657">
        <f>'WK8 - LTFP'!P158</f>
        <v>201978587.61999997</v>
      </c>
      <c r="S658" s="655">
        <f>'WK8 - LTFP'!Q158</f>
        <v>1771699171.3499999</v>
      </c>
      <c r="T658" s="192"/>
      <c r="U658" s="656">
        <f>'WK8 - LTFP'!S158</f>
        <v>57562600.319999933</v>
      </c>
      <c r="V658" s="674">
        <f>'WK8 - LTFP'!T158</f>
        <v>0.39858883629291864</v>
      </c>
      <c r="W658" s="660">
        <f t="shared" ref="W658:W662" si="28">R658-H658-U658</f>
        <v>0</v>
      </c>
      <c r="X658" s="96"/>
      <c r="Y658" s="3"/>
      <c r="Z658" s="3"/>
      <c r="AA658" s="3"/>
      <c r="AB658" s="3"/>
      <c r="AC658" s="3"/>
    </row>
    <row r="659" spans="1:29" x14ac:dyDescent="0.2">
      <c r="A659" s="3"/>
      <c r="B659" s="630"/>
      <c r="C659" s="3"/>
      <c r="D659" s="3"/>
      <c r="E659" s="135"/>
      <c r="F659" s="3"/>
      <c r="G659" s="96"/>
      <c r="H659" s="655"/>
      <c r="I659" s="656"/>
      <c r="J659" s="656"/>
      <c r="K659" s="656"/>
      <c r="L659" s="656"/>
      <c r="M659" s="656"/>
      <c r="N659" s="656"/>
      <c r="O659" s="656"/>
      <c r="P659" s="656"/>
      <c r="Q659" s="656"/>
      <c r="R659" s="657"/>
      <c r="S659" s="655"/>
      <c r="T659" s="192"/>
      <c r="U659" s="656"/>
      <c r="V659" s="674"/>
      <c r="W659" s="660"/>
      <c r="X659" s="96"/>
      <c r="Y659" s="3"/>
      <c r="Z659" s="3"/>
      <c r="AA659" s="3"/>
      <c r="AB659" s="3"/>
      <c r="AC659" s="3"/>
    </row>
    <row r="660" spans="1:29" x14ac:dyDescent="0.2">
      <c r="A660" s="3"/>
      <c r="B660" s="662" t="str">
        <f>'WK8 - LTFP'!C164</f>
        <v>Operating result from continuing operations</v>
      </c>
      <c r="C660" s="3"/>
      <c r="D660" s="3"/>
      <c r="E660" s="135"/>
      <c r="F660" s="3"/>
      <c r="G660" s="96"/>
      <c r="H660" s="655">
        <f>'WK8 - LTFP'!F164</f>
        <v>11903684.259999961</v>
      </c>
      <c r="I660" s="656">
        <f>'WK8 - LTFP'!G164</f>
        <v>10875271.559999973</v>
      </c>
      <c r="J660" s="656">
        <f>'WK8 - LTFP'!H164</f>
        <v>9378938.0100001097</v>
      </c>
      <c r="K660" s="656">
        <f>'WK8 - LTFP'!I164</f>
        <v>6699977.1762500107</v>
      </c>
      <c r="L660" s="656">
        <f>'WK8 - LTFP'!J164</f>
        <v>54060633.82065627</v>
      </c>
      <c r="M660" s="656">
        <f>'WK8 - LTFP'!K164</f>
        <v>3674068.825922668</v>
      </c>
      <c r="N660" s="656">
        <f>'WK8 - LTFP'!L164</f>
        <v>2026563.3655707836</v>
      </c>
      <c r="O660" s="656">
        <f>'WK8 - LTFP'!M164</f>
        <v>3161464.2539599538</v>
      </c>
      <c r="P660" s="656">
        <f>'WK8 - LTFP'!N164</f>
        <v>2249537.3663091063</v>
      </c>
      <c r="Q660" s="656">
        <f>'WK8 - LTFP'!O164</f>
        <v>1098747.0487166643</v>
      </c>
      <c r="R660" s="657">
        <f>'WK8 - LTFP'!P164</f>
        <v>-310022.52181538939</v>
      </c>
      <c r="S660" s="655">
        <f>'WK8 - LTFP'!Q164</f>
        <v>92915178.905570149</v>
      </c>
      <c r="T660" s="192"/>
      <c r="U660" s="656">
        <f>'WK8 - LTFP'!S164</f>
        <v>-12213706.78181535</v>
      </c>
      <c r="V660" s="674">
        <f>'WK8 - LTFP'!T164</f>
        <v>-1.0260442494142052</v>
      </c>
      <c r="W660" s="660">
        <f t="shared" si="28"/>
        <v>0</v>
      </c>
      <c r="X660" s="96"/>
      <c r="Y660" s="3"/>
      <c r="Z660" s="3"/>
      <c r="AA660" s="3"/>
      <c r="AB660" s="3"/>
      <c r="AC660" s="3"/>
    </row>
    <row r="661" spans="1:29" x14ac:dyDescent="0.2">
      <c r="A661" s="3"/>
      <c r="B661" s="662" t="str">
        <f>'WK8 - LTFP'!C165</f>
        <v>Net operating result before capital grants &amp; contributions</v>
      </c>
      <c r="C661" s="3"/>
      <c r="D661" s="3"/>
      <c r="E661" s="135"/>
      <c r="F661" s="3"/>
      <c r="G661" s="96"/>
      <c r="H661" s="655">
        <f>'WK8 - LTFP'!F165</f>
        <v>3553684.2599999607</v>
      </c>
      <c r="I661" s="656">
        <f>'WK8 - LTFP'!G165</f>
        <v>1547318.5599999726</v>
      </c>
      <c r="J661" s="656">
        <f>'WK8 - LTFP'!H165</f>
        <v>-71625.639999896288</v>
      </c>
      <c r="K661" s="656">
        <f>'WK8 - LTFP'!I165</f>
        <v>-2872402.2737499774</v>
      </c>
      <c r="L661" s="656">
        <f>'WK8 - LTFP'!J165</f>
        <v>-4229082.7193437219</v>
      </c>
      <c r="M661" s="656">
        <f>'WK8 - LTFP'!K165</f>
        <v>-6115560.9140773416</v>
      </c>
      <c r="N661" s="656">
        <f>'WK8 - LTFP'!L165</f>
        <v>-7875617.5044292212</v>
      </c>
      <c r="O661" s="656">
        <f>'WK8 - LTFP'!M165</f>
        <v>-6855968.9460400343</v>
      </c>
      <c r="P661" s="656">
        <f>'WK8 - LTFP'!N165</f>
        <v>-7885914.2136909068</v>
      </c>
      <c r="Q661" s="656">
        <f>'WK8 - LTFP'!O165</f>
        <v>-9162590.8412833214</v>
      </c>
      <c r="R661" s="657">
        <f>'WK8 - LTFP'!P165</f>
        <v>-10700393.861815393</v>
      </c>
      <c r="S661" s="655">
        <f>'WK8 - LTFP'!Q165</f>
        <v>-54221838.354429841</v>
      </c>
      <c r="T661" s="192"/>
      <c r="U661" s="656">
        <f>'WK8 - LTFP'!S165</f>
        <v>-14254078.121815354</v>
      </c>
      <c r="V661" s="674">
        <f>'WK8 - LTFP'!T165</f>
        <v>-4.0110705056885134</v>
      </c>
      <c r="W661" s="660"/>
      <c r="X661" s="96"/>
      <c r="Y661" s="3"/>
      <c r="Z661" s="3"/>
      <c r="AA661" s="3"/>
      <c r="AB661" s="3"/>
      <c r="AC661" s="3"/>
    </row>
    <row r="662" spans="1:29" ht="12" x14ac:dyDescent="0.25">
      <c r="A662" s="3"/>
      <c r="B662" s="675" t="str">
        <f>'WK8 - LTFP'!C166</f>
        <v>Net operating result before capital grants &amp; contributions, gains/losses on asset disposals, gains/losses on joint ventures and fair value adjustments</v>
      </c>
      <c r="C662" s="3"/>
      <c r="D662" s="3"/>
      <c r="E662" s="135"/>
      <c r="F662" s="3"/>
      <c r="G662" s="96"/>
      <c r="H662" s="676">
        <f>'WK8 - LTFP'!F166</f>
        <v>3453684.2599999607</v>
      </c>
      <c r="I662" s="677">
        <f>'WK8 - LTFP'!G166</f>
        <v>1443818.5599999726</v>
      </c>
      <c r="J662" s="677">
        <f>'WK8 - LTFP'!H166</f>
        <v>-178127.13999989629</v>
      </c>
      <c r="K662" s="677">
        <f>'WK8 - LTFP'!I166</f>
        <v>-2981885.813749969</v>
      </c>
      <c r="L662" s="677">
        <f>'WK8 - LTFP'!J166</f>
        <v>-4341193.8593437076</v>
      </c>
      <c r="M662" s="677">
        <f>'WK8 - LTFP'!K166</f>
        <v>-6230362.7240773439</v>
      </c>
      <c r="N662" s="677">
        <f>'WK8 - LTFP'!L166</f>
        <v>-7993174.5544292331</v>
      </c>
      <c r="O662" s="677">
        <f>'WK8 - LTFP'!M166</f>
        <v>-6976347.3660400212</v>
      </c>
      <c r="P662" s="677">
        <f>'WK8 - LTFP'!N166</f>
        <v>-8009181.7136909068</v>
      </c>
      <c r="Q662" s="677">
        <f>'WK8 - LTFP'!O166</f>
        <v>-9288940.031283319</v>
      </c>
      <c r="R662" s="678">
        <f>'WK8 - LTFP'!P166</f>
        <v>-10829901.78181538</v>
      </c>
      <c r="S662" s="676">
        <f>'WK8 - LTFP'!Q166</f>
        <v>-55385296.424429804</v>
      </c>
      <c r="T662" s="571"/>
      <c r="U662" s="677">
        <f>'WK8 - LTFP'!S166</f>
        <v>-14283586.041815341</v>
      </c>
      <c r="V662" s="679">
        <f>'WK8 - LTFP'!T166</f>
        <v>-4.1357532902603849</v>
      </c>
      <c r="W662" s="660">
        <f t="shared" si="28"/>
        <v>0</v>
      </c>
      <c r="X662" s="96"/>
      <c r="Y662" s="3"/>
      <c r="Z662" s="3"/>
      <c r="AA662" s="3"/>
      <c r="AB662" s="3"/>
      <c r="AC662" s="3"/>
    </row>
    <row r="663" spans="1:29" x14ac:dyDescent="0.2">
      <c r="A663" s="3"/>
      <c r="B663" s="568" t="s">
        <v>127</v>
      </c>
      <c r="C663" s="3"/>
      <c r="D663" s="3"/>
      <c r="E663" s="135"/>
      <c r="F663" s="3"/>
      <c r="G663" s="96"/>
      <c r="H663" s="659">
        <f>H656-H658-H662+H626</f>
        <v>0</v>
      </c>
      <c r="I663" s="660">
        <f t="shared" ref="I663:S663" si="29">I656-I658-I662+I626</f>
        <v>0</v>
      </c>
      <c r="J663" s="660">
        <f t="shared" si="29"/>
        <v>0</v>
      </c>
      <c r="K663" s="660">
        <f t="shared" si="29"/>
        <v>0</v>
      </c>
      <c r="L663" s="660">
        <f t="shared" si="29"/>
        <v>0</v>
      </c>
      <c r="M663" s="660">
        <f t="shared" si="29"/>
        <v>0</v>
      </c>
      <c r="N663" s="660">
        <f t="shared" si="29"/>
        <v>0</v>
      </c>
      <c r="O663" s="660">
        <f t="shared" si="29"/>
        <v>0</v>
      </c>
      <c r="P663" s="660">
        <f t="shared" si="29"/>
        <v>0</v>
      </c>
      <c r="Q663" s="660">
        <f t="shared" si="29"/>
        <v>0</v>
      </c>
      <c r="R663" s="660">
        <f t="shared" si="29"/>
        <v>0</v>
      </c>
      <c r="S663" s="659">
        <f t="shared" si="29"/>
        <v>-8.9406967163085938E-8</v>
      </c>
      <c r="T663" s="569"/>
      <c r="U663" s="660">
        <f>R662-H662-U662</f>
        <v>0</v>
      </c>
      <c r="V663" s="680">
        <f>R662/H662-1-V662</f>
        <v>0</v>
      </c>
      <c r="W663" s="3"/>
      <c r="X663" s="96"/>
      <c r="Y663" s="3"/>
      <c r="Z663" s="3"/>
      <c r="AA663" s="3"/>
      <c r="AB663" s="3"/>
      <c r="AC663" s="3"/>
    </row>
    <row r="664" spans="1:29" x14ac:dyDescent="0.2">
      <c r="A664" s="3"/>
      <c r="B664" s="135"/>
      <c r="C664" s="3"/>
      <c r="D664" s="3"/>
      <c r="E664" s="135"/>
      <c r="F664" s="3"/>
      <c r="G664" s="96"/>
      <c r="H664" s="248"/>
      <c r="I664" s="192"/>
      <c r="J664" s="192"/>
      <c r="K664" s="192"/>
      <c r="L664" s="192"/>
      <c r="M664" s="192"/>
      <c r="N664" s="192"/>
      <c r="O664" s="192"/>
      <c r="P664" s="192"/>
      <c r="Q664" s="192"/>
      <c r="R664" s="192"/>
      <c r="S664" s="248"/>
      <c r="T664" s="192"/>
      <c r="U664" s="192"/>
      <c r="V664" s="257"/>
      <c r="W664" s="569"/>
      <c r="X664" s="96"/>
      <c r="Y664" s="3"/>
      <c r="Z664" s="3"/>
      <c r="AA664" s="3"/>
      <c r="AB664" s="3"/>
      <c r="AC664" s="3"/>
    </row>
    <row r="665" spans="1:29" ht="12" x14ac:dyDescent="0.25">
      <c r="A665" s="3"/>
      <c r="B665" s="665" t="str">
        <f>'WK8 - LTFP'!C175</f>
        <v>Difference between Scenario 1 (with proposed SV income and expenditure) and Scenario 2 (base case - no SV income or expenditure)</v>
      </c>
      <c r="C665" s="79"/>
      <c r="D665" s="79"/>
      <c r="E665" s="563"/>
      <c r="F665" s="79"/>
      <c r="G665" s="564"/>
      <c r="H665" s="563"/>
      <c r="I665" s="79"/>
      <c r="J665" s="79"/>
      <c r="K665" s="79"/>
      <c r="L665" s="79"/>
      <c r="M665" s="79"/>
      <c r="N665" s="79"/>
      <c r="O665" s="79"/>
      <c r="P665" s="79"/>
      <c r="Q665" s="79"/>
      <c r="R665" s="79"/>
      <c r="S665" s="563"/>
      <c r="T665" s="79"/>
      <c r="U665" s="79"/>
      <c r="V665" s="564"/>
      <c r="W665" s="3"/>
      <c r="X665" s="96"/>
      <c r="Y665" s="3"/>
      <c r="Z665" s="3"/>
      <c r="AA665" s="3"/>
      <c r="AB665" s="3"/>
      <c r="AC665" s="3"/>
    </row>
    <row r="666" spans="1:29" x14ac:dyDescent="0.2">
      <c r="A666" s="3"/>
      <c r="B666" s="655" t="str">
        <f>'WK8 - LTFP'!C192</f>
        <v>Total Income Continuing Operations</v>
      </c>
      <c r="C666" s="3"/>
      <c r="D666" s="3"/>
      <c r="E666" s="135"/>
      <c r="F666" s="3"/>
      <c r="G666" s="96"/>
      <c r="H666" s="655">
        <f>'WK8 - LTFP'!F192</f>
        <v>0</v>
      </c>
      <c r="I666" s="656">
        <f>'WK8 - LTFP'!G192</f>
        <v>3462604.8799999654</v>
      </c>
      <c r="J666" s="656">
        <f>'WK8 - LTFP'!H192</f>
        <v>6850688.4899999201</v>
      </c>
      <c r="K666" s="656">
        <f>'WK8 - LTFP'!I192</f>
        <v>10129129.859999925</v>
      </c>
      <c r="L666" s="656">
        <f>'WK8 - LTFP'!J192</f>
        <v>13187495.740000039</v>
      </c>
      <c r="M666" s="656">
        <f>'WK8 - LTFP'!K192</f>
        <v>13517183.130000025</v>
      </c>
      <c r="N666" s="656">
        <f>'WK8 - LTFP'!L192</f>
        <v>13855112.669999957</v>
      </c>
      <c r="O666" s="656">
        <f>'WK8 - LTFP'!M192</f>
        <v>14201490.540000051</v>
      </c>
      <c r="P666" s="656">
        <f>'WK8 - LTFP'!N192</f>
        <v>14556527.789999962</v>
      </c>
      <c r="Q666" s="656">
        <f>'WK8 - LTFP'!O192</f>
        <v>14920440.960000038</v>
      </c>
      <c r="R666" s="656">
        <f>'WK8 - LTFP'!P192</f>
        <v>15386591.310000062</v>
      </c>
      <c r="S666" s="655">
        <f>'WK8 - LTFP'!Q192</f>
        <v>120067265.36999989</v>
      </c>
      <c r="T666" s="192"/>
      <c r="U666" s="192"/>
      <c r="V666" s="257"/>
      <c r="W666" s="569"/>
      <c r="X666" s="96"/>
      <c r="Y666" s="3"/>
      <c r="Z666" s="3"/>
      <c r="AA666" s="3"/>
      <c r="AB666" s="3"/>
      <c r="AC666" s="3"/>
    </row>
    <row r="667" spans="1:29" x14ac:dyDescent="0.2">
      <c r="A667" s="3"/>
      <c r="B667" s="630" t="str">
        <f>'WK8 - LTFP'!C196</f>
        <v>Income excluding capital grants and contributions, net gains from asset disposals, profit on joint ventures and fair value gains</v>
      </c>
      <c r="C667" s="3"/>
      <c r="D667" s="3"/>
      <c r="E667" s="135"/>
      <c r="F667" s="3"/>
      <c r="G667" s="96"/>
      <c r="H667" s="655">
        <f>'WK8 - LTFP'!F196</f>
        <v>0</v>
      </c>
      <c r="I667" s="656">
        <f>'WK8 - LTFP'!G196</f>
        <v>3462604.8799999654</v>
      </c>
      <c r="J667" s="656">
        <f>'WK8 - LTFP'!H196</f>
        <v>6850688.4899999201</v>
      </c>
      <c r="K667" s="656">
        <f>'WK8 - LTFP'!I196</f>
        <v>10129129.859999925</v>
      </c>
      <c r="L667" s="656">
        <f>'WK8 - LTFP'!J196</f>
        <v>13187495.740000039</v>
      </c>
      <c r="M667" s="656">
        <f>'WK8 - LTFP'!K196</f>
        <v>13517183.130000025</v>
      </c>
      <c r="N667" s="656">
        <f>'WK8 - LTFP'!L196</f>
        <v>13855112.669999957</v>
      </c>
      <c r="O667" s="656">
        <f>'WK8 - LTFP'!M196</f>
        <v>14201490.540000051</v>
      </c>
      <c r="P667" s="656">
        <f>'WK8 - LTFP'!N196</f>
        <v>14556527.789999962</v>
      </c>
      <c r="Q667" s="656">
        <f>'WK8 - LTFP'!O196</f>
        <v>14920440.960000038</v>
      </c>
      <c r="R667" s="656">
        <f>'WK8 - LTFP'!P196</f>
        <v>15386591.310000062</v>
      </c>
      <c r="S667" s="655">
        <f>'WK8 - LTFP'!Q196</f>
        <v>120067265.36999989</v>
      </c>
      <c r="T667" s="192"/>
      <c r="U667" s="192"/>
      <c r="V667" s="257"/>
      <c r="W667" s="569"/>
      <c r="X667" s="96"/>
      <c r="Y667" s="3"/>
      <c r="Z667" s="3"/>
      <c r="AA667" s="3"/>
      <c r="AB667" s="3"/>
      <c r="AC667" s="3"/>
    </row>
    <row r="668" spans="1:29" x14ac:dyDescent="0.2">
      <c r="A668" s="3"/>
      <c r="B668" s="630" t="str">
        <f>'WK8 - LTFP'!C211</f>
        <v>Total expenses continuing operations</v>
      </c>
      <c r="C668" s="3"/>
      <c r="D668" s="3"/>
      <c r="E668" s="135"/>
      <c r="F668" s="3"/>
      <c r="G668" s="96"/>
      <c r="H668" s="655">
        <f>'WK8 - LTFP'!F211</f>
        <v>0</v>
      </c>
      <c r="I668" s="656">
        <f>'WK8 - LTFP'!G211</f>
        <v>1621168</v>
      </c>
      <c r="J668" s="656">
        <f>'WK8 - LTFP'!H211</f>
        <v>1753823</v>
      </c>
      <c r="K668" s="656">
        <f>'WK8 - LTFP'!I211</f>
        <v>1901482.2499999702</v>
      </c>
      <c r="L668" s="656">
        <f>'WK8 - LTFP'!J211</f>
        <v>2014279.3100000024</v>
      </c>
      <c r="M668" s="656">
        <f>'WK8 - LTFP'!K211</f>
        <v>1845318.8299999833</v>
      </c>
      <c r="N668" s="656">
        <f>'WK8 - LTFP'!L211</f>
        <v>1894698.7699999809</v>
      </c>
      <c r="O668" s="656">
        <f>'WK8 - LTFP'!M211</f>
        <v>1946547.7099999785</v>
      </c>
      <c r="P668" s="656">
        <f>'WK8 - LTFP'!N211</f>
        <v>1750989.1000000238</v>
      </c>
      <c r="Q668" s="656">
        <f>'WK8 - LTFP'!O211</f>
        <v>1808152.5500000119</v>
      </c>
      <c r="R668" s="656">
        <f>'WK8 - LTFP'!P211</f>
        <v>1868174.1800000072</v>
      </c>
      <c r="S668" s="655">
        <f>'WK8 - LTFP'!Q211</f>
        <v>18404633.699999809</v>
      </c>
      <c r="T668" s="192"/>
      <c r="U668" s="192"/>
      <c r="V668" s="257"/>
      <c r="W668" s="569"/>
      <c r="X668" s="96"/>
      <c r="Y668" s="3"/>
      <c r="Z668" s="3"/>
      <c r="AA668" s="3"/>
      <c r="AB668" s="3"/>
      <c r="AC668" s="3"/>
    </row>
    <row r="669" spans="1:29" x14ac:dyDescent="0.2">
      <c r="A669" s="3"/>
      <c r="B669" s="662" t="str">
        <f>'WK8 - LTFP'!C215</f>
        <v>Operating result from continuing operations</v>
      </c>
      <c r="C669" s="3"/>
      <c r="D669" s="3"/>
      <c r="E669" s="135"/>
      <c r="F669" s="3"/>
      <c r="G669" s="96"/>
      <c r="H669" s="655">
        <f>'WK8 - LTFP'!F215</f>
        <v>0</v>
      </c>
      <c r="I669" s="656">
        <f>'WK8 - LTFP'!G215</f>
        <v>1841436.8799999654</v>
      </c>
      <c r="J669" s="656">
        <f>'WK8 - LTFP'!H215</f>
        <v>5096865.4899999201</v>
      </c>
      <c r="K669" s="656">
        <f>'WK8 - LTFP'!I215</f>
        <v>8227647.6099999547</v>
      </c>
      <c r="L669" s="656">
        <f>'WK8 - LTFP'!J215</f>
        <v>11173216.430000037</v>
      </c>
      <c r="M669" s="656">
        <f>'WK8 - LTFP'!K215</f>
        <v>11671864.300000042</v>
      </c>
      <c r="N669" s="656">
        <f>'WK8 - LTFP'!L215</f>
        <v>11960413.899999976</v>
      </c>
      <c r="O669" s="656">
        <f>'WK8 - LTFP'!M215</f>
        <v>12254942.830000073</v>
      </c>
      <c r="P669" s="656">
        <f>'WK8 - LTFP'!N215</f>
        <v>12805538.689999938</v>
      </c>
      <c r="Q669" s="656">
        <f>'WK8 - LTFP'!O215</f>
        <v>13112288.410000026</v>
      </c>
      <c r="R669" s="656">
        <f>'WK8 - LTFP'!P215</f>
        <v>13518417.130000055</v>
      </c>
      <c r="S669" s="655">
        <f>'WK8 - LTFP'!Q215</f>
        <v>101662631.66999999</v>
      </c>
      <c r="T669" s="192"/>
      <c r="U669" s="192"/>
      <c r="V669" s="257"/>
      <c r="W669" s="569"/>
      <c r="X669" s="96"/>
      <c r="Y669" s="3"/>
      <c r="Z669" s="3"/>
      <c r="AA669" s="3"/>
      <c r="AB669" s="3"/>
      <c r="AC669" s="3"/>
    </row>
    <row r="670" spans="1:29" ht="12" x14ac:dyDescent="0.25">
      <c r="B670" s="675" t="str">
        <f>'WK8 - LTFP'!C217</f>
        <v>Net operating result before capital grants &amp; contributions, gains/losses on asset disposals, gains/losses on joint ventures and fair value adjustments</v>
      </c>
      <c r="C670" s="3"/>
      <c r="D670" s="3"/>
      <c r="E670" s="135"/>
      <c r="F670" s="3"/>
      <c r="G670" s="96"/>
      <c r="H670" s="676">
        <f>'WK8 - LTFP'!F217</f>
        <v>0</v>
      </c>
      <c r="I670" s="677">
        <f>'WK8 - LTFP'!G217</f>
        <v>1841436.8799999654</v>
      </c>
      <c r="J670" s="677">
        <f>'WK8 - LTFP'!H217</f>
        <v>5096865.4899999201</v>
      </c>
      <c r="K670" s="677">
        <f>'WK8 - LTFP'!I217</f>
        <v>8227647.6099999547</v>
      </c>
      <c r="L670" s="677">
        <f>'WK8 - LTFP'!J217</f>
        <v>11173216.430000037</v>
      </c>
      <c r="M670" s="677">
        <f>'WK8 - LTFP'!K217</f>
        <v>11671864.300000042</v>
      </c>
      <c r="N670" s="677">
        <f>'WK8 - LTFP'!L217</f>
        <v>11960413.899999976</v>
      </c>
      <c r="O670" s="677">
        <f>'WK8 - LTFP'!M217</f>
        <v>12254942.830000073</v>
      </c>
      <c r="P670" s="677">
        <f>'WK8 - LTFP'!N217</f>
        <v>12805538.689999938</v>
      </c>
      <c r="Q670" s="677">
        <f>'WK8 - LTFP'!O217</f>
        <v>13112288.410000026</v>
      </c>
      <c r="R670" s="677">
        <f>'WK8 - LTFP'!P217</f>
        <v>13518417.130000055</v>
      </c>
      <c r="S670" s="676">
        <f>'WK8 - LTFP'!Q217</f>
        <v>101662631.66999999</v>
      </c>
      <c r="T670" s="192"/>
      <c r="U670" s="192"/>
      <c r="V670" s="257"/>
      <c r="W670" s="569"/>
      <c r="X670" s="96"/>
      <c r="Y670" s="3"/>
      <c r="Z670" s="3"/>
      <c r="AA670" s="3"/>
      <c r="AB670" s="3"/>
      <c r="AC670" s="3"/>
    </row>
    <row r="671" spans="1:29" x14ac:dyDescent="0.2">
      <c r="A671" s="3"/>
      <c r="B671" s="568" t="s">
        <v>127</v>
      </c>
      <c r="C671" s="3"/>
      <c r="D671" s="3"/>
      <c r="E671" s="135"/>
      <c r="F671" s="3"/>
      <c r="G671" s="96"/>
      <c r="H671" s="660">
        <f t="shared" ref="H671:S671" si="30">H624-H642-H666</f>
        <v>0</v>
      </c>
      <c r="I671" s="660">
        <f t="shared" si="30"/>
        <v>0</v>
      </c>
      <c r="J671" s="660">
        <f t="shared" si="30"/>
        <v>0</v>
      </c>
      <c r="K671" s="660">
        <f t="shared" si="30"/>
        <v>0</v>
      </c>
      <c r="L671" s="660">
        <f t="shared" si="30"/>
        <v>0</v>
      </c>
      <c r="M671" s="660">
        <f t="shared" si="30"/>
        <v>0</v>
      </c>
      <c r="N671" s="660">
        <f t="shared" si="30"/>
        <v>0</v>
      </c>
      <c r="O671" s="660">
        <f t="shared" si="30"/>
        <v>0</v>
      </c>
      <c r="P671" s="660">
        <f t="shared" si="30"/>
        <v>0</v>
      </c>
      <c r="Q671" s="660">
        <f t="shared" si="30"/>
        <v>0</v>
      </c>
      <c r="R671" s="660">
        <f t="shared" si="30"/>
        <v>0</v>
      </c>
      <c r="S671" s="659">
        <f t="shared" si="30"/>
        <v>0</v>
      </c>
      <c r="T671" s="569"/>
      <c r="U671" s="569"/>
      <c r="V671" s="572"/>
      <c r="W671" s="3"/>
      <c r="X671" s="96"/>
      <c r="Y671" s="3"/>
      <c r="Z671" s="3"/>
      <c r="AA671" s="3"/>
      <c r="AB671" s="3"/>
      <c r="AC671" s="3"/>
    </row>
    <row r="672" spans="1:29" x14ac:dyDescent="0.2">
      <c r="A672" s="3"/>
      <c r="B672" s="568" t="s">
        <v>127</v>
      </c>
      <c r="C672" s="3"/>
      <c r="D672" s="3"/>
      <c r="E672" s="135"/>
      <c r="F672" s="3"/>
      <c r="G672" s="96"/>
      <c r="H672" s="660">
        <f t="shared" ref="H672:S672" si="31">H631-H649-H670</f>
        <v>0</v>
      </c>
      <c r="I672" s="660">
        <f t="shared" si="31"/>
        <v>0</v>
      </c>
      <c r="J672" s="660">
        <f t="shared" si="31"/>
        <v>0</v>
      </c>
      <c r="K672" s="660">
        <f t="shared" si="31"/>
        <v>0</v>
      </c>
      <c r="L672" s="660">
        <f t="shared" si="31"/>
        <v>0</v>
      </c>
      <c r="M672" s="660">
        <f t="shared" si="31"/>
        <v>0</v>
      </c>
      <c r="N672" s="660">
        <f t="shared" si="31"/>
        <v>0</v>
      </c>
      <c r="O672" s="660">
        <f t="shared" si="31"/>
        <v>0</v>
      </c>
      <c r="P672" s="660">
        <f t="shared" si="31"/>
        <v>0</v>
      </c>
      <c r="Q672" s="660">
        <f t="shared" si="31"/>
        <v>0</v>
      </c>
      <c r="R672" s="660">
        <f t="shared" si="31"/>
        <v>0</v>
      </c>
      <c r="S672" s="659">
        <f t="shared" si="31"/>
        <v>0</v>
      </c>
      <c r="T672" s="569"/>
      <c r="U672" s="569"/>
      <c r="V672" s="572"/>
      <c r="W672" s="3"/>
      <c r="X672" s="96"/>
      <c r="Y672" s="3"/>
      <c r="Z672" s="3"/>
      <c r="AA672" s="3"/>
      <c r="AB672" s="3"/>
      <c r="AC672" s="3"/>
    </row>
    <row r="673" spans="1:29" x14ac:dyDescent="0.2">
      <c r="A673" s="3"/>
      <c r="B673" s="97"/>
      <c r="C673" s="93"/>
      <c r="D673" s="93"/>
      <c r="E673" s="97"/>
      <c r="F673" s="93"/>
      <c r="G673" s="98"/>
      <c r="H673" s="97"/>
      <c r="I673" s="93"/>
      <c r="J673" s="93"/>
      <c r="K673" s="93"/>
      <c r="L673" s="93"/>
      <c r="M673" s="93"/>
      <c r="N673" s="93"/>
      <c r="O673" s="93"/>
      <c r="P673" s="93"/>
      <c r="Q673" s="93"/>
      <c r="R673" s="98"/>
      <c r="S673" s="97"/>
      <c r="T673" s="93"/>
      <c r="U673" s="93"/>
      <c r="V673" s="98"/>
      <c r="W673" s="93"/>
      <c r="X673" s="98"/>
      <c r="Y673" s="3"/>
      <c r="Z673" s="3"/>
      <c r="AA673" s="3"/>
      <c r="AB673" s="3"/>
      <c r="AC673" s="3"/>
    </row>
    <row r="674" spans="1:29" ht="12" x14ac:dyDescent="0.25">
      <c r="A674" s="3"/>
      <c r="B674" s="1199"/>
      <c r="C674" s="815"/>
      <c r="D674" s="815"/>
      <c r="E674" s="1205"/>
      <c r="F674" s="928"/>
      <c r="G674" s="929"/>
      <c r="H674" s="815"/>
      <c r="I674" s="815"/>
      <c r="J674" s="815"/>
      <c r="K674" s="815"/>
      <c r="L674" s="815"/>
      <c r="M674" s="815"/>
      <c r="N674" s="815"/>
      <c r="O674" s="815"/>
      <c r="P674" s="815"/>
      <c r="Q674" s="815"/>
      <c r="R674" s="918"/>
      <c r="S674" s="1199"/>
      <c r="T674" s="815"/>
      <c r="U674" s="815"/>
      <c r="V674" s="815"/>
      <c r="W674" s="1199"/>
      <c r="X674" s="918"/>
      <c r="Y674" s="3"/>
      <c r="Z674" s="3"/>
      <c r="AA674" s="3"/>
      <c r="AB674" s="3"/>
      <c r="AC674" s="3"/>
    </row>
    <row r="675" spans="1:29" ht="12" x14ac:dyDescent="0.25">
      <c r="A675" s="3"/>
      <c r="B675" s="665" t="str">
        <f>'WK8 - LTFP'!C226</f>
        <v>Key assumptions</v>
      </c>
      <c r="C675" s="932" t="str">
        <f>'WK8 - LTFP'!D231</f>
        <v>% pa</v>
      </c>
      <c r="D675" s="79"/>
      <c r="E675" s="563"/>
      <c r="F675" s="79"/>
      <c r="G675" s="564"/>
      <c r="H675" s="79"/>
      <c r="I675" s="79"/>
      <c r="J675" s="79"/>
      <c r="K675" s="79"/>
      <c r="L675" s="79"/>
      <c r="M675" s="79"/>
      <c r="N675" s="79"/>
      <c r="O675" s="79"/>
      <c r="P675" s="79"/>
      <c r="Q675" s="79"/>
      <c r="R675" s="564"/>
      <c r="S675" s="135"/>
      <c r="T675" s="3"/>
      <c r="U675" s="3"/>
      <c r="V675" s="3"/>
      <c r="W675" s="135"/>
      <c r="X675" s="96"/>
      <c r="Y675" s="3"/>
      <c r="Z675" s="3"/>
      <c r="AA675" s="3"/>
      <c r="AB675" s="3"/>
      <c r="AC675" s="3"/>
    </row>
    <row r="676" spans="1:29" ht="12" x14ac:dyDescent="0.25">
      <c r="A676" s="3"/>
      <c r="B676" s="253"/>
      <c r="C676" s="2"/>
      <c r="D676" s="3"/>
      <c r="E676" s="253"/>
      <c r="F676" s="2"/>
      <c r="G676" s="92"/>
      <c r="H676" s="3"/>
      <c r="I676" s="3"/>
      <c r="J676" s="3"/>
      <c r="K676" s="3"/>
      <c r="L676" s="3"/>
      <c r="M676" s="3"/>
      <c r="N676" s="3"/>
      <c r="O676" s="3"/>
      <c r="P676" s="3"/>
      <c r="Q676" s="3"/>
      <c r="R676" s="96"/>
      <c r="S676" s="135"/>
      <c r="T676" s="3"/>
      <c r="U676" s="3"/>
      <c r="V676" s="3"/>
      <c r="W676" s="135"/>
      <c r="X676" s="96"/>
      <c r="Y676" s="3"/>
      <c r="Z676" s="3"/>
      <c r="AA676" s="3"/>
      <c r="AB676" s="3"/>
      <c r="AC676" s="3"/>
    </row>
    <row r="677" spans="1:29" ht="12" x14ac:dyDescent="0.25">
      <c r="A677" s="3"/>
      <c r="B677" s="335" t="str">
        <f>'WK8 - LTFP'!C230</f>
        <v>Growth in labour costs</v>
      </c>
      <c r="C677" s="3"/>
      <c r="D677" s="3"/>
      <c r="E677" s="253"/>
      <c r="F677" s="2"/>
      <c r="G677" s="92"/>
      <c r="H677" s="3"/>
      <c r="I677" s="3"/>
      <c r="J677" s="3"/>
      <c r="K677" s="3"/>
      <c r="L677" s="3"/>
      <c r="M677" s="3"/>
      <c r="N677" s="3"/>
      <c r="O677" s="3"/>
      <c r="P677" s="3"/>
      <c r="Q677" s="3"/>
      <c r="R677" s="96"/>
      <c r="S677" s="135"/>
      <c r="T677" s="3"/>
      <c r="U677" s="3"/>
      <c r="V677" s="3"/>
      <c r="W677" s="135"/>
      <c r="X677" s="96"/>
      <c r="Y677" s="3"/>
      <c r="Z677" s="3"/>
      <c r="AA677" s="3"/>
      <c r="AB677" s="3"/>
      <c r="AC677" s="3"/>
    </row>
    <row r="678" spans="1:29" ht="12" x14ac:dyDescent="0.25">
      <c r="A678" s="3"/>
      <c r="B678" s="334" t="str">
        <f>'WK8 - LTFP'!C231</f>
        <v>Scenario 1: Proposed (with SV)</v>
      </c>
      <c r="D678" s="3"/>
      <c r="E678" s="253"/>
      <c r="F678" s="2"/>
      <c r="G678" s="92"/>
      <c r="H678" s="3"/>
      <c r="I678" s="681">
        <f>'WK8 - LTFP'!G231</f>
        <v>4.6172007714694985E-2</v>
      </c>
      <c r="J678" s="681">
        <f>'WK8 - LTFP'!H231</f>
        <v>3.9943482115212259E-2</v>
      </c>
      <c r="K678" s="681">
        <f>'WK8 - LTFP'!I231</f>
        <v>3.5915231843976603E-2</v>
      </c>
      <c r="L678" s="681">
        <f>'WK8 - LTFP'!J231</f>
        <v>3.0202492846557627E-2</v>
      </c>
      <c r="M678" s="681">
        <f>'WK8 - LTFP'!K231</f>
        <v>3.300000060362529E-2</v>
      </c>
      <c r="N678" s="681">
        <f>'WK8 - LTFP'!L231</f>
        <v>3.2999999322137485E-2</v>
      </c>
      <c r="O678" s="681">
        <f>'WK8 - LTFP'!M231</f>
        <v>3.3000000223714299E-2</v>
      </c>
      <c r="P678" s="681">
        <f>'WK8 - LTFP'!N231</f>
        <v>3.2999999880909403E-2</v>
      </c>
      <c r="Q678" s="681">
        <f>'WK8 - LTFP'!O231</f>
        <v>3.1999999762216014E-2</v>
      </c>
      <c r="R678" s="674">
        <f>'WK8 - LTFP'!P231</f>
        <v>3.1999999257313672E-2</v>
      </c>
      <c r="S678" s="135"/>
      <c r="T678" s="3"/>
      <c r="U678" s="3"/>
      <c r="V678" s="3"/>
      <c r="W678" s="135"/>
      <c r="X678" s="96"/>
      <c r="Y678" s="3"/>
      <c r="Z678" s="3"/>
      <c r="AA678" s="3"/>
      <c r="AB678" s="3"/>
      <c r="AC678" s="3"/>
    </row>
    <row r="679" spans="1:29" ht="12" x14ac:dyDescent="0.25">
      <c r="A679" s="3"/>
      <c r="B679" s="334" t="str">
        <f>'WK8 - LTFP'!C232</f>
        <v>Scenario 2 - Base case (no SV)</v>
      </c>
      <c r="C679" s="133"/>
      <c r="D679" s="3"/>
      <c r="E679" s="253"/>
      <c r="F679" s="2"/>
      <c r="G679" s="92"/>
      <c r="H679" s="3"/>
      <c r="I679" s="681">
        <f>'WK8 - LTFP'!G232</f>
        <v>4.311984332223795E-2</v>
      </c>
      <c r="J679" s="681">
        <f>'WK8 - LTFP'!H232</f>
        <v>4.0060356580407408E-2</v>
      </c>
      <c r="K679" s="681">
        <f>'WK8 - LTFP'!I232</f>
        <v>3.6016271962199253E-2</v>
      </c>
      <c r="L679" s="681">
        <f>'WK8 - LTFP'!J232</f>
        <v>3.2999999906654587E-2</v>
      </c>
      <c r="M679" s="681">
        <f>'WK8 - LTFP'!K232</f>
        <v>3.300000060362529E-2</v>
      </c>
      <c r="N679" s="681">
        <f>'WK8 - LTFP'!L232</f>
        <v>3.2999999322137485E-2</v>
      </c>
      <c r="O679" s="681">
        <f>'WK8 - LTFP'!M232</f>
        <v>3.3000000223714299E-2</v>
      </c>
      <c r="P679" s="681">
        <f>'WK8 - LTFP'!N232</f>
        <v>3.2999999880909403E-2</v>
      </c>
      <c r="Q679" s="681">
        <f>'WK8 - LTFP'!O232</f>
        <v>3.1999999762216014E-2</v>
      </c>
      <c r="R679" s="674">
        <f>'WK8 - LTFP'!P232</f>
        <v>3.1999999257313672E-2</v>
      </c>
      <c r="S679" s="135"/>
      <c r="T679" s="3"/>
      <c r="U679" s="3"/>
      <c r="V679" s="3"/>
      <c r="W679" s="135"/>
      <c r="X679" s="96"/>
      <c r="Y679" s="3"/>
      <c r="Z679" s="3"/>
      <c r="AA679" s="3"/>
      <c r="AB679" s="3"/>
      <c r="AC679" s="3"/>
    </row>
    <row r="680" spans="1:29" ht="12" x14ac:dyDescent="0.25">
      <c r="A680" s="3"/>
      <c r="B680" s="335" t="str">
        <f>'WK8 - LTFP'!C233</f>
        <v>Growth in employee numbers</v>
      </c>
      <c r="C680" s="3"/>
      <c r="D680" s="3"/>
      <c r="E680" s="253"/>
      <c r="F680" s="2"/>
      <c r="G680" s="92"/>
      <c r="H680" s="3"/>
      <c r="I680" s="3"/>
      <c r="J680" s="3"/>
      <c r="K680" s="3"/>
      <c r="L680" s="3"/>
      <c r="M680" s="3"/>
      <c r="N680" s="3"/>
      <c r="O680" s="3"/>
      <c r="P680" s="3"/>
      <c r="Q680" s="3"/>
      <c r="R680" s="96"/>
      <c r="S680" s="135"/>
      <c r="T680" s="3"/>
      <c r="U680" s="3"/>
      <c r="V680" s="3"/>
      <c r="W680" s="135"/>
      <c r="X680" s="96"/>
      <c r="Y680" s="3"/>
      <c r="Z680" s="3"/>
      <c r="AA680" s="3"/>
      <c r="AB680" s="3"/>
      <c r="AC680" s="3"/>
    </row>
    <row r="681" spans="1:29" ht="12" x14ac:dyDescent="0.25">
      <c r="A681" s="3"/>
      <c r="B681" s="334" t="str">
        <f>'WK8 - LTFP'!C234</f>
        <v>Scenario 1: Proposed (with SV)</v>
      </c>
      <c r="D681" s="3"/>
      <c r="E681" s="253"/>
      <c r="F681" s="2"/>
      <c r="G681" s="92"/>
      <c r="H681" s="3"/>
      <c r="I681" s="681">
        <f>'WK8 - LTFP'!G234</f>
        <v>2E-3</v>
      </c>
      <c r="J681" s="681">
        <f>'WK8 - LTFP'!H234</f>
        <v>0</v>
      </c>
      <c r="K681" s="681">
        <f>'WK8 - LTFP'!I234</f>
        <v>0</v>
      </c>
      <c r="L681" s="681">
        <f>'WK8 - LTFP'!J234</f>
        <v>-2E-3</v>
      </c>
      <c r="M681" s="681">
        <f>'WK8 - LTFP'!K234</f>
        <v>0</v>
      </c>
      <c r="N681" s="681">
        <f>'WK8 - LTFP'!L234</f>
        <v>0</v>
      </c>
      <c r="O681" s="681">
        <f>'WK8 - LTFP'!M234</f>
        <v>0</v>
      </c>
      <c r="P681" s="681">
        <f>'WK8 - LTFP'!N234</f>
        <v>0</v>
      </c>
      <c r="Q681" s="681">
        <f>'WK8 - LTFP'!O234</f>
        <v>0</v>
      </c>
      <c r="R681" s="674">
        <f>'WK8 - LTFP'!P234</f>
        <v>0</v>
      </c>
      <c r="S681" s="135"/>
      <c r="T681" s="3"/>
      <c r="U681" s="3"/>
      <c r="V681" s="3"/>
      <c r="W681" s="135"/>
      <c r="X681" s="96"/>
      <c r="Y681" s="3"/>
      <c r="Z681" s="3"/>
      <c r="AA681" s="3"/>
      <c r="AB681" s="3"/>
      <c r="AC681" s="3"/>
    </row>
    <row r="682" spans="1:29" ht="12" x14ac:dyDescent="0.25">
      <c r="A682" s="3"/>
      <c r="B682" s="334" t="str">
        <f>'WK8 - LTFP'!C235</f>
        <v>Scenario 2 - Base case (no SV)</v>
      </c>
      <c r="C682" s="133"/>
      <c r="D682" s="3"/>
      <c r="E682" s="253"/>
      <c r="F682" s="2"/>
      <c r="G682" s="92"/>
      <c r="H682" s="3"/>
      <c r="I682" s="681">
        <f>'WK8 - LTFP'!G235</f>
        <v>0</v>
      </c>
      <c r="J682" s="681">
        <f>'WK8 - LTFP'!H235</f>
        <v>0</v>
      </c>
      <c r="K682" s="681">
        <f>'WK8 - LTFP'!I235</f>
        <v>0</v>
      </c>
      <c r="L682" s="681">
        <f>'WK8 - LTFP'!J235</f>
        <v>0</v>
      </c>
      <c r="M682" s="681">
        <f>'WK8 - LTFP'!K235</f>
        <v>0</v>
      </c>
      <c r="N682" s="681">
        <f>'WK8 - LTFP'!L235</f>
        <v>0</v>
      </c>
      <c r="O682" s="681">
        <f>'WK8 - LTFP'!M235</f>
        <v>0</v>
      </c>
      <c r="P682" s="681">
        <f>'WK8 - LTFP'!N235</f>
        <v>0</v>
      </c>
      <c r="Q682" s="681">
        <f>'WK8 - LTFP'!O235</f>
        <v>0</v>
      </c>
      <c r="R682" s="674">
        <f>'WK8 - LTFP'!P235</f>
        <v>0</v>
      </c>
      <c r="S682" s="135"/>
      <c r="T682" s="3"/>
      <c r="U682" s="3"/>
      <c r="V682" s="3"/>
      <c r="W682" s="135"/>
      <c r="X682" s="96"/>
      <c r="Y682" s="3"/>
      <c r="Z682" s="3"/>
      <c r="AA682" s="3"/>
      <c r="AB682" s="3"/>
      <c r="AC682" s="3"/>
    </row>
    <row r="683" spans="1:29" ht="12" x14ac:dyDescent="0.25">
      <c r="A683" s="3"/>
      <c r="B683" s="335" t="str">
        <f>'WK8 - LTFP'!C236</f>
        <v>Growth in assessment numbers</v>
      </c>
      <c r="C683" s="3"/>
      <c r="D683" s="3"/>
      <c r="E683" s="253"/>
      <c r="F683" s="2"/>
      <c r="G683" s="92"/>
      <c r="H683" s="3"/>
      <c r="I683" s="3"/>
      <c r="J683" s="3"/>
      <c r="K683" s="3"/>
      <c r="L683" s="3"/>
      <c r="M683" s="3"/>
      <c r="N683" s="3"/>
      <c r="O683" s="3"/>
      <c r="P683" s="3"/>
      <c r="Q683" s="3"/>
      <c r="R683" s="96"/>
      <c r="S683" s="135"/>
      <c r="T683" s="3"/>
      <c r="U683" s="3"/>
      <c r="V683" s="3"/>
      <c r="W683" s="135"/>
      <c r="X683" s="96"/>
      <c r="Y683" s="3"/>
      <c r="Z683" s="3"/>
      <c r="AA683" s="3"/>
      <c r="AB683" s="3"/>
      <c r="AC683" s="3"/>
    </row>
    <row r="684" spans="1:29" ht="12" x14ac:dyDescent="0.25">
      <c r="A684" s="3"/>
      <c r="B684" s="334" t="str">
        <f>'WK8 - LTFP'!C237</f>
        <v>Scenario 1: Proposed (with SV)</v>
      </c>
      <c r="D684" s="3"/>
      <c r="E684" s="253"/>
      <c r="F684" s="2"/>
      <c r="G684" s="92"/>
      <c r="H684" s="3"/>
      <c r="I684" s="681">
        <f>'WK8 - LTFP'!G237</f>
        <v>0</v>
      </c>
      <c r="J684" s="681">
        <f>'WK8 - LTFP'!H237</f>
        <v>0</v>
      </c>
      <c r="K684" s="681">
        <f>'WK8 - LTFP'!I237</f>
        <v>0</v>
      </c>
      <c r="L684" s="681">
        <f>'WK8 - LTFP'!J237</f>
        <v>0</v>
      </c>
      <c r="M684" s="681">
        <f>'WK8 - LTFP'!K237</f>
        <v>0</v>
      </c>
      <c r="N684" s="681">
        <f>'WK8 - LTFP'!L237</f>
        <v>0</v>
      </c>
      <c r="O684" s="681">
        <f>'WK8 - LTFP'!M237</f>
        <v>0</v>
      </c>
      <c r="P684" s="681">
        <f>'WK8 - LTFP'!N237</f>
        <v>0</v>
      </c>
      <c r="Q684" s="681">
        <f>'WK8 - LTFP'!O237</f>
        <v>0</v>
      </c>
      <c r="R684" s="674">
        <f>'WK8 - LTFP'!P237</f>
        <v>1.12E-2</v>
      </c>
      <c r="S684" s="135"/>
      <c r="T684" s="3"/>
      <c r="U684" s="3"/>
      <c r="V684" s="3"/>
      <c r="W684" s="135"/>
      <c r="X684" s="96"/>
      <c r="Y684" s="3"/>
      <c r="Z684" s="3"/>
      <c r="AA684" s="3"/>
      <c r="AB684" s="3"/>
      <c r="AC684" s="3"/>
    </row>
    <row r="685" spans="1:29" ht="12" x14ac:dyDescent="0.25">
      <c r="A685" s="3"/>
      <c r="B685" s="334" t="str">
        <f>'WK8 - LTFP'!C238</f>
        <v>Scenario 2 - Base case (no SV)</v>
      </c>
      <c r="C685" s="133"/>
      <c r="D685" s="3"/>
      <c r="E685" s="253"/>
      <c r="F685" s="2"/>
      <c r="G685" s="92"/>
      <c r="H685" s="3"/>
      <c r="I685" s="681">
        <f>'WK8 - LTFP'!G238</f>
        <v>0</v>
      </c>
      <c r="J685" s="681">
        <f>'WK8 - LTFP'!H238</f>
        <v>0</v>
      </c>
      <c r="K685" s="681">
        <f>'WK8 - LTFP'!I238</f>
        <v>0</v>
      </c>
      <c r="L685" s="681">
        <f>'WK8 - LTFP'!J238</f>
        <v>0</v>
      </c>
      <c r="M685" s="681">
        <f>'WK8 - LTFP'!K238</f>
        <v>0</v>
      </c>
      <c r="N685" s="681">
        <f>'WK8 - LTFP'!L238</f>
        <v>0</v>
      </c>
      <c r="O685" s="681">
        <f>'WK8 - LTFP'!M238</f>
        <v>0</v>
      </c>
      <c r="P685" s="681">
        <f>'WK8 - LTFP'!N238</f>
        <v>0</v>
      </c>
      <c r="Q685" s="681">
        <f>'WK8 - LTFP'!O238</f>
        <v>0</v>
      </c>
      <c r="R685" s="674">
        <f>'WK8 - LTFP'!P238</f>
        <v>1.12E-2</v>
      </c>
      <c r="S685" s="135"/>
      <c r="T685" s="3"/>
      <c r="U685" s="3"/>
      <c r="V685" s="3"/>
      <c r="W685" s="135"/>
      <c r="X685" s="96"/>
      <c r="Y685" s="3"/>
      <c r="Z685" s="3"/>
      <c r="AA685" s="3"/>
      <c r="AB685" s="3"/>
      <c r="AC685" s="3"/>
    </row>
    <row r="686" spans="1:29" ht="12" x14ac:dyDescent="0.25">
      <c r="A686" s="3"/>
      <c r="B686" s="335" t="str">
        <f>'WK8 - LTFP'!C239</f>
        <v>Inflation rate applied to Materials &amp; Contracts</v>
      </c>
      <c r="C686" s="3"/>
      <c r="D686" s="3"/>
      <c r="E686" s="253"/>
      <c r="F686" s="2"/>
      <c r="G686" s="92"/>
      <c r="H686" s="3"/>
      <c r="I686" s="3"/>
      <c r="J686" s="3"/>
      <c r="K686" s="3"/>
      <c r="L686" s="3"/>
      <c r="M686" s="3"/>
      <c r="N686" s="3"/>
      <c r="O686" s="3"/>
      <c r="P686" s="3"/>
      <c r="Q686" s="3"/>
      <c r="R686" s="96"/>
      <c r="S686" s="135"/>
      <c r="T686" s="3"/>
      <c r="U686" s="3"/>
      <c r="V686" s="3"/>
      <c r="W686" s="135"/>
      <c r="X686" s="96"/>
      <c r="Y686" s="3"/>
      <c r="Z686" s="3"/>
      <c r="AA686" s="3"/>
      <c r="AB686" s="3"/>
      <c r="AC686" s="3"/>
    </row>
    <row r="687" spans="1:29" ht="12" x14ac:dyDescent="0.25">
      <c r="A687" s="3"/>
      <c r="B687" s="334" t="str">
        <f>'WK8 - LTFP'!C240</f>
        <v>Scenario 1: Proposed (with SV)</v>
      </c>
      <c r="D687" s="3"/>
      <c r="E687" s="253"/>
      <c r="F687" s="2"/>
      <c r="G687" s="92"/>
      <c r="H687" s="3"/>
      <c r="I687" s="681">
        <f>'WK8 - LTFP'!G240</f>
        <v>3.5000000000000003E-2</v>
      </c>
      <c r="J687" s="681">
        <f>'WK8 - LTFP'!H240</f>
        <v>2.9000000000000001E-2</v>
      </c>
      <c r="K687" s="681">
        <f>'WK8 - LTFP'!I240</f>
        <v>2.8000000000000001E-2</v>
      </c>
      <c r="L687" s="681">
        <f>'WK8 - LTFP'!J240</f>
        <v>2.4E-2</v>
      </c>
      <c r="M687" s="681">
        <f>'WK8 - LTFP'!K240</f>
        <v>2.4E-2</v>
      </c>
      <c r="N687" s="681">
        <f>'WK8 - LTFP'!L240</f>
        <v>2.4E-2</v>
      </c>
      <c r="O687" s="681">
        <f>'WK8 - LTFP'!M240</f>
        <v>2.4E-2</v>
      </c>
      <c r="P687" s="681">
        <f>'WK8 - LTFP'!N240</f>
        <v>2.4E-2</v>
      </c>
      <c r="Q687" s="681">
        <f>'WK8 - LTFP'!O240</f>
        <v>2.5000000000000001E-2</v>
      </c>
      <c r="R687" s="674">
        <f>'WK8 - LTFP'!P240</f>
        <v>2.5000000000000001E-2</v>
      </c>
      <c r="S687" s="135"/>
      <c r="T687" s="3"/>
      <c r="U687" s="3"/>
      <c r="V687" s="3"/>
      <c r="W687" s="135"/>
      <c r="X687" s="96"/>
      <c r="Y687" s="3"/>
      <c r="Z687" s="3"/>
      <c r="AA687" s="3"/>
      <c r="AB687" s="3"/>
      <c r="AC687" s="3"/>
    </row>
    <row r="688" spans="1:29" ht="12" x14ac:dyDescent="0.25">
      <c r="A688" s="3"/>
      <c r="B688" s="334" t="str">
        <f>'WK8 - LTFP'!C241</f>
        <v>Scenario 2 - Base case (no SV)</v>
      </c>
      <c r="C688" s="133"/>
      <c r="D688" s="3"/>
      <c r="E688" s="253"/>
      <c r="F688" s="2"/>
      <c r="G688" s="92"/>
      <c r="H688" s="3"/>
      <c r="I688" s="681">
        <f>'WK8 - LTFP'!G241</f>
        <v>3.5000000000000003E-2</v>
      </c>
      <c r="J688" s="681">
        <f>'WK8 - LTFP'!H241</f>
        <v>2.9000000000000001E-2</v>
      </c>
      <c r="K688" s="681">
        <f>'WK8 - LTFP'!I241</f>
        <v>2.8000000000000001E-2</v>
      </c>
      <c r="L688" s="681">
        <f>'WK8 - LTFP'!J241</f>
        <v>2.4E-2</v>
      </c>
      <c r="M688" s="681">
        <f>'WK8 - LTFP'!K241</f>
        <v>2.4E-2</v>
      </c>
      <c r="N688" s="681">
        <f>'WK8 - LTFP'!L241</f>
        <v>2.4E-2</v>
      </c>
      <c r="O688" s="681">
        <f>'WK8 - LTFP'!M241</f>
        <v>2.4E-2</v>
      </c>
      <c r="P688" s="681">
        <f>'WK8 - LTFP'!N241</f>
        <v>2.4E-2</v>
      </c>
      <c r="Q688" s="681">
        <f>'WK8 - LTFP'!O241</f>
        <v>2.5000000000000001E-2</v>
      </c>
      <c r="R688" s="674">
        <f>'WK8 - LTFP'!P241</f>
        <v>2.5000000000000001E-2</v>
      </c>
      <c r="S688" s="135"/>
      <c r="T688" s="3"/>
      <c r="U688" s="3"/>
      <c r="V688" s="3"/>
      <c r="W688" s="135"/>
      <c r="X688" s="96"/>
      <c r="Y688" s="3"/>
      <c r="Z688" s="3"/>
      <c r="AA688" s="3"/>
      <c r="AB688" s="3"/>
      <c r="AC688" s="3"/>
    </row>
    <row r="689" spans="1:29" ht="12" x14ac:dyDescent="0.25">
      <c r="A689" s="3"/>
      <c r="B689" s="335" t="str">
        <f>'WK8 - LTFP'!C242</f>
        <v>Planned operating cost savings</v>
      </c>
      <c r="C689" s="3"/>
      <c r="D689" s="3"/>
      <c r="E689" s="253"/>
      <c r="F689" s="2"/>
      <c r="G689" s="92"/>
      <c r="H689" s="3"/>
      <c r="I689" s="3"/>
      <c r="J689" s="3"/>
      <c r="K689" s="3"/>
      <c r="L689" s="3"/>
      <c r="M689" s="3"/>
      <c r="N689" s="3"/>
      <c r="O689" s="3"/>
      <c r="P689" s="3"/>
      <c r="Q689" s="3"/>
      <c r="R689" s="96"/>
      <c r="S689" s="135"/>
      <c r="T689" s="3"/>
      <c r="U689" s="3"/>
      <c r="V689" s="3"/>
      <c r="W689" s="135"/>
      <c r="X689" s="96"/>
      <c r="Y689" s="3"/>
      <c r="Z689" s="3"/>
      <c r="AA689" s="3"/>
      <c r="AB689" s="3"/>
      <c r="AC689" s="3"/>
    </row>
    <row r="690" spans="1:29" ht="12" x14ac:dyDescent="0.25">
      <c r="A690" s="3"/>
      <c r="B690" s="662" t="str">
        <f>'WK8 - LTFP'!C243</f>
        <v>Scenario 1: Proposed (with SV)</v>
      </c>
      <c r="D690" s="3"/>
      <c r="E690" s="253"/>
      <c r="F690" s="2"/>
      <c r="G690" s="92"/>
      <c r="H690" s="3"/>
      <c r="I690" s="681">
        <f>'WK8 - LTFP'!G243</f>
        <v>0</v>
      </c>
      <c r="J690" s="681">
        <f>'WK8 - LTFP'!H243</f>
        <v>0</v>
      </c>
      <c r="K690" s="681">
        <f>'WK8 - LTFP'!I243</f>
        <v>0</v>
      </c>
      <c r="L690" s="681">
        <f>'WK8 - LTFP'!J243</f>
        <v>0</v>
      </c>
      <c r="M690" s="681">
        <f>'WK8 - LTFP'!K243</f>
        <v>0</v>
      </c>
      <c r="N690" s="681">
        <f>'WK8 - LTFP'!L243</f>
        <v>0</v>
      </c>
      <c r="O690" s="681">
        <f>'WK8 - LTFP'!M243</f>
        <v>0</v>
      </c>
      <c r="P690" s="681">
        <f>'WK8 - LTFP'!N243</f>
        <v>0</v>
      </c>
      <c r="Q690" s="681">
        <f>'WK8 - LTFP'!O243</f>
        <v>0</v>
      </c>
      <c r="R690" s="674">
        <f>'WK8 - LTFP'!P243</f>
        <v>0</v>
      </c>
      <c r="S690" s="135"/>
      <c r="T690" s="3"/>
      <c r="U690" s="3"/>
      <c r="V690" s="3"/>
      <c r="W690" s="135"/>
      <c r="X690" s="96"/>
      <c r="Y690" s="3"/>
      <c r="Z690" s="3"/>
      <c r="AA690" s="3"/>
      <c r="AB690" s="3"/>
      <c r="AC690" s="3"/>
    </row>
    <row r="691" spans="1:29" ht="12" x14ac:dyDescent="0.25">
      <c r="A691" s="3"/>
      <c r="B691" s="662" t="str">
        <f>'WK8 - LTFP'!C244</f>
        <v>Scenario 2 - Base case (no SV)</v>
      </c>
      <c r="C691" s="133"/>
      <c r="D691" s="3"/>
      <c r="E691" s="253"/>
      <c r="F691" s="2"/>
      <c r="G691" s="92"/>
      <c r="H691" s="3"/>
      <c r="I691" s="681">
        <f>'WK8 - LTFP'!G244</f>
        <v>0</v>
      </c>
      <c r="J691" s="681">
        <f>'WK8 - LTFP'!H244</f>
        <v>0</v>
      </c>
      <c r="K691" s="681">
        <f>'WK8 - LTFP'!I244</f>
        <v>0</v>
      </c>
      <c r="L691" s="681">
        <f>'WK8 - LTFP'!J244</f>
        <v>0</v>
      </c>
      <c r="M691" s="681">
        <f>'WK8 - LTFP'!K244</f>
        <v>0</v>
      </c>
      <c r="N691" s="681">
        <f>'WK8 - LTFP'!L244</f>
        <v>0</v>
      </c>
      <c r="O691" s="681">
        <f>'WK8 - LTFP'!M244</f>
        <v>0</v>
      </c>
      <c r="P691" s="681">
        <f>'WK8 - LTFP'!N244</f>
        <v>0</v>
      </c>
      <c r="Q691" s="681">
        <f>'WK8 - LTFP'!O244</f>
        <v>0</v>
      </c>
      <c r="R691" s="674">
        <f>'WK8 - LTFP'!P244</f>
        <v>0</v>
      </c>
      <c r="S691" s="135"/>
      <c r="T691" s="3"/>
      <c r="U691" s="3"/>
      <c r="V691" s="3"/>
      <c r="W691" s="135"/>
      <c r="X691" s="96"/>
      <c r="Y691" s="3"/>
      <c r="Z691" s="3"/>
      <c r="AA691" s="3"/>
      <c r="AB691" s="3"/>
      <c r="AC691" s="3"/>
    </row>
    <row r="692" spans="1:29" ht="12" x14ac:dyDescent="0.25">
      <c r="A692" s="3"/>
      <c r="B692" s="97"/>
      <c r="C692" s="93"/>
      <c r="D692" s="93"/>
      <c r="E692" s="274"/>
      <c r="F692" s="115"/>
      <c r="G692" s="197"/>
      <c r="H692" s="93"/>
      <c r="I692" s="93"/>
      <c r="J692" s="93"/>
      <c r="K692" s="93"/>
      <c r="L692" s="93"/>
      <c r="M692" s="93"/>
      <c r="N692" s="93"/>
      <c r="O692" s="93"/>
      <c r="P692" s="93"/>
      <c r="Q692" s="93"/>
      <c r="R692" s="98"/>
      <c r="S692" s="97"/>
      <c r="T692" s="93"/>
      <c r="U692" s="93"/>
      <c r="V692" s="93"/>
      <c r="W692" s="97"/>
      <c r="X692" s="98"/>
      <c r="Y692" s="3"/>
      <c r="Z692" s="3"/>
      <c r="AA692" s="3"/>
      <c r="AB692" s="3"/>
      <c r="AC692" s="3"/>
    </row>
    <row r="693" spans="1:29"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x14ac:dyDescent="0.2">
      <c r="A696" s="3"/>
      <c r="B696" s="619" t="str">
        <f>'WK9 - Ratios'!G5</f>
        <v>WORKSHEET 9</v>
      </c>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ht="12" x14ac:dyDescent="0.25">
      <c r="A697" s="3"/>
      <c r="B697" s="620" t="str">
        <f>'WK9 - Ratios'!G7</f>
        <v>FINANCIAL RATIOS</v>
      </c>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ht="12" x14ac:dyDescent="0.25">
      <c r="A698" s="3"/>
      <c r="B698" s="1205"/>
      <c r="C698" s="815"/>
      <c r="D698" s="918"/>
      <c r="E698" s="815"/>
      <c r="F698" s="930" t="str">
        <f>'WK9 - Ratios'!I15</f>
        <v>Historical ratios</v>
      </c>
      <c r="G698" s="918"/>
      <c r="H698" s="1199"/>
      <c r="I698" s="815"/>
      <c r="J698" s="815"/>
      <c r="K698" s="815"/>
      <c r="L698" s="930" t="str">
        <f>'WK9 - Ratios'!P15</f>
        <v>Forecast ratios</v>
      </c>
      <c r="M698" s="815"/>
      <c r="N698" s="815"/>
      <c r="O698" s="815"/>
      <c r="P698" s="815"/>
      <c r="Q698" s="815"/>
      <c r="R698" s="918"/>
      <c r="S698" s="3"/>
      <c r="T698" s="111" t="s">
        <v>143</v>
      </c>
      <c r="U698" s="3"/>
      <c r="V698" s="3"/>
      <c r="W698" s="3"/>
      <c r="X698" s="3"/>
      <c r="Y698" s="3"/>
      <c r="Z698" s="3"/>
      <c r="AA698" s="3"/>
      <c r="AB698" s="3"/>
      <c r="AC698" s="3"/>
    </row>
    <row r="699" spans="1:29" x14ac:dyDescent="0.2">
      <c r="A699" s="3"/>
      <c r="B699" s="630" t="str">
        <f>B$51</f>
        <v>Year number</v>
      </c>
      <c r="C699" s="3"/>
      <c r="D699" s="96"/>
      <c r="E699" s="872" t="str">
        <f t="shared" ref="E699:R699" si="32">E$51</f>
        <v>Hist yr 3</v>
      </c>
      <c r="F699" s="872" t="str">
        <f t="shared" si="32"/>
        <v>Hist yr 2</v>
      </c>
      <c r="G699" s="922" t="str">
        <f t="shared" si="32"/>
        <v>Hist yr 1</v>
      </c>
      <c r="H699" s="1200" t="str">
        <f t="shared" si="32"/>
        <v>Year 0</v>
      </c>
      <c r="I699" s="872" t="str">
        <f t="shared" si="32"/>
        <v>Year 1</v>
      </c>
      <c r="J699" s="872" t="str">
        <f t="shared" si="32"/>
        <v>Year 2</v>
      </c>
      <c r="K699" s="872" t="str">
        <f t="shared" si="32"/>
        <v>Year 3</v>
      </c>
      <c r="L699" s="872" t="str">
        <f t="shared" si="32"/>
        <v>Year 4</v>
      </c>
      <c r="M699" s="872" t="str">
        <f t="shared" si="32"/>
        <v>Year 5</v>
      </c>
      <c r="N699" s="872" t="str">
        <f t="shared" si="32"/>
        <v>Year 6</v>
      </c>
      <c r="O699" s="872" t="str">
        <f t="shared" si="32"/>
        <v>Year 7</v>
      </c>
      <c r="P699" s="872" t="str">
        <f t="shared" si="32"/>
        <v>Year 8</v>
      </c>
      <c r="Q699" s="872" t="str">
        <f t="shared" si="32"/>
        <v>Year 9</v>
      </c>
      <c r="R699" s="922" t="str">
        <f t="shared" si="32"/>
        <v>Year 10</v>
      </c>
      <c r="S699" s="3"/>
      <c r="T699" s="1"/>
      <c r="U699" s="3"/>
      <c r="V699" s="3"/>
      <c r="W699" s="3"/>
      <c r="X699" s="3"/>
      <c r="Y699" s="3"/>
      <c r="Z699" s="3"/>
      <c r="AA699" s="3"/>
      <c r="AB699" s="3"/>
      <c r="AC699" s="3"/>
    </row>
    <row r="700" spans="1:29" ht="12" x14ac:dyDescent="0.25">
      <c r="A700" s="3"/>
      <c r="B700" s="621" t="str">
        <f>B$52</f>
        <v>Financial year</v>
      </c>
      <c r="C700" s="93"/>
      <c r="D700" s="98"/>
      <c r="E700" s="626" t="str">
        <f t="shared" ref="E700:R700" si="33">E$52</f>
        <v>2019-20</v>
      </c>
      <c r="F700" s="626" t="str">
        <f t="shared" si="33"/>
        <v>2020-21</v>
      </c>
      <c r="G700" s="640" t="str">
        <f t="shared" si="33"/>
        <v>2021-22</v>
      </c>
      <c r="H700" s="625" t="str">
        <f t="shared" si="33"/>
        <v>2022-23</v>
      </c>
      <c r="I700" s="626" t="str">
        <f t="shared" si="33"/>
        <v>2023-24</v>
      </c>
      <c r="J700" s="626" t="str">
        <f t="shared" si="33"/>
        <v>2024-25</v>
      </c>
      <c r="K700" s="626" t="str">
        <f t="shared" si="33"/>
        <v>2025-26</v>
      </c>
      <c r="L700" s="626" t="str">
        <f t="shared" si="33"/>
        <v>2026-27</v>
      </c>
      <c r="M700" s="626" t="str">
        <f t="shared" si="33"/>
        <v>2027-28</v>
      </c>
      <c r="N700" s="626" t="str">
        <f t="shared" si="33"/>
        <v>2028-29</v>
      </c>
      <c r="O700" s="626" t="str">
        <f t="shared" si="33"/>
        <v>2029-30</v>
      </c>
      <c r="P700" s="626" t="str">
        <f t="shared" si="33"/>
        <v>2030-31</v>
      </c>
      <c r="Q700" s="626" t="str">
        <f t="shared" si="33"/>
        <v>2031-32</v>
      </c>
      <c r="R700" s="640" t="str">
        <f t="shared" si="33"/>
        <v>2032-33</v>
      </c>
      <c r="S700" s="3"/>
      <c r="T700" s="1"/>
      <c r="U700" s="3"/>
      <c r="V700" s="3"/>
      <c r="W700" s="3"/>
      <c r="X700" s="3"/>
      <c r="Y700" s="3"/>
      <c r="Z700" s="3"/>
      <c r="AA700" s="3"/>
      <c r="AB700" s="3"/>
      <c r="AC700" s="3"/>
    </row>
    <row r="701" spans="1:29" ht="12" x14ac:dyDescent="0.25">
      <c r="A701" s="3"/>
      <c r="B701" s="135"/>
      <c r="C701" s="3"/>
      <c r="D701" s="96"/>
      <c r="E701" s="3"/>
      <c r="F701" s="3"/>
      <c r="G701" s="96"/>
      <c r="H701" s="135"/>
      <c r="I701" s="3"/>
      <c r="J701" s="3"/>
      <c r="K701" s="3"/>
      <c r="L701" s="3"/>
      <c r="M701" s="3"/>
      <c r="N701" s="3"/>
      <c r="O701" s="3"/>
      <c r="P701" s="3"/>
      <c r="Q701" s="3"/>
      <c r="R701" s="96"/>
      <c r="S701" s="3"/>
      <c r="T701" s="682" t="str">
        <f>B704</f>
        <v>Operating Performance Ratio</v>
      </c>
      <c r="U701" s="3"/>
      <c r="V701" s="3"/>
      <c r="W701" s="3"/>
      <c r="X701" s="3"/>
      <c r="Y701" s="3"/>
      <c r="Z701" s="3"/>
      <c r="AA701" s="3"/>
      <c r="AB701" s="3"/>
      <c r="AC701" s="3"/>
    </row>
    <row r="702" spans="1:29" ht="12" x14ac:dyDescent="0.25">
      <c r="A702" s="3"/>
      <c r="B702" s="665" t="str">
        <f>'WK9 - Ratios'!C19</f>
        <v>1. Sustainability</v>
      </c>
      <c r="C702" s="79"/>
      <c r="D702" s="79"/>
      <c r="E702" s="563"/>
      <c r="F702" s="79"/>
      <c r="G702" s="564"/>
      <c r="H702" s="563"/>
      <c r="I702" s="79"/>
      <c r="J702" s="79"/>
      <c r="K702" s="79"/>
      <c r="L702" s="79"/>
      <c r="M702" s="79"/>
      <c r="N702" s="79"/>
      <c r="O702" s="79"/>
      <c r="P702" s="79"/>
      <c r="Q702" s="79"/>
      <c r="R702" s="564"/>
      <c r="S702" s="135"/>
      <c r="T702" s="619" t="str">
        <f>'WK9 - Ratios'!D21</f>
        <v>Net continuing operating result</v>
      </c>
      <c r="U702" s="3"/>
      <c r="V702" s="3"/>
      <c r="W702" s="3"/>
      <c r="X702" s="3"/>
      <c r="Y702" s="3"/>
      <c r="Z702" s="3"/>
      <c r="AA702" s="3"/>
      <c r="AB702" s="3"/>
      <c r="AC702" s="3"/>
    </row>
    <row r="703" spans="1:29" x14ac:dyDescent="0.2">
      <c r="A703" s="3"/>
      <c r="B703" s="135"/>
      <c r="C703" s="3"/>
      <c r="D703" s="96"/>
      <c r="E703" s="3"/>
      <c r="F703" s="3"/>
      <c r="G703" s="96"/>
      <c r="H703" s="135"/>
      <c r="I703" s="3"/>
      <c r="J703" s="3"/>
      <c r="K703" s="3"/>
      <c r="L703" s="3"/>
      <c r="M703" s="3"/>
      <c r="N703" s="3"/>
      <c r="O703" s="3"/>
      <c r="P703" s="3"/>
      <c r="Q703" s="3"/>
      <c r="R703" s="96"/>
      <c r="S703" s="3"/>
      <c r="T703" s="683" t="str">
        <f>'WK9 - Ratios'!D22</f>
        <v>(excl capital grants and contributions)</v>
      </c>
      <c r="U703" s="406"/>
      <c r="V703" s="406"/>
      <c r="W703" s="3"/>
      <c r="X703" s="3"/>
      <c r="Y703" s="3"/>
      <c r="Z703" s="3"/>
      <c r="AA703" s="3"/>
      <c r="AB703" s="3"/>
      <c r="AC703" s="3"/>
    </row>
    <row r="704" spans="1:29" ht="12" x14ac:dyDescent="0.25">
      <c r="A704" s="3"/>
      <c r="B704" s="632" t="str">
        <f>'WK9 - Ratios'!C21</f>
        <v>Operating Performance Ratio</v>
      </c>
      <c r="C704" s="3"/>
      <c r="D704" s="96"/>
      <c r="E704" s="3"/>
      <c r="F704" s="3"/>
      <c r="G704" s="96"/>
      <c r="H704" s="135"/>
      <c r="I704" s="3"/>
      <c r="J704" s="3"/>
      <c r="K704" s="3"/>
      <c r="L704" s="3"/>
      <c r="M704" s="3"/>
      <c r="N704" s="3"/>
      <c r="O704" s="3"/>
      <c r="P704" s="3"/>
      <c r="Q704" s="3"/>
      <c r="R704" s="96"/>
      <c r="S704" s="3"/>
      <c r="T704" s="449" t="str">
        <f>'WK9 - Ratios'!D23</f>
        <v>Total continuing operating revenue</v>
      </c>
      <c r="U704" s="3"/>
      <c r="V704" s="3"/>
      <c r="W704" s="3"/>
      <c r="X704" s="3"/>
      <c r="Y704" s="3"/>
      <c r="Z704" s="3"/>
      <c r="AA704" s="3"/>
      <c r="AB704" s="3"/>
      <c r="AC704" s="3"/>
    </row>
    <row r="705" spans="1:29" x14ac:dyDescent="0.2">
      <c r="A705" s="3"/>
      <c r="B705" s="630" t="str">
        <f>B$617</f>
        <v>SCENARIO 1: Proposed additional SV income and expenditure</v>
      </c>
      <c r="C705" s="3"/>
      <c r="D705" s="96"/>
      <c r="E705" s="684">
        <f>'WK9 - Ratios'!I22</f>
        <v>5.3354654174455528E-2</v>
      </c>
      <c r="F705" s="684">
        <f>'WK9 - Ratios'!J22</f>
        <v>3.8192623667191047E-2</v>
      </c>
      <c r="G705" s="685">
        <f>'WK9 - Ratios'!K22</f>
        <v>-1.9020474222817409E-2</v>
      </c>
      <c r="H705" s="687">
        <f>'WK9 - Ratios'!L22</f>
        <v>2.335627193571323E-2</v>
      </c>
      <c r="I705" s="684">
        <f>'WK9 - Ratios'!M22</f>
        <v>3.1211700662934772E-2</v>
      </c>
      <c r="J705" s="684">
        <f>'WK9 - Ratios'!N22</f>
        <v>4.0502171314126596E-2</v>
      </c>
      <c r="K705" s="684">
        <f>'WK9 - Ratios'!O22</f>
        <v>4.1731747588218682E-2</v>
      </c>
      <c r="L705" s="684">
        <f>'WK9 - Ratios'!P22</f>
        <v>4.9620725343535427E-2</v>
      </c>
      <c r="M705" s="684">
        <f>'WK9 - Ratios'!Q22</f>
        <v>3.9900188101001877E-2</v>
      </c>
      <c r="N705" s="684">
        <f>'WK9 - Ratios'!R22</f>
        <v>3.1343226476308932E-2</v>
      </c>
      <c r="O705" s="684">
        <f>'WK9 - Ratios'!S22</f>
        <v>3.7718326008084058E-2</v>
      </c>
      <c r="P705" s="684">
        <f>'WK9 - Ratios'!T22</f>
        <v>3.337171157015021E-2</v>
      </c>
      <c r="Q705" s="684">
        <f>'WK9 - Ratios'!U22</f>
        <v>2.8023394082932369E-2</v>
      </c>
      <c r="R705" s="685">
        <f>'WK9 - Ratios'!V22</f>
        <v>2.2062524093234469E-2</v>
      </c>
      <c r="S705" s="3"/>
      <c r="T705" s="449" t="str">
        <f>'WK9 - Ratios'!D24</f>
        <v>(excl. capital grants and contributions)</v>
      </c>
      <c r="U705" s="3"/>
      <c r="V705" s="3"/>
      <c r="W705" s="3"/>
      <c r="X705" s="3"/>
      <c r="Y705" s="3"/>
      <c r="Z705" s="3"/>
      <c r="AA705" s="3"/>
      <c r="AB705" s="3"/>
      <c r="AC705" s="3"/>
    </row>
    <row r="706" spans="1:29" x14ac:dyDescent="0.2">
      <c r="A706" s="3"/>
      <c r="B706" s="630" t="str">
        <f>B$635</f>
        <v>SCENARIO 2: Base case -  no SV income or expenditure</v>
      </c>
      <c r="C706" s="3"/>
      <c r="D706" s="96"/>
      <c r="E706" s="684">
        <f>'WK9 - Ratios'!I23</f>
        <v>5.3354654174455528E-2</v>
      </c>
      <c r="F706" s="684">
        <f>'WK9 - Ratios'!J23</f>
        <v>3.8192623667191047E-2</v>
      </c>
      <c r="G706" s="685">
        <f>'WK9 - Ratios'!K23</f>
        <v>-1.9020474222817409E-2</v>
      </c>
      <c r="H706" s="687">
        <f>'WK9 - Ratios'!L23</f>
        <v>2.335627193571323E-2</v>
      </c>
      <c r="I706" s="684">
        <f>'WK9 - Ratios'!M23</f>
        <v>1.9936738663343979E-2</v>
      </c>
      <c r="J706" s="684">
        <f>'WK9 - Ratios'!N23</f>
        <v>9.9793854071062622E-3</v>
      </c>
      <c r="K706" s="684">
        <f>'WK9 - Ratios'!O23</f>
        <v>-6.7048666323545596E-3</v>
      </c>
      <c r="L706" s="684">
        <f>'WK9 - Ratios'!P23</f>
        <v>-1.4094749954499336E-2</v>
      </c>
      <c r="M706" s="684">
        <f>'WK9 - Ratios'!Q23</f>
        <v>-2.5930275850350803E-2</v>
      </c>
      <c r="N706" s="684">
        <f>'WK9 - Ratios'!R23</f>
        <v>-3.5216908990263855E-2</v>
      </c>
      <c r="O706" s="684">
        <f>'WK9 - Ratios'!S23</f>
        <v>-2.8360266042838062E-2</v>
      </c>
      <c r="P706" s="684">
        <f>'WK9 - Ratios'!T23</f>
        <v>-3.4454209838557542E-2</v>
      </c>
      <c r="Q706" s="684">
        <f>'WK9 - Ratios'!U23</f>
        <v>-4.021135510273266E-2</v>
      </c>
      <c r="R706" s="685">
        <f>'WK9 - Ratios'!V23</f>
        <v>-4.6883542842674063E-2</v>
      </c>
      <c r="S706" s="3"/>
      <c r="T706" s="3"/>
      <c r="U706" s="3"/>
      <c r="V706" s="3"/>
      <c r="W706" s="3"/>
      <c r="X706" s="3"/>
      <c r="Y706" s="3"/>
      <c r="Z706" s="3"/>
      <c r="AA706" s="3"/>
      <c r="AB706" s="3"/>
      <c r="AC706" s="3"/>
    </row>
    <row r="707" spans="1:29" ht="12" x14ac:dyDescent="0.25">
      <c r="A707" s="3"/>
      <c r="B707" s="630" t="str">
        <f>B$653</f>
        <v xml:space="preserve">SCENARIO 3: Hybrid case  - SV expenditure but no SV income </v>
      </c>
      <c r="C707" s="3"/>
      <c r="D707" s="96"/>
      <c r="E707" s="684">
        <f>'WK9 - Ratios'!I24</f>
        <v>5.3354654174455528E-2</v>
      </c>
      <c r="F707" s="684">
        <f>'WK9 - Ratios'!J24</f>
        <v>3.8192623667191047E-2</v>
      </c>
      <c r="G707" s="685">
        <f>'WK9 - Ratios'!K24</f>
        <v>-1.9020474222817409E-2</v>
      </c>
      <c r="H707" s="687">
        <f>'WK9 - Ratios'!L24</f>
        <v>2.335627193571323E-2</v>
      </c>
      <c r="I707" s="684">
        <f>'WK9 - Ratios'!M24</f>
        <v>9.3915691780408136E-3</v>
      </c>
      <c r="J707" s="684">
        <f>'WK9 - Ratios'!N24</f>
        <v>-1.1281360995163256E-3</v>
      </c>
      <c r="K707" s="684">
        <f>'WK9 - Ratios'!O24</f>
        <v>-1.8505258002582754E-2</v>
      </c>
      <c r="L707" s="684">
        <f>'WK9 - Ratios'!P24</f>
        <v>-2.6295783817551575E-2</v>
      </c>
      <c r="M707" s="684">
        <f>'WK9 - Ratios'!Q24</f>
        <v>-3.6842282080978062E-2</v>
      </c>
      <c r="N707" s="684">
        <f>'WK9 - Ratios'!R24</f>
        <v>-4.6158238677497979E-2</v>
      </c>
      <c r="O707" s="684">
        <f>'WK9 - Ratios'!S24</f>
        <v>-3.9335774948920238E-2</v>
      </c>
      <c r="P707" s="684">
        <f>'WK9 - Ratios'!T24</f>
        <v>-4.409420489790547E-2</v>
      </c>
      <c r="Q707" s="684">
        <f>'WK9 - Ratios'!U24</f>
        <v>-4.9930688053959497E-2</v>
      </c>
      <c r="R707" s="685">
        <f>'WK9 - Ratios'!V24</f>
        <v>-5.6656951285468674E-2</v>
      </c>
      <c r="S707" s="3"/>
      <c r="T707" s="682" t="str">
        <f>B709</f>
        <v>Own Source Revenue Ratio</v>
      </c>
      <c r="U707" s="3"/>
      <c r="V707" s="3"/>
      <c r="W707" s="3"/>
      <c r="X707" s="3"/>
      <c r="Y707" s="3"/>
      <c r="Z707" s="3"/>
      <c r="AA707" s="3"/>
      <c r="AB707" s="3"/>
      <c r="AC707" s="3"/>
    </row>
    <row r="708" spans="1:29" x14ac:dyDescent="0.2">
      <c r="A708" s="3"/>
      <c r="B708" s="135"/>
      <c r="C708" s="3"/>
      <c r="D708" s="96"/>
      <c r="E708" s="508"/>
      <c r="F708" s="508"/>
      <c r="G708" s="512"/>
      <c r="H708" s="518"/>
      <c r="I708" s="508"/>
      <c r="J708" s="508"/>
      <c r="K708" s="508"/>
      <c r="L708" s="508"/>
      <c r="M708" s="508"/>
      <c r="N708" s="508"/>
      <c r="O708" s="508"/>
      <c r="P708" s="508"/>
      <c r="Q708" s="508"/>
      <c r="R708" s="512"/>
      <c r="S708" s="3"/>
      <c r="T708" s="449" t="str">
        <f>'WK9 - Ratios'!D27</f>
        <v>Total continuing operating revenue</v>
      </c>
      <c r="U708" s="3"/>
      <c r="V708" s="3"/>
      <c r="W708" s="3"/>
      <c r="X708" s="3"/>
      <c r="Y708" s="3"/>
      <c r="Z708" s="3"/>
      <c r="AA708" s="3"/>
      <c r="AB708" s="3"/>
      <c r="AC708" s="3"/>
    </row>
    <row r="709" spans="1:29" ht="12" x14ac:dyDescent="0.25">
      <c r="A709" s="3"/>
      <c r="B709" s="632" t="str">
        <f>'WK9 - Ratios'!C27</f>
        <v>Own Source Revenue Ratio</v>
      </c>
      <c r="C709" s="3"/>
      <c r="D709" s="96"/>
      <c r="E709" s="508"/>
      <c r="F709" s="508"/>
      <c r="G709" s="512"/>
      <c r="H709" s="518"/>
      <c r="I709" s="508"/>
      <c r="J709" s="508"/>
      <c r="K709" s="508"/>
      <c r="L709" s="508"/>
      <c r="M709" s="508"/>
      <c r="N709" s="508"/>
      <c r="O709" s="508"/>
      <c r="P709" s="508"/>
      <c r="Q709" s="508"/>
      <c r="R709" s="512"/>
      <c r="S709" s="3"/>
      <c r="T709" s="683" t="str">
        <f>'WK9 - Ratios'!D28</f>
        <v>(excl all grants and contributions)</v>
      </c>
      <c r="U709" s="406"/>
      <c r="V709" s="406"/>
      <c r="W709" s="3"/>
      <c r="X709" s="3"/>
      <c r="Y709" s="3"/>
      <c r="Z709" s="3"/>
      <c r="AA709" s="3"/>
      <c r="AB709" s="3"/>
      <c r="AC709" s="3"/>
    </row>
    <row r="710" spans="1:29" x14ac:dyDescent="0.2">
      <c r="A710" s="3"/>
      <c r="B710" s="655" t="str">
        <f>B$705</f>
        <v>SCENARIO 1: Proposed additional SV income and expenditure</v>
      </c>
      <c r="C710" s="3"/>
      <c r="D710" s="96"/>
      <c r="E710" s="684">
        <f>'WK9 - Ratios'!I28</f>
        <v>0.86588579587024006</v>
      </c>
      <c r="F710" s="684">
        <f>'WK9 - Ratios'!J28</f>
        <v>0.80893887630673167</v>
      </c>
      <c r="G710" s="685">
        <f>'WK9 - Ratios'!K28</f>
        <v>0.73756204207043252</v>
      </c>
      <c r="H710" s="687">
        <f>'WK9 - Ratios'!L28</f>
        <v>0.86480131657498671</v>
      </c>
      <c r="I710" s="684">
        <f>'WK9 - Ratios'!M28</f>
        <v>0.86461213687492278</v>
      </c>
      <c r="J710" s="684">
        <f>'WK9 - Ratios'!N28</f>
        <v>0.86766917558045331</v>
      </c>
      <c r="K710" s="684">
        <f>'WK9 - Ratios'!O28</f>
        <v>0.86975031447258033</v>
      </c>
      <c r="L710" s="684">
        <f>'WK9 - Ratios'!P28</f>
        <v>0.69308164084637847</v>
      </c>
      <c r="M710" s="684">
        <f>'WK9 - Ratios'!Q28</f>
        <v>0.87292825129140916</v>
      </c>
      <c r="N710" s="684">
        <f>'WK9 - Ratios'!R28</f>
        <v>0.87348039423091173</v>
      </c>
      <c r="O710" s="684">
        <f>'WK9 - Ratios'!S28</f>
        <v>0.87403752331353635</v>
      </c>
      <c r="P710" s="684">
        <f>'WK9 - Ratios'!T28</f>
        <v>0.87458161777568344</v>
      </c>
      <c r="Q710" s="684">
        <f>'WK9 - Ratios'!U28</f>
        <v>0.87502510001762657</v>
      </c>
      <c r="R710" s="685">
        <f>'WK9 - Ratios'!V28</f>
        <v>0.87585869777189218</v>
      </c>
      <c r="S710" s="3"/>
      <c r="T710" s="449" t="str">
        <f>'WK9 - Ratios'!D29</f>
        <v>Total continuing operating revenue</v>
      </c>
      <c r="U710" s="3"/>
      <c r="V710" s="3"/>
      <c r="W710" s="3"/>
      <c r="X710" s="3"/>
      <c r="Y710" s="3"/>
      <c r="Z710" s="3"/>
      <c r="AA710" s="3"/>
      <c r="AB710" s="3"/>
      <c r="AC710" s="3"/>
    </row>
    <row r="711" spans="1:29" x14ac:dyDescent="0.2">
      <c r="A711" s="3"/>
      <c r="B711" s="655" t="str">
        <f>B$706</f>
        <v>SCENARIO 2: Base case -  no SV income or expenditure</v>
      </c>
      <c r="C711" s="3"/>
      <c r="D711" s="96"/>
      <c r="E711" s="684">
        <f>'WK9 - Ratios'!I29</f>
        <v>0.86588579587024006</v>
      </c>
      <c r="F711" s="684">
        <f>'WK9 - Ratios'!J29</f>
        <v>0.80893887630673167</v>
      </c>
      <c r="G711" s="685">
        <f>'WK9 - Ratios'!K29</f>
        <v>0.73756204207043252</v>
      </c>
      <c r="H711" s="687">
        <f>'WK9 - Ratios'!L29</f>
        <v>0.86480131657498671</v>
      </c>
      <c r="I711" s="684">
        <f>'WK9 - Ratios'!M29</f>
        <v>0.86173721690995231</v>
      </c>
      <c r="J711" s="684">
        <f>'WK9 - Ratios'!N29</f>
        <v>0.86225190128257911</v>
      </c>
      <c r="K711" s="684">
        <f>'WK9 - Ratios'!O29</f>
        <v>0.86202189152545428</v>
      </c>
      <c r="L711" s="684">
        <f>'WK9 - Ratios'!P29</f>
        <v>0.67496240947178243</v>
      </c>
      <c r="M711" s="684">
        <f>'WK9 - Ratios'!Q29</f>
        <v>0.86332699399647961</v>
      </c>
      <c r="N711" s="684">
        <f>'WK9 - Ratios'!R29</f>
        <v>0.86390519134318144</v>
      </c>
      <c r="O711" s="684">
        <f>'WK9 - Ratios'!S29</f>
        <v>0.86449040486489803</v>
      </c>
      <c r="P711" s="684">
        <f>'WK9 - Ratios'!T29</f>
        <v>0.86506175738962177</v>
      </c>
      <c r="Q711" s="684">
        <f>'WK9 - Ratios'!U29</f>
        <v>0.86552586755772376</v>
      </c>
      <c r="R711" s="685">
        <f>'WK9 - Ratios'!V29</f>
        <v>0.86638107339069681</v>
      </c>
      <c r="S711" s="3"/>
      <c r="T711" s="449" t="str">
        <f>'WK9 - Ratios'!D30</f>
        <v>(incl. capital grants and contributions)</v>
      </c>
      <c r="U711" s="192"/>
      <c r="V711" s="256"/>
      <c r="W711" s="3"/>
      <c r="X711" s="3"/>
      <c r="Y711" s="3"/>
      <c r="Z711" s="3"/>
      <c r="AA711" s="3"/>
      <c r="AB711" s="3"/>
      <c r="AC711" s="3"/>
    </row>
    <row r="712" spans="1:29" x14ac:dyDescent="0.2">
      <c r="A712" s="3"/>
      <c r="B712" s="135"/>
      <c r="C712" s="3"/>
      <c r="D712" s="96"/>
      <c r="E712" s="508"/>
      <c r="F712" s="508"/>
      <c r="G712" s="512"/>
      <c r="H712" s="518"/>
      <c r="I712" s="508"/>
      <c r="J712" s="508"/>
      <c r="K712" s="508"/>
      <c r="L712" s="508"/>
      <c r="M712" s="508"/>
      <c r="N712" s="508"/>
      <c r="O712" s="508"/>
      <c r="P712" s="508"/>
      <c r="Q712" s="508"/>
      <c r="R712" s="512"/>
      <c r="S712" s="3"/>
      <c r="T712" s="1"/>
      <c r="U712" s="3"/>
      <c r="V712" s="3"/>
      <c r="W712" s="3"/>
      <c r="X712" s="3"/>
      <c r="Y712" s="3"/>
      <c r="Z712" s="3"/>
      <c r="AA712" s="3"/>
      <c r="AB712" s="3"/>
      <c r="AC712" s="3"/>
    </row>
    <row r="713" spans="1:29" ht="12" x14ac:dyDescent="0.25">
      <c r="A713" s="3"/>
      <c r="B713" s="676" t="str">
        <f>'WK9 - Ratios'!C33</f>
        <v>Infrastructure Renewals Ratio</v>
      </c>
      <c r="C713" s="3"/>
      <c r="D713" s="96"/>
      <c r="E713" s="508"/>
      <c r="F713" s="508"/>
      <c r="G713" s="512"/>
      <c r="H713" s="518"/>
      <c r="I713" s="508"/>
      <c r="J713" s="508"/>
      <c r="K713" s="508"/>
      <c r="L713" s="508"/>
      <c r="M713" s="508"/>
      <c r="N713" s="508"/>
      <c r="O713" s="508"/>
      <c r="P713" s="508"/>
      <c r="Q713" s="508"/>
      <c r="R713" s="512"/>
      <c r="S713" s="192"/>
      <c r="T713" s="686" t="str">
        <f>B713</f>
        <v>Infrastructure Renewals Ratio</v>
      </c>
      <c r="U713" s="3"/>
      <c r="V713" s="3"/>
      <c r="W713" s="3"/>
      <c r="X713" s="3"/>
      <c r="Y713" s="3"/>
      <c r="Z713" s="3"/>
      <c r="AA713" s="3"/>
      <c r="AB713" s="3"/>
      <c r="AC713" s="3"/>
    </row>
    <row r="714" spans="1:29" x14ac:dyDescent="0.2">
      <c r="A714" s="3"/>
      <c r="B714" s="655" t="str">
        <f>B$705</f>
        <v>SCENARIO 1: Proposed additional SV income and expenditure</v>
      </c>
      <c r="C714" s="3"/>
      <c r="D714" s="96"/>
      <c r="E714" s="684">
        <f>'WK9 - Ratios'!I33</f>
        <v>0.92300000000000004</v>
      </c>
      <c r="F714" s="684">
        <f>'WK9 - Ratios'!J33</f>
        <v>0.89290000000000003</v>
      </c>
      <c r="G714" s="685">
        <f>'WK9 - Ratios'!K33</f>
        <v>0.9123</v>
      </c>
      <c r="H714" s="687">
        <f>'WK9 - Ratios'!L33</f>
        <v>1.3186491521750445</v>
      </c>
      <c r="I714" s="684">
        <f>'WK9 - Ratios'!M33</f>
        <v>1.0124590001404961</v>
      </c>
      <c r="J714" s="684">
        <f>'WK9 - Ratios'!N33</f>
        <v>1.0261346251118706</v>
      </c>
      <c r="K714" s="684">
        <f>'WK9 - Ratios'!O33</f>
        <v>1.0398694943824653</v>
      </c>
      <c r="L714" s="684">
        <f>'WK9 - Ratios'!P33</f>
        <v>1.0373584426883935</v>
      </c>
      <c r="M714" s="684">
        <f>'WK9 - Ratios'!Q33</f>
        <v>1.0512665312579448</v>
      </c>
      <c r="N714" s="684">
        <f>'WK9 - Ratios'!R33</f>
        <v>1.0539013223163458</v>
      </c>
      <c r="O714" s="684">
        <f>'WK9 - Ratios'!S33</f>
        <v>1.0544574452168776</v>
      </c>
      <c r="P714" s="684">
        <f>'WK9 - Ratios'!T33</f>
        <v>1.0595214620579043</v>
      </c>
      <c r="Q714" s="684">
        <f>'WK9 - Ratios'!U33</f>
        <v>1.0653715682294183</v>
      </c>
      <c r="R714" s="685">
        <f>'WK9 - Ratios'!V33</f>
        <v>1.0710941569622732</v>
      </c>
      <c r="S714" s="3"/>
      <c r="T714" s="683" t="str">
        <f>'WK9 - Ratios'!D33</f>
        <v>Asset renewals (building and infrastructure)</v>
      </c>
      <c r="U714" s="406"/>
      <c r="V714" s="406"/>
      <c r="W714" s="406"/>
      <c r="X714" s="406"/>
      <c r="Y714" s="3"/>
      <c r="Z714" s="3"/>
      <c r="AA714" s="3"/>
      <c r="AB714" s="3"/>
      <c r="AC714" s="3"/>
    </row>
    <row r="715" spans="1:29" x14ac:dyDescent="0.2">
      <c r="A715" s="3"/>
      <c r="B715" s="655" t="str">
        <f>B$706</f>
        <v>SCENARIO 2: Base case -  no SV income or expenditure</v>
      </c>
      <c r="C715" s="3"/>
      <c r="D715" s="96"/>
      <c r="E715" s="684">
        <f>'WK9 - Ratios'!I34</f>
        <v>0.92300000000000004</v>
      </c>
      <c r="F715" s="684">
        <f>'WK9 - Ratios'!J34</f>
        <v>0.89290000000000003</v>
      </c>
      <c r="G715" s="685">
        <f>'WK9 - Ratios'!K34</f>
        <v>0.9123</v>
      </c>
      <c r="H715" s="687">
        <f>'WK9 - Ratios'!L34</f>
        <v>1.3186491521750445</v>
      </c>
      <c r="I715" s="684">
        <f>'WK9 - Ratios'!M34</f>
        <v>0.91966824955648041</v>
      </c>
      <c r="J715" s="684">
        <f>'WK9 - Ratios'!N34</f>
        <v>0.93489133321839002</v>
      </c>
      <c r="K715" s="684">
        <f>'WK9 - Ratios'!O34</f>
        <v>0.95015970452496623</v>
      </c>
      <c r="L715" s="684">
        <f>'WK9 - Ratios'!P34</f>
        <v>0.9491678772105181</v>
      </c>
      <c r="M715" s="684">
        <f>'WK9 - Ratios'!Q34</f>
        <v>0.96458068047770729</v>
      </c>
      <c r="N715" s="684">
        <f>'WK9 - Ratios'!R34</f>
        <v>0.96870543351678229</v>
      </c>
      <c r="O715" s="684">
        <f>'WK9 - Ratios'!S34</f>
        <v>0.97073651500717995</v>
      </c>
      <c r="P715" s="684">
        <f>'WK9 - Ratios'!T34</f>
        <v>0.97726031328585972</v>
      </c>
      <c r="Q715" s="684">
        <f>'WK9 - Ratios'!U34</f>
        <v>0.98455475845772777</v>
      </c>
      <c r="R715" s="685">
        <f>'WK9 - Ratios'!V34</f>
        <v>0.99170613167339061</v>
      </c>
      <c r="S715" s="3"/>
      <c r="T715" s="449" t="str">
        <f>'WK9 - Ratios'!D34</f>
        <v>Depreciation, amortisation and impairment</v>
      </c>
      <c r="U715" s="3"/>
      <c r="V715" s="3"/>
      <c r="W715" s="3"/>
      <c r="X715" s="3"/>
      <c r="Y715" s="3"/>
      <c r="Z715" s="3"/>
      <c r="AA715" s="3"/>
      <c r="AB715" s="3"/>
      <c r="AC715" s="3"/>
    </row>
    <row r="716" spans="1:29" x14ac:dyDescent="0.2">
      <c r="A716" s="3"/>
      <c r="B716" s="248"/>
      <c r="C716" s="3"/>
      <c r="D716" s="96"/>
      <c r="E716" s="508"/>
      <c r="F716" s="508"/>
      <c r="G716" s="512"/>
      <c r="H716" s="518"/>
      <c r="I716" s="508"/>
      <c r="J716" s="508"/>
      <c r="K716" s="508"/>
      <c r="L716" s="508"/>
      <c r="M716" s="508"/>
      <c r="N716" s="508"/>
      <c r="O716" s="508"/>
      <c r="P716" s="508"/>
      <c r="Q716" s="508"/>
      <c r="R716" s="512"/>
      <c r="S716" s="3"/>
      <c r="T716" s="449" t="str">
        <f>'WK9 - Ratios'!D35</f>
        <v>(building and infrastructure)</v>
      </c>
      <c r="U716" s="3"/>
      <c r="V716" s="3"/>
      <c r="W716" s="3"/>
      <c r="X716" s="3"/>
      <c r="Y716" s="3"/>
      <c r="Z716" s="3"/>
      <c r="AA716" s="3"/>
      <c r="AB716" s="3"/>
      <c r="AC716" s="3"/>
    </row>
    <row r="717" spans="1:29" x14ac:dyDescent="0.2">
      <c r="A717" s="3"/>
      <c r="B717" s="248"/>
      <c r="C717" s="3"/>
      <c r="D717" s="96"/>
      <c r="E717" s="508"/>
      <c r="F717" s="508"/>
      <c r="G717" s="512"/>
      <c r="H717" s="518"/>
      <c r="I717" s="508"/>
      <c r="J717" s="508"/>
      <c r="K717" s="508"/>
      <c r="L717" s="508"/>
      <c r="M717" s="508"/>
      <c r="N717" s="508"/>
      <c r="O717" s="508"/>
      <c r="P717" s="508"/>
      <c r="Q717" s="508"/>
      <c r="R717" s="512"/>
      <c r="S717" s="3"/>
      <c r="T717" s="3"/>
      <c r="U717" s="3"/>
      <c r="V717" s="3"/>
      <c r="W717" s="3"/>
      <c r="X717" s="3"/>
      <c r="Y717" s="3"/>
      <c r="Z717" s="3"/>
      <c r="AA717" s="3"/>
      <c r="AB717" s="3"/>
      <c r="AC717" s="3"/>
    </row>
    <row r="718" spans="1:29" ht="12" x14ac:dyDescent="0.25">
      <c r="A718" s="3"/>
      <c r="B718" s="665" t="str">
        <f>'WK9 - Ratios'!C37</f>
        <v>2. Effective infrastructure and service management</v>
      </c>
      <c r="C718" s="79"/>
      <c r="D718" s="79"/>
      <c r="E718" s="563"/>
      <c r="F718" s="79"/>
      <c r="G718" s="564"/>
      <c r="H718" s="563"/>
      <c r="I718" s="79"/>
      <c r="J718" s="79"/>
      <c r="K718" s="79"/>
      <c r="L718" s="79"/>
      <c r="M718" s="79"/>
      <c r="N718" s="79"/>
      <c r="O718" s="79"/>
      <c r="P718" s="79"/>
      <c r="Q718" s="79"/>
      <c r="R718" s="564"/>
      <c r="S718" s="135"/>
      <c r="T718" s="3"/>
      <c r="U718" s="3"/>
      <c r="V718" s="3"/>
      <c r="W718" s="3"/>
      <c r="X718" s="3"/>
      <c r="Y718" s="3"/>
      <c r="Z718" s="3"/>
      <c r="AA718" s="3"/>
      <c r="AB718" s="3"/>
      <c r="AC718" s="3"/>
    </row>
    <row r="719" spans="1:29" ht="12" x14ac:dyDescent="0.25">
      <c r="A719" s="3"/>
      <c r="B719" s="248"/>
      <c r="C719" s="3"/>
      <c r="D719" s="96"/>
      <c r="E719" s="508"/>
      <c r="F719" s="508"/>
      <c r="G719" s="512"/>
      <c r="H719" s="518"/>
      <c r="I719" s="508"/>
      <c r="J719" s="508"/>
      <c r="K719" s="508"/>
      <c r="L719" s="508"/>
      <c r="M719" s="508"/>
      <c r="N719" s="508"/>
      <c r="O719" s="508"/>
      <c r="P719" s="508"/>
      <c r="Q719" s="508"/>
      <c r="R719" s="512"/>
      <c r="S719" s="192"/>
      <c r="T719" s="686" t="str">
        <f>B720</f>
        <v>Infrastructure Backlog Ratio</v>
      </c>
      <c r="U719" s="192"/>
      <c r="V719" s="256"/>
      <c r="W719" s="3"/>
      <c r="X719" s="3"/>
      <c r="Y719" s="3"/>
      <c r="Z719" s="3"/>
      <c r="AA719" s="3"/>
      <c r="AB719" s="3"/>
      <c r="AC719" s="3"/>
    </row>
    <row r="720" spans="1:29" ht="12" x14ac:dyDescent="0.25">
      <c r="A720" s="3"/>
      <c r="B720" s="676" t="str">
        <f>'WK9 - Ratios'!C39</f>
        <v>Infrastructure Backlog Ratio</v>
      </c>
      <c r="C720" s="3"/>
      <c r="D720" s="96"/>
      <c r="E720" s="508"/>
      <c r="F720" s="508"/>
      <c r="G720" s="512"/>
      <c r="H720" s="518"/>
      <c r="I720" s="508"/>
      <c r="J720" s="508"/>
      <c r="K720" s="508"/>
      <c r="L720" s="508"/>
      <c r="M720" s="508"/>
      <c r="N720" s="508"/>
      <c r="O720" s="508"/>
      <c r="P720" s="508"/>
      <c r="Q720" s="508"/>
      <c r="R720" s="512"/>
      <c r="S720" s="3"/>
      <c r="T720" s="683" t="str">
        <f>'WK9 - Ratios'!D40</f>
        <v>Estimated cost to bring assets to satisfactory condition</v>
      </c>
      <c r="U720" s="406"/>
      <c r="V720" s="406"/>
      <c r="W720" s="406"/>
      <c r="X720" s="406"/>
      <c r="Y720" s="3"/>
      <c r="Z720" s="3"/>
      <c r="AA720" s="3"/>
      <c r="AB720" s="3"/>
      <c r="AC720" s="3"/>
    </row>
    <row r="721" spans="1:29" x14ac:dyDescent="0.2">
      <c r="A721" s="3"/>
      <c r="B721" s="655" t="str">
        <f>B$705</f>
        <v>SCENARIO 1: Proposed additional SV income and expenditure</v>
      </c>
      <c r="C721" s="3"/>
      <c r="D721" s="96"/>
      <c r="E721" s="684">
        <f>'WK9 - Ratios'!I40</f>
        <v>1.1900000000000001E-2</v>
      </c>
      <c r="F721" s="684">
        <f>'WK9 - Ratios'!J40</f>
        <v>1.3100000000000001E-2</v>
      </c>
      <c r="G721" s="685">
        <f>'WK9 - Ratios'!K40</f>
        <v>1.47E-2</v>
      </c>
      <c r="H721" s="687">
        <f>'WK9 - Ratios'!L40</f>
        <v>7.0675636839779028E-3</v>
      </c>
      <c r="I721" s="684">
        <f>'WK9 - Ratios'!M40</f>
        <v>5.6690478683933832E-3</v>
      </c>
      <c r="J721" s="684">
        <f>'WK9 - Ratios'!N40</f>
        <v>5.3946588813334776E-3</v>
      </c>
      <c r="K721" s="684">
        <f>'WK9 - Ratios'!O40</f>
        <v>5.414642919499473E-3</v>
      </c>
      <c r="L721" s="684">
        <f>'WK9 - Ratios'!P40</f>
        <v>5.4343855190928199E-3</v>
      </c>
      <c r="M721" s="684">
        <f>'WK9 - Ratios'!Q40</f>
        <v>5.453869823642583E-3</v>
      </c>
      <c r="N721" s="684">
        <f>'WK9 - Ratios'!R40</f>
        <v>5.4730796589070084E-3</v>
      </c>
      <c r="O721" s="684">
        <f>'WK9 - Ratios'!S40</f>
        <v>5.4919947304058496E-3</v>
      </c>
      <c r="P721" s="684">
        <f>'WK9 - Ratios'!T40</f>
        <v>5.5106003643108333E-3</v>
      </c>
      <c r="Q721" s="684">
        <f>'WK9 - Ratios'!U40</f>
        <v>5.5288728842839974E-3</v>
      </c>
      <c r="R721" s="685">
        <f>'WK9 - Ratios'!V40</f>
        <v>5.5467993165863811E-3</v>
      </c>
      <c r="S721" s="3"/>
      <c r="T721" s="449" t="str">
        <f>'WK9 - Ratios'!D41</f>
        <v>Total (WDV)b of infrastructure, buildings, other</v>
      </c>
      <c r="U721" s="3"/>
      <c r="V721" s="3"/>
      <c r="W721" s="3"/>
      <c r="X721" s="3"/>
      <c r="Y721" s="3"/>
      <c r="Z721" s="3"/>
      <c r="AA721" s="3"/>
      <c r="AB721" s="3"/>
      <c r="AC721" s="3"/>
    </row>
    <row r="722" spans="1:29" x14ac:dyDescent="0.2">
      <c r="A722" s="3"/>
      <c r="B722" s="655" t="str">
        <f>B$706</f>
        <v>SCENARIO 2: Base case -  no SV income or expenditure</v>
      </c>
      <c r="C722" s="3"/>
      <c r="D722" s="96"/>
      <c r="E722" s="684">
        <f>'WK9 - Ratios'!I41</f>
        <v>1.1900000000000001E-2</v>
      </c>
      <c r="F722" s="684">
        <f>'WK9 - Ratios'!J41</f>
        <v>1.3100000000000001E-2</v>
      </c>
      <c r="G722" s="685">
        <f>'WK9 - Ratios'!K41</f>
        <v>1.47E-2</v>
      </c>
      <c r="H722" s="687">
        <f>'WK9 - Ratios'!L41</f>
        <v>7.0675636839779028E-3</v>
      </c>
      <c r="I722" s="684">
        <f>'WK9 - Ratios'!M41</f>
        <v>7.3428251803688031E-3</v>
      </c>
      <c r="J722" s="684">
        <f>'WK9 - Ratios'!N41</f>
        <v>7.3277071140945699E-3</v>
      </c>
      <c r="K722" s="684">
        <f>'WK9 - Ratios'!O41</f>
        <v>7.3477043866368276E-3</v>
      </c>
      <c r="L722" s="684">
        <f>'WK9 - Ratios'!P41</f>
        <v>7.3458006841307186E-3</v>
      </c>
      <c r="M722" s="684">
        <f>'WK9 - Ratios'!Q41</f>
        <v>7.3721381269176919E-3</v>
      </c>
      <c r="N722" s="684">
        <f>'WK9 - Ratios'!R41</f>
        <v>7.39810456241103E-3</v>
      </c>
      <c r="O722" s="684">
        <f>'WK9 - Ratios'!S41</f>
        <v>7.423672558032321E-3</v>
      </c>
      <c r="P722" s="684">
        <f>'WK9 - Ratios'!T41</f>
        <v>7.44882227878506E-3</v>
      </c>
      <c r="Q722" s="684">
        <f>'WK9 - Ratios'!U41</f>
        <v>7.4808200818009462E-3</v>
      </c>
      <c r="R722" s="685">
        <f>'WK9 - Ratios'!V41</f>
        <v>7.5050753717252122E-3</v>
      </c>
      <c r="S722" s="3"/>
      <c r="T722" s="449" t="str">
        <f>'WK9 - Ratios'!D42</f>
        <v xml:space="preserve">  structures, depreciable land, and improvement assets</v>
      </c>
      <c r="U722" s="3"/>
      <c r="V722" s="3"/>
      <c r="W722" s="3"/>
      <c r="X722" s="3"/>
      <c r="Y722" s="3"/>
      <c r="Z722" s="3"/>
      <c r="AA722" s="3"/>
      <c r="AB722" s="3"/>
      <c r="AC722" s="3"/>
    </row>
    <row r="723" spans="1:29" x14ac:dyDescent="0.2">
      <c r="A723" s="3"/>
      <c r="B723" s="135"/>
      <c r="C723" s="3"/>
      <c r="D723" s="96"/>
      <c r="E723" s="508"/>
      <c r="F723" s="508"/>
      <c r="G723" s="512"/>
      <c r="H723" s="518"/>
      <c r="I723" s="508"/>
      <c r="J723" s="508"/>
      <c r="K723" s="508"/>
      <c r="L723" s="508"/>
      <c r="M723" s="508"/>
      <c r="N723" s="508"/>
      <c r="O723" s="508"/>
      <c r="P723" s="508"/>
      <c r="Q723" s="508"/>
      <c r="R723" s="512"/>
      <c r="S723" s="3"/>
      <c r="T723" s="1"/>
      <c r="U723" s="3"/>
      <c r="V723" s="3"/>
      <c r="W723" s="3"/>
      <c r="X723" s="3"/>
      <c r="Y723" s="3"/>
      <c r="Z723" s="3"/>
      <c r="AA723" s="3"/>
      <c r="AB723" s="3"/>
      <c r="AC723" s="3"/>
    </row>
    <row r="724" spans="1:29" ht="12" x14ac:dyDescent="0.25">
      <c r="A724" s="3"/>
      <c r="B724" s="135"/>
      <c r="C724" s="3"/>
      <c r="D724" s="96"/>
      <c r="E724" s="508"/>
      <c r="F724" s="508"/>
      <c r="G724" s="512"/>
      <c r="H724" s="518"/>
      <c r="I724" s="508"/>
      <c r="J724" s="508"/>
      <c r="K724" s="508"/>
      <c r="L724" s="508"/>
      <c r="M724" s="508"/>
      <c r="N724" s="508"/>
      <c r="O724" s="508"/>
      <c r="P724" s="508"/>
      <c r="Q724" s="508"/>
      <c r="R724" s="512"/>
      <c r="S724" s="3"/>
      <c r="T724" s="686" t="str">
        <f>B725</f>
        <v>Asset Maintenance Ratio</v>
      </c>
      <c r="U724" s="3"/>
      <c r="V724" s="3"/>
      <c r="W724" s="3"/>
      <c r="X724" s="3"/>
      <c r="Y724" s="3"/>
      <c r="Z724" s="3"/>
      <c r="AA724" s="3"/>
      <c r="AB724" s="3"/>
      <c r="AC724" s="3"/>
    </row>
    <row r="725" spans="1:29" ht="12" x14ac:dyDescent="0.25">
      <c r="A725" s="3"/>
      <c r="B725" s="676" t="str">
        <f>'WK9 - Ratios'!C45</f>
        <v>Asset Maintenance Ratio</v>
      </c>
      <c r="C725" s="3"/>
      <c r="D725" s="96"/>
      <c r="E725" s="508"/>
      <c r="F725" s="508"/>
      <c r="G725" s="512"/>
      <c r="H725" s="518"/>
      <c r="I725" s="508"/>
      <c r="J725" s="508"/>
      <c r="K725" s="508"/>
      <c r="L725" s="508"/>
      <c r="M725" s="508"/>
      <c r="N725" s="508"/>
      <c r="O725" s="508"/>
      <c r="P725" s="508"/>
      <c r="Q725" s="508"/>
      <c r="R725" s="512"/>
      <c r="S725" s="3"/>
      <c r="T725" s="683" t="str">
        <f>'WK9 - Ratios'!D46</f>
        <v>Actual asset maintenance</v>
      </c>
      <c r="U725" s="406"/>
      <c r="V725" s="1"/>
      <c r="W725" s="3"/>
      <c r="X725" s="3"/>
      <c r="Y725" s="3"/>
      <c r="Z725" s="3"/>
      <c r="AA725" s="3"/>
      <c r="AB725" s="3"/>
      <c r="AC725" s="3"/>
    </row>
    <row r="726" spans="1:29" x14ac:dyDescent="0.2">
      <c r="A726" s="3"/>
      <c r="B726" s="655" t="str">
        <f>B$705</f>
        <v>SCENARIO 1: Proposed additional SV income and expenditure</v>
      </c>
      <c r="C726" s="3"/>
      <c r="D726" s="96"/>
      <c r="E726" s="684">
        <f>'WK9 - Ratios'!I46</f>
        <v>1.0509999999999999</v>
      </c>
      <c r="F726" s="684">
        <f>'WK9 - Ratios'!J46</f>
        <v>0.99380000000000002</v>
      </c>
      <c r="G726" s="685">
        <f>'WK9 - Ratios'!K46</f>
        <v>0.7984</v>
      </c>
      <c r="H726" s="687">
        <f>'WK9 - Ratios'!L46</f>
        <v>0.8574341051405272</v>
      </c>
      <c r="I726" s="684">
        <f>'WK9 - Ratios'!M46</f>
        <v>0.96766901890977419</v>
      </c>
      <c r="J726" s="684">
        <f>'WK9 - Ratios'!N46</f>
        <v>0.96565241626014042</v>
      </c>
      <c r="K726" s="684">
        <f>'WK9 - Ratios'!O46</f>
        <v>0.96918443293134937</v>
      </c>
      <c r="L726" s="684">
        <f>'WK9 - Ratios'!P46</f>
        <v>0.97083204550533542</v>
      </c>
      <c r="M726" s="684">
        <f>'WK9 - Ratios'!Q46</f>
        <v>0.97385402748916228</v>
      </c>
      <c r="N726" s="684">
        <f>'WK9 - Ratios'!R46</f>
        <v>0.97331528717821614</v>
      </c>
      <c r="O726" s="684">
        <f>'WK9 - Ratios'!S46</f>
        <v>0.96923302268725997</v>
      </c>
      <c r="P726" s="684">
        <f>'WK9 - Ratios'!T46</f>
        <v>0.96877337156057608</v>
      </c>
      <c r="Q726" s="684">
        <f>'WK9 - Ratios'!U46</f>
        <v>0.96831593231109758</v>
      </c>
      <c r="R726" s="685">
        <f>'WK9 - Ratios'!V46</f>
        <v>0.96772875545047299</v>
      </c>
      <c r="S726" s="3"/>
      <c r="T726" s="449" t="str">
        <f>'WK9 - Ratios'!D47</f>
        <v>Required asset maintenance</v>
      </c>
      <c r="U726" s="3"/>
      <c r="V726" s="3"/>
      <c r="W726" s="3"/>
      <c r="X726" s="3"/>
      <c r="Y726" s="3"/>
      <c r="Z726" s="3"/>
      <c r="AA726" s="3"/>
      <c r="AB726" s="3"/>
      <c r="AC726" s="3"/>
    </row>
    <row r="727" spans="1:29" x14ac:dyDescent="0.2">
      <c r="A727" s="3"/>
      <c r="B727" s="655" t="str">
        <f>B$706</f>
        <v>SCENARIO 2: Base case -  no SV income or expenditure</v>
      </c>
      <c r="C727" s="3"/>
      <c r="D727" s="96"/>
      <c r="E727" s="684">
        <f>'WK9 - Ratios'!I47</f>
        <v>1.0509999999999999</v>
      </c>
      <c r="F727" s="684">
        <f>'WK9 - Ratios'!J47</f>
        <v>0.99380000000000002</v>
      </c>
      <c r="G727" s="685">
        <f>'WK9 - Ratios'!K47</f>
        <v>0.7984</v>
      </c>
      <c r="H727" s="687">
        <f>'WK9 - Ratios'!L47</f>
        <v>0.8574341051405272</v>
      </c>
      <c r="I727" s="684">
        <f>'WK9 - Ratios'!M47</f>
        <v>0.96766901890977419</v>
      </c>
      <c r="J727" s="684">
        <f>'WK9 - Ratios'!N47</f>
        <v>0.96565241626014042</v>
      </c>
      <c r="K727" s="684">
        <f>'WK9 - Ratios'!O47</f>
        <v>0.96918443293134937</v>
      </c>
      <c r="L727" s="684">
        <f>'WK9 - Ratios'!P47</f>
        <v>0.97083204550533542</v>
      </c>
      <c r="M727" s="684">
        <f>'WK9 - Ratios'!Q47</f>
        <v>0.97385402748916228</v>
      </c>
      <c r="N727" s="684">
        <f>'WK9 - Ratios'!R47</f>
        <v>0.97331528717821614</v>
      </c>
      <c r="O727" s="684">
        <f>'WK9 - Ratios'!S47</f>
        <v>0.96923302268725997</v>
      </c>
      <c r="P727" s="684">
        <f>'WK9 - Ratios'!T47</f>
        <v>0.96877337156057608</v>
      </c>
      <c r="Q727" s="684">
        <f>'WK9 - Ratios'!U47</f>
        <v>0.96831593231109758</v>
      </c>
      <c r="R727" s="685">
        <f>'WK9 - Ratios'!V47</f>
        <v>0.96772875545047299</v>
      </c>
      <c r="S727" s="3"/>
      <c r="T727" s="3"/>
      <c r="U727" s="3"/>
      <c r="V727" s="3"/>
      <c r="W727" s="3"/>
      <c r="X727" s="3"/>
      <c r="Y727" s="3"/>
      <c r="Z727" s="3"/>
      <c r="AA727" s="3"/>
      <c r="AB727" s="3"/>
      <c r="AC727" s="3"/>
    </row>
    <row r="728" spans="1:29" ht="12" x14ac:dyDescent="0.25">
      <c r="A728" s="3"/>
      <c r="B728" s="135"/>
      <c r="C728" s="3"/>
      <c r="D728" s="96"/>
      <c r="E728" s="508"/>
      <c r="F728" s="508"/>
      <c r="G728" s="512"/>
      <c r="H728" s="518"/>
      <c r="I728" s="508"/>
      <c r="J728" s="508"/>
      <c r="K728" s="508"/>
      <c r="L728" s="508"/>
      <c r="M728" s="508"/>
      <c r="N728" s="508"/>
      <c r="O728" s="508"/>
      <c r="P728" s="508"/>
      <c r="Q728" s="508"/>
      <c r="R728" s="512"/>
      <c r="S728" s="3"/>
      <c r="T728" s="686" t="str">
        <f>B729</f>
        <v>Debt Service Ratio</v>
      </c>
      <c r="U728" s="3"/>
      <c r="V728" s="3"/>
      <c r="W728" s="3"/>
      <c r="X728" s="3"/>
      <c r="Y728" s="3"/>
      <c r="Z728" s="3"/>
      <c r="AA728" s="3"/>
      <c r="AB728" s="3"/>
      <c r="AC728" s="3"/>
    </row>
    <row r="729" spans="1:29" ht="12" x14ac:dyDescent="0.25">
      <c r="A729" s="3"/>
      <c r="B729" s="676" t="str">
        <f>'WK9 - Ratios'!C50</f>
        <v>Debt Service Ratio</v>
      </c>
      <c r="C729" s="3"/>
      <c r="D729" s="96"/>
      <c r="E729" s="508"/>
      <c r="F729" s="508"/>
      <c r="G729" s="512"/>
      <c r="H729" s="518"/>
      <c r="I729" s="508"/>
      <c r="J729" s="508"/>
      <c r="K729" s="508"/>
      <c r="L729" s="508"/>
      <c r="M729" s="508"/>
      <c r="N729" s="508"/>
      <c r="O729" s="508"/>
      <c r="P729" s="508"/>
      <c r="Q729" s="508"/>
      <c r="R729" s="512"/>
      <c r="S729" s="3"/>
      <c r="T729" s="449" t="str">
        <f>'WK9 - Ratios'!D51</f>
        <v>Cost of debt service</v>
      </c>
      <c r="U729" s="3"/>
      <c r="V729" s="3"/>
      <c r="W729" s="3"/>
      <c r="X729" s="3"/>
      <c r="Y729" s="3"/>
      <c r="Z729" s="3"/>
      <c r="AA729" s="3"/>
      <c r="AB729" s="3"/>
      <c r="AC729" s="3"/>
    </row>
    <row r="730" spans="1:29" x14ac:dyDescent="0.2">
      <c r="A730" s="3"/>
      <c r="B730" s="655" t="str">
        <f>B$705</f>
        <v>SCENARIO 1: Proposed additional SV income and expenditure</v>
      </c>
      <c r="C730" s="3"/>
      <c r="D730" s="96"/>
      <c r="E730" s="684">
        <f>'WK9 - Ratios'!I52</f>
        <v>5.2233429394812677E-3</v>
      </c>
      <c r="F730" s="684">
        <f>'WK9 - Ratios'!J52</f>
        <v>3.1392776069653172E-3</v>
      </c>
      <c r="G730" s="685">
        <f>'WK9 - Ratios'!K52</f>
        <v>2.333890393591886E-3</v>
      </c>
      <c r="H730" s="687">
        <f>'WK9 - Ratios'!L52</f>
        <v>0</v>
      </c>
      <c r="I730" s="684">
        <f>'WK9 - Ratios'!M52</f>
        <v>0</v>
      </c>
      <c r="J730" s="684">
        <f>'WK9 - Ratios'!N52</f>
        <v>0</v>
      </c>
      <c r="K730" s="684">
        <f>'WK9 - Ratios'!O52</f>
        <v>0</v>
      </c>
      <c r="L730" s="684">
        <f>'WK9 - Ratios'!P52</f>
        <v>0</v>
      </c>
      <c r="M730" s="684">
        <f>'WK9 - Ratios'!Q52</f>
        <v>0</v>
      </c>
      <c r="N730" s="684">
        <f>'WK9 - Ratios'!R52</f>
        <v>0</v>
      </c>
      <c r="O730" s="684">
        <f>'WK9 - Ratios'!S52</f>
        <v>0</v>
      </c>
      <c r="P730" s="684">
        <f>'WK9 - Ratios'!T52</f>
        <v>0</v>
      </c>
      <c r="Q730" s="684">
        <f>'WK9 - Ratios'!U52</f>
        <v>0</v>
      </c>
      <c r="R730" s="685">
        <f>'WK9 - Ratios'!V52</f>
        <v>0</v>
      </c>
      <c r="S730" s="3"/>
      <c r="T730" s="683" t="str">
        <f>'WK9 - Ratios'!D52</f>
        <v>(interest expense and principal repayments)</v>
      </c>
      <c r="U730" s="406"/>
      <c r="V730" s="406"/>
      <c r="W730" s="406"/>
      <c r="X730" s="3"/>
      <c r="Y730" s="3"/>
      <c r="Z730" s="3"/>
      <c r="AA730" s="3"/>
      <c r="AB730" s="3"/>
      <c r="AC730" s="3"/>
    </row>
    <row r="731" spans="1:29" x14ac:dyDescent="0.2">
      <c r="A731" s="3"/>
      <c r="B731" s="655" t="str">
        <f>B$706</f>
        <v>SCENARIO 2: Base case -  no SV income or expenditure</v>
      </c>
      <c r="C731" s="3"/>
      <c r="D731" s="96"/>
      <c r="E731" s="684">
        <f>'WK9 - Ratios'!I53</f>
        <v>5.2233429394812677E-3</v>
      </c>
      <c r="F731" s="684">
        <f>'WK9 - Ratios'!J53</f>
        <v>3.1392776069653172E-3</v>
      </c>
      <c r="G731" s="685">
        <f>'WK9 - Ratios'!K53</f>
        <v>2.333890393591886E-3</v>
      </c>
      <c r="H731" s="687">
        <f>'WK9 - Ratios'!L53</f>
        <v>0</v>
      </c>
      <c r="I731" s="684">
        <f>'WK9 - Ratios'!M53</f>
        <v>0</v>
      </c>
      <c r="J731" s="684">
        <f>'WK9 - Ratios'!N53</f>
        <v>0</v>
      </c>
      <c r="K731" s="684">
        <f>'WK9 - Ratios'!O53</f>
        <v>0</v>
      </c>
      <c r="L731" s="684">
        <f>'WK9 - Ratios'!P53</f>
        <v>0</v>
      </c>
      <c r="M731" s="684">
        <f>'WK9 - Ratios'!Q53</f>
        <v>0</v>
      </c>
      <c r="N731" s="684">
        <f>'WK9 - Ratios'!R53</f>
        <v>0</v>
      </c>
      <c r="O731" s="684">
        <f>'WK9 - Ratios'!S53</f>
        <v>0</v>
      </c>
      <c r="P731" s="684">
        <f>'WK9 - Ratios'!T53</f>
        <v>0</v>
      </c>
      <c r="Q731" s="684">
        <f>'WK9 - Ratios'!U53</f>
        <v>0</v>
      </c>
      <c r="R731" s="685">
        <f>'WK9 - Ratios'!V53</f>
        <v>0</v>
      </c>
      <c r="S731" s="3"/>
      <c r="T731" s="449" t="str">
        <f>'WK9 - Ratios'!D53</f>
        <v>Total continuing operating revenue</v>
      </c>
      <c r="U731" s="3"/>
      <c r="V731" s="3"/>
      <c r="W731" s="3"/>
      <c r="X731" s="3"/>
      <c r="Y731" s="3"/>
      <c r="Z731" s="3"/>
      <c r="AA731" s="3"/>
      <c r="AB731" s="3"/>
      <c r="AC731" s="3"/>
    </row>
    <row r="732" spans="1:29" x14ac:dyDescent="0.2">
      <c r="A732" s="3"/>
      <c r="B732" s="97"/>
      <c r="C732" s="93"/>
      <c r="D732" s="98"/>
      <c r="E732" s="93"/>
      <c r="F732" s="93"/>
      <c r="G732" s="98"/>
      <c r="H732" s="97"/>
      <c r="I732" s="93"/>
      <c r="J732" s="93"/>
      <c r="K732" s="93"/>
      <c r="L732" s="93"/>
      <c r="M732" s="93"/>
      <c r="N732" s="93"/>
      <c r="O732" s="93"/>
      <c r="P732" s="93"/>
      <c r="Q732" s="93"/>
      <c r="R732" s="98"/>
      <c r="S732" s="3"/>
      <c r="T732" s="449" t="str">
        <f>'WK9 - Ratios'!D54</f>
        <v>(excl capital grants and contributions)</v>
      </c>
      <c r="U732" s="3"/>
      <c r="V732" s="3"/>
      <c r="W732" s="3"/>
      <c r="X732" s="3"/>
      <c r="Y732" s="3"/>
      <c r="Z732" s="3"/>
      <c r="AA732" s="3"/>
      <c r="AB732" s="3"/>
      <c r="AC732" s="3"/>
    </row>
    <row r="733" spans="1:29"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x14ac:dyDescent="0.2">
      <c r="A736" s="3"/>
      <c r="B736" s="3" t="str">
        <f>'WK2 - Notional General Income'!H5</f>
        <v>WORKSHEET 2</v>
      </c>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ht="12" x14ac:dyDescent="0.25">
      <c r="A737" s="3"/>
      <c r="B737" s="2" t="str">
        <f>'WK2 - Notional General Income'!H7</f>
        <v>CALCULATION OF NOTIONAL GENERAL INCOME 2022-23</v>
      </c>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ht="45.6" x14ac:dyDescent="0.2">
      <c r="A738" s="3"/>
      <c r="B738" s="933" t="str">
        <f>'WK2 - Notional General Income'!C18</f>
        <v>Rating Category   (s514-518)</v>
      </c>
      <c r="C738" s="934" t="str">
        <f>'WK2 - Notional General Income'!D18</f>
        <v xml:space="preserve">Name of 
sub-category </v>
      </c>
      <c r="D738" s="937" t="str">
        <f>'WK2 - Notional General Income'!E18</f>
        <v>Number of Assessments</v>
      </c>
      <c r="E738" s="937" t="str">
        <f>'WK2 - Notional General Income'!F18</f>
        <v>Ad Valorem Rate (cents)</v>
      </c>
      <c r="F738" s="937" t="str">
        <f>'WK2 - Notional General Income'!G18</f>
        <v>Base Amount
$</v>
      </c>
      <c r="G738" s="937" t="str">
        <f>'WK2 - Notional General Income'!H18</f>
        <v>Base Amount %</v>
      </c>
      <c r="H738" s="937" t="str">
        <f>'WK2 - Notional General Income'!I18</f>
        <v>Minimum
Amount
$</v>
      </c>
      <c r="I738" s="937" t="str">
        <f>'WK2 - Notional General Income'!J18</f>
        <v>Number on Minimum</v>
      </c>
      <c r="J738" s="937" t="str">
        <f>'WK2 - Notional General Income'!K18</f>
        <v>Land Value
(see note above)
$</v>
      </c>
      <c r="K738" s="937" t="str">
        <f>'WK2 - Notional General Income'!L18</f>
        <v>Land Value of Land on Minimum</v>
      </c>
      <c r="L738" s="938" t="str">
        <f>'WK2 - Notional General Income'!M18</f>
        <v>Notional General 
Income</v>
      </c>
      <c r="M738" s="947"/>
      <c r="N738" s="947"/>
      <c r="O738" s="947"/>
      <c r="P738" s="3"/>
      <c r="Q738" s="3"/>
      <c r="R738" s="3"/>
      <c r="S738" s="3"/>
      <c r="T738" s="3"/>
      <c r="U738" s="3"/>
      <c r="V738" s="3"/>
      <c r="W738" s="3"/>
      <c r="X738" s="3"/>
      <c r="Y738" s="3"/>
      <c r="Z738" s="3"/>
      <c r="AA738" s="3"/>
      <c r="AB738" s="3"/>
      <c r="AC738" s="3"/>
    </row>
    <row r="739" spans="1:29" hidden="1" outlineLevel="1" x14ac:dyDescent="0.2">
      <c r="A739" s="3"/>
      <c r="B739" s="948" t="str">
        <f>'WK2 - Notional General Income'!C19</f>
        <v>Residential</v>
      </c>
      <c r="C739" s="949" t="str">
        <f>'WK2 - Notional General Income'!D19</f>
        <v>Residential</v>
      </c>
      <c r="D739" s="455">
        <f>'WK2 - Notional General Income'!E19</f>
        <v>52016</v>
      </c>
      <c r="E739" s="455">
        <f>'WK2 - Notional General Income'!F19</f>
        <v>0.105264</v>
      </c>
      <c r="F739" s="455">
        <f>'WK2 - Notional General Income'!G19</f>
        <v>595</v>
      </c>
      <c r="G739" s="939">
        <f>'WK2 - Notional General Income'!H19</f>
        <v>0.49129279056711567</v>
      </c>
      <c r="H739" s="455">
        <f>'WK2 - Notional General Income'!I19</f>
        <v>0</v>
      </c>
      <c r="I739" s="455">
        <f>'WK2 - Notional General Income'!J19</f>
        <v>0</v>
      </c>
      <c r="J739" s="455">
        <f>'WK2 - Notional General Income'!K19</f>
        <v>30443988568</v>
      </c>
      <c r="K739" s="455">
        <f>'WK2 - Notional General Income'!L19</f>
        <v>0</v>
      </c>
      <c r="L739" s="347">
        <f>'WK2 - Notional General Income'!M19</f>
        <v>62996080.126219511</v>
      </c>
      <c r="M739" s="947"/>
      <c r="N739" s="947"/>
      <c r="O739" s="947"/>
      <c r="P739" s="3"/>
      <c r="Q739" s="3"/>
      <c r="R739" s="3"/>
      <c r="S739" s="3"/>
      <c r="T739" s="3"/>
      <c r="U739" s="3"/>
      <c r="V739" s="3"/>
      <c r="W739" s="3"/>
      <c r="X739" s="3"/>
      <c r="Y739" s="3"/>
      <c r="Z739" s="3"/>
      <c r="AA739" s="3"/>
      <c r="AB739" s="3"/>
      <c r="AC739" s="3"/>
    </row>
    <row r="740" spans="1:29" hidden="1" outlineLevel="1" x14ac:dyDescent="0.2">
      <c r="A740" s="3"/>
      <c r="B740" s="948" t="str">
        <f>'WK2 - Notional General Income'!C20</f>
        <v>Residential</v>
      </c>
      <c r="C740" s="949">
        <f>'WK2 - Notional General Income'!D20</f>
        <v>0</v>
      </c>
      <c r="D740" s="455">
        <f>'WK2 - Notional General Income'!E20</f>
        <v>0</v>
      </c>
      <c r="E740" s="455">
        <f>'WK2 - Notional General Income'!F20</f>
        <v>0</v>
      </c>
      <c r="F740" s="455">
        <f>'WK2 - Notional General Income'!G20</f>
        <v>0</v>
      </c>
      <c r="G740" s="939" t="str">
        <f>'WK2 - Notional General Income'!H20</f>
        <v>.</v>
      </c>
      <c r="H740" s="455">
        <f>'WK2 - Notional General Income'!I20</f>
        <v>0</v>
      </c>
      <c r="I740" s="455">
        <f>'WK2 - Notional General Income'!J20</f>
        <v>0</v>
      </c>
      <c r="J740" s="455">
        <f>'WK2 - Notional General Income'!K20</f>
        <v>0</v>
      </c>
      <c r="K740" s="455">
        <f>'WK2 - Notional General Income'!L20</f>
        <v>0</v>
      </c>
      <c r="L740" s="347" t="str">
        <f>'WK2 - Notional General Income'!M20</f>
        <v>.</v>
      </c>
      <c r="M740" s="947"/>
      <c r="N740" s="947"/>
      <c r="O740" s="947"/>
      <c r="P740" s="3"/>
      <c r="Q740" s="3"/>
      <c r="R740" s="3"/>
      <c r="S740" s="3"/>
      <c r="T740" s="3"/>
      <c r="U740" s="3"/>
      <c r="V740" s="3"/>
      <c r="W740" s="3"/>
      <c r="X740" s="3"/>
      <c r="Y740" s="3"/>
      <c r="Z740" s="3"/>
      <c r="AA740" s="3"/>
      <c r="AB740" s="3"/>
      <c r="AC740" s="3"/>
    </row>
    <row r="741" spans="1:29" ht="12" hidden="1" customHeight="1" outlineLevel="1" x14ac:dyDescent="0.2">
      <c r="A741" s="3"/>
      <c r="B741" s="948" t="str">
        <f>'WK2 - Notional General Income'!C21</f>
        <v>Residential</v>
      </c>
      <c r="C741" s="949">
        <f>'WK2 - Notional General Income'!D21</f>
        <v>0</v>
      </c>
      <c r="D741" s="455">
        <f>'WK2 - Notional General Income'!E21</f>
        <v>0</v>
      </c>
      <c r="E741" s="455">
        <f>'WK2 - Notional General Income'!F21</f>
        <v>0</v>
      </c>
      <c r="F741" s="455">
        <f>'WK2 - Notional General Income'!G21</f>
        <v>0</v>
      </c>
      <c r="G741" s="939" t="str">
        <f>'WK2 - Notional General Income'!H21</f>
        <v>.</v>
      </c>
      <c r="H741" s="455">
        <f>'WK2 - Notional General Income'!I21</f>
        <v>0</v>
      </c>
      <c r="I741" s="455">
        <f>'WK2 - Notional General Income'!J21</f>
        <v>0</v>
      </c>
      <c r="J741" s="455">
        <f>'WK2 - Notional General Income'!K21</f>
        <v>0</v>
      </c>
      <c r="K741" s="455">
        <f>'WK2 - Notional General Income'!L21</f>
        <v>0</v>
      </c>
      <c r="L741" s="347" t="str">
        <f>'WK2 - Notional General Income'!M21</f>
        <v>.</v>
      </c>
      <c r="M741" s="947"/>
      <c r="N741" s="947"/>
      <c r="O741" s="947"/>
      <c r="P741" s="3"/>
      <c r="Q741" s="3"/>
      <c r="R741" s="3"/>
      <c r="S741" s="3"/>
      <c r="T741" s="3"/>
      <c r="U741" s="3"/>
      <c r="V741" s="3"/>
      <c r="W741" s="3"/>
      <c r="X741" s="3"/>
      <c r="Y741" s="3"/>
      <c r="Z741" s="3"/>
      <c r="AA741" s="3"/>
      <c r="AB741" s="3"/>
      <c r="AC741" s="3"/>
    </row>
    <row r="742" spans="1:29" ht="12" hidden="1" customHeight="1" outlineLevel="1" x14ac:dyDescent="0.2">
      <c r="A742" s="3"/>
      <c r="B742" s="948" t="str">
        <f>'WK2 - Notional General Income'!C22</f>
        <v>Residential</v>
      </c>
      <c r="C742" s="949">
        <f>'WK2 - Notional General Income'!D22</f>
        <v>0</v>
      </c>
      <c r="D742" s="455">
        <f>'WK2 - Notional General Income'!E22</f>
        <v>0</v>
      </c>
      <c r="E742" s="455">
        <f>'WK2 - Notional General Income'!F22</f>
        <v>0</v>
      </c>
      <c r="F742" s="455">
        <f>'WK2 - Notional General Income'!G22</f>
        <v>0</v>
      </c>
      <c r="G742" s="939" t="str">
        <f>'WK2 - Notional General Income'!H22</f>
        <v>.</v>
      </c>
      <c r="H742" s="455">
        <f>'WK2 - Notional General Income'!I22</f>
        <v>0</v>
      </c>
      <c r="I742" s="455">
        <f>'WK2 - Notional General Income'!J22</f>
        <v>0</v>
      </c>
      <c r="J742" s="455">
        <f>'WK2 - Notional General Income'!K22</f>
        <v>0</v>
      </c>
      <c r="K742" s="455">
        <f>'WK2 - Notional General Income'!L22</f>
        <v>0</v>
      </c>
      <c r="L742" s="347" t="str">
        <f>'WK2 - Notional General Income'!M22</f>
        <v>.</v>
      </c>
      <c r="M742" s="947"/>
      <c r="N742" s="947"/>
      <c r="O742" s="947"/>
      <c r="P742" s="3"/>
      <c r="Q742" s="3"/>
      <c r="R742" s="3"/>
      <c r="S742" s="3"/>
      <c r="T742" s="3"/>
      <c r="U742" s="3"/>
      <c r="V742" s="3"/>
      <c r="W742" s="3"/>
      <c r="X742" s="3"/>
      <c r="Y742" s="3"/>
      <c r="Z742" s="3"/>
      <c r="AA742" s="3"/>
      <c r="AB742" s="3"/>
      <c r="AC742" s="3"/>
    </row>
    <row r="743" spans="1:29" ht="12" hidden="1" customHeight="1" outlineLevel="1" x14ac:dyDescent="0.2">
      <c r="A743" s="3"/>
      <c r="B743" s="948" t="str">
        <f>'WK2 - Notional General Income'!C23</f>
        <v>Residential</v>
      </c>
      <c r="C743" s="949">
        <f>'WK2 - Notional General Income'!D23</f>
        <v>0</v>
      </c>
      <c r="D743" s="455">
        <f>'WK2 - Notional General Income'!E23</f>
        <v>0</v>
      </c>
      <c r="E743" s="455">
        <f>'WK2 - Notional General Income'!F23</f>
        <v>0</v>
      </c>
      <c r="F743" s="455">
        <f>'WK2 - Notional General Income'!G23</f>
        <v>0</v>
      </c>
      <c r="G743" s="939" t="str">
        <f>'WK2 - Notional General Income'!H23</f>
        <v>.</v>
      </c>
      <c r="H743" s="455">
        <f>'WK2 - Notional General Income'!I23</f>
        <v>0</v>
      </c>
      <c r="I743" s="455">
        <f>'WK2 - Notional General Income'!J23</f>
        <v>0</v>
      </c>
      <c r="J743" s="455">
        <f>'WK2 - Notional General Income'!K23</f>
        <v>0</v>
      </c>
      <c r="K743" s="455">
        <f>'WK2 - Notional General Income'!L23</f>
        <v>0</v>
      </c>
      <c r="L743" s="347" t="str">
        <f>'WK2 - Notional General Income'!M23</f>
        <v>.</v>
      </c>
      <c r="M743" s="947"/>
      <c r="N743" s="947"/>
      <c r="O743" s="947"/>
      <c r="P743" s="3"/>
      <c r="Q743" s="3"/>
      <c r="R743" s="3"/>
      <c r="S743" s="3"/>
      <c r="T743" s="3"/>
      <c r="U743" s="3"/>
      <c r="V743" s="3"/>
      <c r="W743" s="3"/>
      <c r="X743" s="3"/>
      <c r="Y743" s="3"/>
      <c r="Z743" s="3"/>
      <c r="AA743" s="3"/>
      <c r="AB743" s="3"/>
      <c r="AC743" s="3"/>
    </row>
    <row r="744" spans="1:29" ht="12" hidden="1" customHeight="1" outlineLevel="1" x14ac:dyDescent="0.2">
      <c r="A744" s="3"/>
      <c r="B744" s="948" t="str">
        <f>'WK2 - Notional General Income'!C24</f>
        <v>Residential</v>
      </c>
      <c r="C744" s="949">
        <f>'WK2 - Notional General Income'!D24</f>
        <v>0</v>
      </c>
      <c r="D744" s="455">
        <f>'WK2 - Notional General Income'!E24</f>
        <v>0</v>
      </c>
      <c r="E744" s="455">
        <f>'WK2 - Notional General Income'!F24</f>
        <v>0</v>
      </c>
      <c r="F744" s="455">
        <f>'WK2 - Notional General Income'!G24</f>
        <v>0</v>
      </c>
      <c r="G744" s="939" t="str">
        <f>'WK2 - Notional General Income'!H24</f>
        <v>.</v>
      </c>
      <c r="H744" s="455">
        <f>'WK2 - Notional General Income'!I24</f>
        <v>0</v>
      </c>
      <c r="I744" s="455">
        <f>'WK2 - Notional General Income'!J24</f>
        <v>0</v>
      </c>
      <c r="J744" s="455">
        <f>'WK2 - Notional General Income'!K24</f>
        <v>0</v>
      </c>
      <c r="K744" s="455">
        <f>'WK2 - Notional General Income'!L24</f>
        <v>0</v>
      </c>
      <c r="L744" s="347" t="str">
        <f>'WK2 - Notional General Income'!M24</f>
        <v>.</v>
      </c>
      <c r="M744" s="947"/>
      <c r="N744" s="947"/>
      <c r="O744" s="947"/>
      <c r="P744" s="3"/>
      <c r="Q744" s="3"/>
      <c r="R744" s="3"/>
      <c r="S744" s="3"/>
      <c r="T744" s="3"/>
      <c r="U744" s="3"/>
      <c r="V744" s="3"/>
      <c r="W744" s="3"/>
      <c r="X744" s="3"/>
      <c r="Y744" s="3"/>
      <c r="Z744" s="3"/>
      <c r="AA744" s="3"/>
      <c r="AB744" s="3"/>
      <c r="AC744" s="3"/>
    </row>
    <row r="745" spans="1:29" ht="12" hidden="1" customHeight="1" outlineLevel="1" x14ac:dyDescent="0.2">
      <c r="A745" s="3"/>
      <c r="B745" s="948" t="str">
        <f>'WK2 - Notional General Income'!C25</f>
        <v>Residential</v>
      </c>
      <c r="C745" s="949">
        <f>'WK2 - Notional General Income'!D25</f>
        <v>0</v>
      </c>
      <c r="D745" s="455">
        <f>'WK2 - Notional General Income'!E25</f>
        <v>0</v>
      </c>
      <c r="E745" s="455">
        <f>'WK2 - Notional General Income'!F25</f>
        <v>0</v>
      </c>
      <c r="F745" s="455">
        <f>'WK2 - Notional General Income'!G25</f>
        <v>0</v>
      </c>
      <c r="G745" s="939" t="str">
        <f>'WK2 - Notional General Income'!H25</f>
        <v>.</v>
      </c>
      <c r="H745" s="455">
        <f>'WK2 - Notional General Income'!I25</f>
        <v>0</v>
      </c>
      <c r="I745" s="455">
        <f>'WK2 - Notional General Income'!J25</f>
        <v>0</v>
      </c>
      <c r="J745" s="455">
        <f>'WK2 - Notional General Income'!K25</f>
        <v>0</v>
      </c>
      <c r="K745" s="455">
        <f>'WK2 - Notional General Income'!L25</f>
        <v>0</v>
      </c>
      <c r="L745" s="347" t="str">
        <f>'WK2 - Notional General Income'!M25</f>
        <v>.</v>
      </c>
      <c r="M745" s="947"/>
      <c r="N745" s="947"/>
      <c r="O745" s="947"/>
      <c r="P745" s="3"/>
      <c r="Q745" s="3"/>
      <c r="R745" s="3"/>
      <c r="S745" s="3"/>
      <c r="T745" s="3"/>
      <c r="U745" s="3"/>
      <c r="V745" s="3"/>
      <c r="W745" s="3"/>
      <c r="X745" s="3"/>
      <c r="Y745" s="3"/>
      <c r="Z745" s="3"/>
      <c r="AA745" s="3"/>
      <c r="AB745" s="3"/>
      <c r="AC745" s="3"/>
    </row>
    <row r="746" spans="1:29" ht="12" hidden="1" customHeight="1" outlineLevel="1" x14ac:dyDescent="0.2">
      <c r="A746" s="3"/>
      <c r="B746" s="948" t="str">
        <f>'WK2 - Notional General Income'!C26</f>
        <v>Residential</v>
      </c>
      <c r="C746" s="949">
        <f>'WK2 - Notional General Income'!D26</f>
        <v>0</v>
      </c>
      <c r="D746" s="455">
        <f>'WK2 - Notional General Income'!E26</f>
        <v>0</v>
      </c>
      <c r="E746" s="455">
        <f>'WK2 - Notional General Income'!F26</f>
        <v>0</v>
      </c>
      <c r="F746" s="455">
        <f>'WK2 - Notional General Income'!G26</f>
        <v>0</v>
      </c>
      <c r="G746" s="939" t="str">
        <f>'WK2 - Notional General Income'!H26</f>
        <v>.</v>
      </c>
      <c r="H746" s="455">
        <f>'WK2 - Notional General Income'!I26</f>
        <v>0</v>
      </c>
      <c r="I746" s="455">
        <f>'WK2 - Notional General Income'!J26</f>
        <v>0</v>
      </c>
      <c r="J746" s="455">
        <f>'WK2 - Notional General Income'!K26</f>
        <v>0</v>
      </c>
      <c r="K746" s="455">
        <f>'WK2 - Notional General Income'!L26</f>
        <v>0</v>
      </c>
      <c r="L746" s="347" t="str">
        <f>'WK2 - Notional General Income'!M26</f>
        <v>.</v>
      </c>
      <c r="M746" s="947"/>
      <c r="N746" s="947"/>
      <c r="O746" s="947"/>
      <c r="P746" s="3"/>
      <c r="Q746" s="3"/>
      <c r="R746" s="3"/>
      <c r="S746" s="3"/>
      <c r="T746" s="3"/>
      <c r="U746" s="3"/>
      <c r="V746" s="3"/>
      <c r="W746" s="3"/>
      <c r="X746" s="3"/>
      <c r="Y746" s="3"/>
      <c r="Z746" s="3"/>
      <c r="AA746" s="3"/>
      <c r="AB746" s="3"/>
      <c r="AC746" s="3"/>
    </row>
    <row r="747" spans="1:29" ht="12" hidden="1" customHeight="1" outlineLevel="1" x14ac:dyDescent="0.2">
      <c r="A747" s="3"/>
      <c r="B747" s="948" t="str">
        <f>'WK2 - Notional General Income'!C27</f>
        <v>Residential</v>
      </c>
      <c r="C747" s="949">
        <f>'WK2 - Notional General Income'!D27</f>
        <v>0</v>
      </c>
      <c r="D747" s="455">
        <f>'WK2 - Notional General Income'!E27</f>
        <v>0</v>
      </c>
      <c r="E747" s="455">
        <f>'WK2 - Notional General Income'!F27</f>
        <v>0</v>
      </c>
      <c r="F747" s="455">
        <f>'WK2 - Notional General Income'!G27</f>
        <v>0</v>
      </c>
      <c r="G747" s="939" t="str">
        <f>'WK2 - Notional General Income'!H27</f>
        <v>.</v>
      </c>
      <c r="H747" s="455">
        <f>'WK2 - Notional General Income'!I27</f>
        <v>0</v>
      </c>
      <c r="I747" s="455">
        <f>'WK2 - Notional General Income'!J27</f>
        <v>0</v>
      </c>
      <c r="J747" s="455">
        <f>'WK2 - Notional General Income'!K27</f>
        <v>0</v>
      </c>
      <c r="K747" s="455">
        <f>'WK2 - Notional General Income'!L27</f>
        <v>0</v>
      </c>
      <c r="L747" s="347" t="str">
        <f>'WK2 - Notional General Income'!M27</f>
        <v>.</v>
      </c>
      <c r="M747" s="947"/>
      <c r="N747" s="947"/>
      <c r="O747" s="947"/>
      <c r="P747" s="3"/>
      <c r="Q747" s="3"/>
      <c r="R747" s="3"/>
      <c r="S747" s="3"/>
      <c r="T747" s="3"/>
      <c r="U747" s="3"/>
      <c r="V747" s="3"/>
      <c r="W747" s="3"/>
      <c r="X747" s="3"/>
      <c r="Y747" s="3"/>
      <c r="Z747" s="3"/>
      <c r="AA747" s="3"/>
      <c r="AB747" s="3"/>
      <c r="AC747" s="3"/>
    </row>
    <row r="748" spans="1:29" ht="12" hidden="1" customHeight="1" outlineLevel="1" x14ac:dyDescent="0.2">
      <c r="A748" s="3"/>
      <c r="B748" s="948" t="str">
        <f>'WK2 - Notional General Income'!C28</f>
        <v>Residential</v>
      </c>
      <c r="C748" s="949">
        <f>'WK2 - Notional General Income'!D28</f>
        <v>0</v>
      </c>
      <c r="D748" s="455">
        <f>'WK2 - Notional General Income'!E28</f>
        <v>0</v>
      </c>
      <c r="E748" s="455">
        <f>'WK2 - Notional General Income'!F28</f>
        <v>0</v>
      </c>
      <c r="F748" s="455">
        <f>'WK2 - Notional General Income'!G28</f>
        <v>0</v>
      </c>
      <c r="G748" s="939" t="str">
        <f>'WK2 - Notional General Income'!H28</f>
        <v>.</v>
      </c>
      <c r="H748" s="455">
        <f>'WK2 - Notional General Income'!I28</f>
        <v>0</v>
      </c>
      <c r="I748" s="455">
        <f>'WK2 - Notional General Income'!J28</f>
        <v>0</v>
      </c>
      <c r="J748" s="455">
        <f>'WK2 - Notional General Income'!K28</f>
        <v>0</v>
      </c>
      <c r="K748" s="455">
        <f>'WK2 - Notional General Income'!L28</f>
        <v>0</v>
      </c>
      <c r="L748" s="347" t="str">
        <f>'WK2 - Notional General Income'!M28</f>
        <v>.</v>
      </c>
      <c r="M748" s="947"/>
      <c r="N748" s="947"/>
      <c r="O748" s="947"/>
      <c r="P748" s="3"/>
      <c r="Q748" s="3"/>
      <c r="R748" s="3"/>
      <c r="S748" s="3"/>
      <c r="T748" s="3"/>
      <c r="U748" s="3"/>
      <c r="V748" s="3"/>
      <c r="W748" s="3"/>
      <c r="X748" s="3"/>
      <c r="Y748" s="3"/>
      <c r="Z748" s="3"/>
      <c r="AA748" s="3"/>
      <c r="AB748" s="3"/>
      <c r="AC748" s="3"/>
    </row>
    <row r="749" spans="1:29" ht="12" hidden="1" customHeight="1" outlineLevel="1" x14ac:dyDescent="0.2">
      <c r="A749" s="3"/>
      <c r="B749" s="948" t="str">
        <f>'WK2 - Notional General Income'!C29</f>
        <v>Residential</v>
      </c>
      <c r="C749" s="949">
        <f>'WK2 - Notional General Income'!D29</f>
        <v>0</v>
      </c>
      <c r="D749" s="455">
        <f>'WK2 - Notional General Income'!E29</f>
        <v>0</v>
      </c>
      <c r="E749" s="455">
        <f>'WK2 - Notional General Income'!F29</f>
        <v>0</v>
      </c>
      <c r="F749" s="455">
        <f>'WK2 - Notional General Income'!G29</f>
        <v>0</v>
      </c>
      <c r="G749" s="939" t="str">
        <f>'WK2 - Notional General Income'!H29</f>
        <v>.</v>
      </c>
      <c r="H749" s="455">
        <f>'WK2 - Notional General Income'!I29</f>
        <v>0</v>
      </c>
      <c r="I749" s="455">
        <f>'WK2 - Notional General Income'!J29</f>
        <v>0</v>
      </c>
      <c r="J749" s="455">
        <f>'WK2 - Notional General Income'!K29</f>
        <v>0</v>
      </c>
      <c r="K749" s="455">
        <f>'WK2 - Notional General Income'!L29</f>
        <v>0</v>
      </c>
      <c r="L749" s="347" t="str">
        <f>'WK2 - Notional General Income'!M29</f>
        <v>.</v>
      </c>
      <c r="M749" s="947"/>
      <c r="N749" s="947"/>
      <c r="O749" s="947"/>
      <c r="P749" s="3"/>
      <c r="Q749" s="3"/>
      <c r="R749" s="3"/>
      <c r="S749" s="3"/>
      <c r="T749" s="3"/>
      <c r="U749" s="3"/>
      <c r="V749" s="3"/>
      <c r="W749" s="3"/>
      <c r="X749" s="3"/>
      <c r="Y749" s="3"/>
      <c r="Z749" s="3"/>
      <c r="AA749" s="3"/>
      <c r="AB749" s="3"/>
      <c r="AC749" s="3"/>
    </row>
    <row r="750" spans="1:29" ht="12" hidden="1" customHeight="1" outlineLevel="1" x14ac:dyDescent="0.2">
      <c r="A750" s="3"/>
      <c r="B750" s="948" t="str">
        <f>'WK2 - Notional General Income'!C30</f>
        <v>Residential</v>
      </c>
      <c r="C750" s="949">
        <f>'WK2 - Notional General Income'!D30</f>
        <v>0</v>
      </c>
      <c r="D750" s="455">
        <f>'WK2 - Notional General Income'!E30</f>
        <v>0</v>
      </c>
      <c r="E750" s="455">
        <f>'WK2 - Notional General Income'!F30</f>
        <v>0</v>
      </c>
      <c r="F750" s="455">
        <f>'WK2 - Notional General Income'!G30</f>
        <v>0</v>
      </c>
      <c r="G750" s="939" t="str">
        <f>'WK2 - Notional General Income'!H30</f>
        <v>.</v>
      </c>
      <c r="H750" s="455">
        <f>'WK2 - Notional General Income'!I30</f>
        <v>0</v>
      </c>
      <c r="I750" s="455">
        <f>'WK2 - Notional General Income'!J30</f>
        <v>0</v>
      </c>
      <c r="J750" s="455">
        <f>'WK2 - Notional General Income'!K30</f>
        <v>0</v>
      </c>
      <c r="K750" s="455">
        <f>'WK2 - Notional General Income'!L30</f>
        <v>0</v>
      </c>
      <c r="L750" s="347" t="str">
        <f>'WK2 - Notional General Income'!M30</f>
        <v>.</v>
      </c>
      <c r="M750" s="947"/>
      <c r="N750" s="947"/>
      <c r="O750" s="947"/>
      <c r="P750" s="3"/>
      <c r="Q750" s="3"/>
      <c r="R750" s="3"/>
      <c r="S750" s="3"/>
      <c r="T750" s="3"/>
      <c r="U750" s="3"/>
      <c r="V750" s="3"/>
      <c r="W750" s="3"/>
      <c r="X750" s="3"/>
      <c r="Y750" s="3"/>
      <c r="Z750" s="3"/>
      <c r="AA750" s="3"/>
      <c r="AB750" s="3"/>
      <c r="AC750" s="3"/>
    </row>
    <row r="751" spans="1:29" ht="12" hidden="1" customHeight="1" outlineLevel="1" x14ac:dyDescent="0.2">
      <c r="A751" s="3"/>
      <c r="B751" s="948" t="str">
        <f>'WK2 - Notional General Income'!C31</f>
        <v>Residential</v>
      </c>
      <c r="C751" s="949">
        <f>'WK2 - Notional General Income'!D31</f>
        <v>0</v>
      </c>
      <c r="D751" s="455">
        <f>'WK2 - Notional General Income'!E31</f>
        <v>0</v>
      </c>
      <c r="E751" s="455">
        <f>'WK2 - Notional General Income'!F31</f>
        <v>0</v>
      </c>
      <c r="F751" s="455">
        <f>'WK2 - Notional General Income'!G31</f>
        <v>0</v>
      </c>
      <c r="G751" s="939" t="str">
        <f>'WK2 - Notional General Income'!H31</f>
        <v>.</v>
      </c>
      <c r="H751" s="455">
        <f>'WK2 - Notional General Income'!I31</f>
        <v>0</v>
      </c>
      <c r="I751" s="455">
        <f>'WK2 - Notional General Income'!J31</f>
        <v>0</v>
      </c>
      <c r="J751" s="455">
        <f>'WK2 - Notional General Income'!K31</f>
        <v>0</v>
      </c>
      <c r="K751" s="455">
        <f>'WK2 - Notional General Income'!L31</f>
        <v>0</v>
      </c>
      <c r="L751" s="347" t="str">
        <f>'WK2 - Notional General Income'!M31</f>
        <v>.</v>
      </c>
      <c r="M751" s="947"/>
      <c r="N751" s="947"/>
      <c r="O751" s="947"/>
      <c r="P751" s="3"/>
      <c r="Q751" s="3"/>
      <c r="R751" s="3"/>
      <c r="S751" s="3"/>
      <c r="T751" s="3"/>
      <c r="U751" s="3"/>
      <c r="V751" s="3"/>
      <c r="W751" s="3"/>
      <c r="X751" s="3"/>
      <c r="Y751" s="3"/>
      <c r="Z751" s="3"/>
      <c r="AA751" s="3"/>
      <c r="AB751" s="3"/>
      <c r="AC751" s="3"/>
    </row>
    <row r="752" spans="1:29" ht="12" hidden="1" customHeight="1" outlineLevel="1" x14ac:dyDescent="0.2">
      <c r="A752" s="3"/>
      <c r="B752" s="948" t="str">
        <f>'WK2 - Notional General Income'!C32</f>
        <v>Residential</v>
      </c>
      <c r="C752" s="949">
        <f>'WK2 - Notional General Income'!D32</f>
        <v>0</v>
      </c>
      <c r="D752" s="455">
        <f>'WK2 - Notional General Income'!E32</f>
        <v>0</v>
      </c>
      <c r="E752" s="455">
        <f>'WK2 - Notional General Income'!F32</f>
        <v>0</v>
      </c>
      <c r="F752" s="455">
        <f>'WK2 - Notional General Income'!G32</f>
        <v>0</v>
      </c>
      <c r="G752" s="939" t="str">
        <f>'WK2 - Notional General Income'!H32</f>
        <v>.</v>
      </c>
      <c r="H752" s="455">
        <f>'WK2 - Notional General Income'!I32</f>
        <v>0</v>
      </c>
      <c r="I752" s="455">
        <f>'WK2 - Notional General Income'!J32</f>
        <v>0</v>
      </c>
      <c r="J752" s="455">
        <f>'WK2 - Notional General Income'!K32</f>
        <v>0</v>
      </c>
      <c r="K752" s="455">
        <f>'WK2 - Notional General Income'!L32</f>
        <v>0</v>
      </c>
      <c r="L752" s="347" t="str">
        <f>'WK2 - Notional General Income'!M32</f>
        <v>.</v>
      </c>
      <c r="M752" s="947"/>
      <c r="N752" s="947"/>
      <c r="O752" s="947"/>
      <c r="P752" s="3"/>
      <c r="Q752" s="3"/>
      <c r="R752" s="3"/>
      <c r="S752" s="3"/>
      <c r="T752" s="3"/>
      <c r="U752" s="3"/>
      <c r="V752" s="3"/>
      <c r="W752" s="3"/>
      <c r="X752" s="3"/>
      <c r="Y752" s="3"/>
      <c r="Z752" s="3"/>
      <c r="AA752" s="3"/>
      <c r="AB752" s="3"/>
      <c r="AC752" s="3"/>
    </row>
    <row r="753" spans="1:29" ht="12" hidden="1" customHeight="1" outlineLevel="1" x14ac:dyDescent="0.2">
      <c r="A753" s="3"/>
      <c r="B753" s="948" t="str">
        <f>'WK2 - Notional General Income'!C33</f>
        <v>Residential</v>
      </c>
      <c r="C753" s="949">
        <f>'WK2 - Notional General Income'!D33</f>
        <v>0</v>
      </c>
      <c r="D753" s="455">
        <f>'WK2 - Notional General Income'!E33</f>
        <v>0</v>
      </c>
      <c r="E753" s="455">
        <f>'WK2 - Notional General Income'!F33</f>
        <v>0</v>
      </c>
      <c r="F753" s="455">
        <f>'WK2 - Notional General Income'!G33</f>
        <v>0</v>
      </c>
      <c r="G753" s="939" t="str">
        <f>'WK2 - Notional General Income'!H33</f>
        <v>.</v>
      </c>
      <c r="H753" s="455">
        <f>'WK2 - Notional General Income'!I33</f>
        <v>0</v>
      </c>
      <c r="I753" s="455">
        <f>'WK2 - Notional General Income'!J33</f>
        <v>0</v>
      </c>
      <c r="J753" s="455">
        <f>'WK2 - Notional General Income'!K33</f>
        <v>0</v>
      </c>
      <c r="K753" s="455">
        <f>'WK2 - Notional General Income'!L33</f>
        <v>0</v>
      </c>
      <c r="L753" s="347" t="str">
        <f>'WK2 - Notional General Income'!M33</f>
        <v>.</v>
      </c>
      <c r="M753" s="947"/>
      <c r="N753" s="947"/>
      <c r="O753" s="947"/>
      <c r="P753" s="3"/>
      <c r="Q753" s="3"/>
      <c r="R753" s="3"/>
      <c r="S753" s="3"/>
      <c r="T753" s="3"/>
      <c r="U753" s="3"/>
      <c r="V753" s="3"/>
      <c r="W753" s="3"/>
      <c r="X753" s="3"/>
      <c r="Y753" s="3"/>
      <c r="Z753" s="3"/>
      <c r="AA753" s="3"/>
      <c r="AB753" s="3"/>
      <c r="AC753" s="3"/>
    </row>
    <row r="754" spans="1:29" ht="12" hidden="1" customHeight="1" outlineLevel="1" x14ac:dyDescent="0.2">
      <c r="A754" s="3"/>
      <c r="B754" s="948" t="str">
        <f>'WK2 - Notional General Income'!C34</f>
        <v>Residential</v>
      </c>
      <c r="C754" s="949">
        <f>'WK2 - Notional General Income'!D34</f>
        <v>0</v>
      </c>
      <c r="D754" s="455">
        <f>'WK2 - Notional General Income'!E34</f>
        <v>0</v>
      </c>
      <c r="E754" s="455">
        <f>'WK2 - Notional General Income'!F34</f>
        <v>0</v>
      </c>
      <c r="F754" s="455">
        <f>'WK2 - Notional General Income'!G34</f>
        <v>0</v>
      </c>
      <c r="G754" s="939" t="str">
        <f>'WK2 - Notional General Income'!H34</f>
        <v>.</v>
      </c>
      <c r="H754" s="455">
        <f>'WK2 - Notional General Income'!I34</f>
        <v>0</v>
      </c>
      <c r="I754" s="455">
        <f>'WK2 - Notional General Income'!J34</f>
        <v>0</v>
      </c>
      <c r="J754" s="455">
        <f>'WK2 - Notional General Income'!K34</f>
        <v>0</v>
      </c>
      <c r="K754" s="455">
        <f>'WK2 - Notional General Income'!L34</f>
        <v>0</v>
      </c>
      <c r="L754" s="347" t="str">
        <f>'WK2 - Notional General Income'!M34</f>
        <v>.</v>
      </c>
      <c r="M754" s="947"/>
      <c r="N754" s="947"/>
      <c r="O754" s="947"/>
      <c r="P754" s="3"/>
      <c r="Q754" s="3"/>
      <c r="R754" s="3"/>
      <c r="S754" s="3"/>
      <c r="T754" s="3"/>
      <c r="U754" s="3"/>
      <c r="V754" s="3"/>
      <c r="W754" s="3"/>
      <c r="X754" s="3"/>
      <c r="Y754" s="3"/>
      <c r="Z754" s="3"/>
      <c r="AA754" s="3"/>
      <c r="AB754" s="3"/>
      <c r="AC754" s="3"/>
    </row>
    <row r="755" spans="1:29" ht="12" hidden="1" customHeight="1" outlineLevel="1" x14ac:dyDescent="0.2">
      <c r="A755" s="3"/>
      <c r="B755" s="948" t="str">
        <f>'WK2 - Notional General Income'!C35</f>
        <v>Residential</v>
      </c>
      <c r="C755" s="949">
        <f>'WK2 - Notional General Income'!D35</f>
        <v>0</v>
      </c>
      <c r="D755" s="455">
        <f>'WK2 - Notional General Income'!E35</f>
        <v>0</v>
      </c>
      <c r="E755" s="455">
        <f>'WK2 - Notional General Income'!F35</f>
        <v>0</v>
      </c>
      <c r="F755" s="455">
        <f>'WK2 - Notional General Income'!G35</f>
        <v>0</v>
      </c>
      <c r="G755" s="939" t="str">
        <f>'WK2 - Notional General Income'!H35</f>
        <v>.</v>
      </c>
      <c r="H755" s="455">
        <f>'WK2 - Notional General Income'!I35</f>
        <v>0</v>
      </c>
      <c r="I755" s="455">
        <f>'WK2 - Notional General Income'!J35</f>
        <v>0</v>
      </c>
      <c r="J755" s="455">
        <f>'WK2 - Notional General Income'!K35</f>
        <v>0</v>
      </c>
      <c r="K755" s="455">
        <f>'WK2 - Notional General Income'!L35</f>
        <v>0</v>
      </c>
      <c r="L755" s="347" t="str">
        <f>'WK2 - Notional General Income'!M35</f>
        <v>.</v>
      </c>
      <c r="M755" s="947"/>
      <c r="N755" s="947"/>
      <c r="O755" s="947"/>
      <c r="P755" s="3"/>
      <c r="Q755" s="3"/>
      <c r="R755" s="3"/>
      <c r="S755" s="3"/>
      <c r="T755" s="3"/>
      <c r="U755" s="3"/>
      <c r="V755" s="3"/>
      <c r="W755" s="3"/>
      <c r="X755" s="3"/>
      <c r="Y755" s="3"/>
      <c r="Z755" s="3"/>
      <c r="AA755" s="3"/>
      <c r="AB755" s="3"/>
      <c r="AC755" s="3"/>
    </row>
    <row r="756" spans="1:29" ht="12" hidden="1" customHeight="1" outlineLevel="1" x14ac:dyDescent="0.2">
      <c r="A756" s="3"/>
      <c r="B756" s="948" t="str">
        <f>'WK2 - Notional General Income'!C36</f>
        <v>Residential</v>
      </c>
      <c r="C756" s="949">
        <f>'WK2 - Notional General Income'!D36</f>
        <v>0</v>
      </c>
      <c r="D756" s="455">
        <f>'WK2 - Notional General Income'!E36</f>
        <v>0</v>
      </c>
      <c r="E756" s="455">
        <f>'WK2 - Notional General Income'!F36</f>
        <v>0</v>
      </c>
      <c r="F756" s="455">
        <f>'WK2 - Notional General Income'!G36</f>
        <v>0</v>
      </c>
      <c r="G756" s="939" t="str">
        <f>'WK2 - Notional General Income'!H36</f>
        <v>.</v>
      </c>
      <c r="H756" s="455">
        <f>'WK2 - Notional General Income'!I36</f>
        <v>0</v>
      </c>
      <c r="I756" s="455">
        <f>'WK2 - Notional General Income'!J36</f>
        <v>0</v>
      </c>
      <c r="J756" s="455">
        <f>'WK2 - Notional General Income'!K36</f>
        <v>0</v>
      </c>
      <c r="K756" s="455">
        <f>'WK2 - Notional General Income'!L36</f>
        <v>0</v>
      </c>
      <c r="L756" s="347" t="str">
        <f>'WK2 - Notional General Income'!M36</f>
        <v>.</v>
      </c>
      <c r="M756" s="947"/>
      <c r="N756" s="947"/>
      <c r="O756" s="947"/>
      <c r="P756" s="3"/>
      <c r="Q756" s="3"/>
      <c r="R756" s="3"/>
      <c r="S756" s="3"/>
      <c r="T756" s="3"/>
      <c r="U756" s="3"/>
      <c r="V756" s="3"/>
      <c r="W756" s="3"/>
      <c r="X756" s="3"/>
      <c r="Y756" s="3"/>
      <c r="Z756" s="3"/>
      <c r="AA756" s="3"/>
      <c r="AB756" s="3"/>
      <c r="AC756" s="3"/>
    </row>
    <row r="757" spans="1:29" ht="12" hidden="1" customHeight="1" outlineLevel="1" x14ac:dyDescent="0.2">
      <c r="A757" s="3"/>
      <c r="B757" s="948" t="str">
        <f>'WK2 - Notional General Income'!C37</f>
        <v>Residential</v>
      </c>
      <c r="C757" s="949">
        <f>'WK2 - Notional General Income'!D37</f>
        <v>0</v>
      </c>
      <c r="D757" s="455">
        <f>'WK2 - Notional General Income'!E37</f>
        <v>0</v>
      </c>
      <c r="E757" s="455">
        <f>'WK2 - Notional General Income'!F37</f>
        <v>0</v>
      </c>
      <c r="F757" s="455">
        <f>'WK2 - Notional General Income'!G37</f>
        <v>0</v>
      </c>
      <c r="G757" s="939" t="str">
        <f>'WK2 - Notional General Income'!H37</f>
        <v>.</v>
      </c>
      <c r="H757" s="455">
        <f>'WK2 - Notional General Income'!I37</f>
        <v>0</v>
      </c>
      <c r="I757" s="455">
        <f>'WK2 - Notional General Income'!J37</f>
        <v>0</v>
      </c>
      <c r="J757" s="455">
        <f>'WK2 - Notional General Income'!K37</f>
        <v>0</v>
      </c>
      <c r="K757" s="455">
        <f>'WK2 - Notional General Income'!L37</f>
        <v>0</v>
      </c>
      <c r="L757" s="347" t="str">
        <f>'WK2 - Notional General Income'!M37</f>
        <v>.</v>
      </c>
      <c r="M757" s="947"/>
      <c r="N757" s="947"/>
      <c r="O757" s="947"/>
      <c r="P757" s="3"/>
      <c r="Q757" s="3"/>
      <c r="R757" s="3"/>
      <c r="S757" s="3"/>
      <c r="T757" s="3"/>
      <c r="U757" s="3"/>
      <c r="V757" s="3"/>
      <c r="W757" s="3"/>
      <c r="X757" s="3"/>
      <c r="Y757" s="3"/>
      <c r="Z757" s="3"/>
      <c r="AA757" s="3"/>
      <c r="AB757" s="3"/>
      <c r="AC757" s="3"/>
    </row>
    <row r="758" spans="1:29" ht="12" hidden="1" customHeight="1" outlineLevel="1" x14ac:dyDescent="0.2">
      <c r="A758" s="3"/>
      <c r="B758" s="948" t="str">
        <f>'WK2 - Notional General Income'!C38</f>
        <v>Residential</v>
      </c>
      <c r="C758" s="949">
        <f>'WK2 - Notional General Income'!D38</f>
        <v>0</v>
      </c>
      <c r="D758" s="455">
        <f>'WK2 - Notional General Income'!E38</f>
        <v>0</v>
      </c>
      <c r="E758" s="455">
        <f>'WK2 - Notional General Income'!F38</f>
        <v>0</v>
      </c>
      <c r="F758" s="455">
        <f>'WK2 - Notional General Income'!G38</f>
        <v>0</v>
      </c>
      <c r="G758" s="939" t="str">
        <f>'WK2 - Notional General Income'!H38</f>
        <v>.</v>
      </c>
      <c r="H758" s="455">
        <f>'WK2 - Notional General Income'!I38</f>
        <v>0</v>
      </c>
      <c r="I758" s="455">
        <f>'WK2 - Notional General Income'!J38</f>
        <v>0</v>
      </c>
      <c r="J758" s="455">
        <f>'WK2 - Notional General Income'!K38</f>
        <v>0</v>
      </c>
      <c r="K758" s="455">
        <f>'WK2 - Notional General Income'!L38</f>
        <v>0</v>
      </c>
      <c r="L758" s="347" t="str">
        <f>'WK2 - Notional General Income'!M38</f>
        <v>.</v>
      </c>
      <c r="M758" s="947"/>
      <c r="N758" s="947"/>
      <c r="O758" s="947"/>
      <c r="P758" s="3"/>
      <c r="Q758" s="3"/>
      <c r="R758" s="3"/>
      <c r="S758" s="3"/>
      <c r="T758" s="3"/>
      <c r="U758" s="3"/>
      <c r="V758" s="3"/>
      <c r="W758" s="3"/>
      <c r="X758" s="3"/>
      <c r="Y758" s="3"/>
      <c r="Z758" s="3"/>
      <c r="AA758" s="3"/>
      <c r="AB758" s="3"/>
      <c r="AC758" s="3"/>
    </row>
    <row r="759" spans="1:29" ht="12" hidden="1" customHeight="1" outlineLevel="1" x14ac:dyDescent="0.2">
      <c r="A759" s="3"/>
      <c r="B759" s="751" t="str">
        <f>'WK2 - Notional General Income'!D39</f>
        <v>Total Residential</v>
      </c>
      <c r="C759" s="950"/>
      <c r="D759" s="951">
        <f>'WK2 - Notional General Income'!E39</f>
        <v>52016</v>
      </c>
      <c r="E759" s="951">
        <f>'WK2 - Notional General Income'!F39</f>
        <v>0</v>
      </c>
      <c r="F759" s="951">
        <f>'WK2 - Notional General Income'!G39</f>
        <v>0</v>
      </c>
      <c r="G759" s="952">
        <f>'WK2 - Notional General Income'!H39</f>
        <v>0</v>
      </c>
      <c r="H759" s="951">
        <f>'WK2 - Notional General Income'!I39</f>
        <v>0</v>
      </c>
      <c r="I759" s="951">
        <f>'WK2 - Notional General Income'!J39</f>
        <v>0</v>
      </c>
      <c r="J759" s="951">
        <f>'WK2 - Notional General Income'!K39</f>
        <v>30443988568</v>
      </c>
      <c r="K759" s="951">
        <f>'WK2 - Notional General Income'!L39</f>
        <v>0</v>
      </c>
      <c r="L759" s="953">
        <f>'WK2 - Notional General Income'!M39</f>
        <v>62996080.126219511</v>
      </c>
      <c r="M759" s="3"/>
      <c r="N759" s="3"/>
      <c r="O759" s="3"/>
      <c r="P759" s="3"/>
      <c r="Q759" s="3"/>
      <c r="R759" s="3"/>
      <c r="S759" s="3"/>
      <c r="T759" s="3"/>
      <c r="U759" s="3"/>
      <c r="V759" s="3"/>
      <c r="W759" s="3"/>
      <c r="X759" s="3"/>
      <c r="Y759" s="3"/>
      <c r="Z759" s="3"/>
      <c r="AA759" s="3"/>
      <c r="AB759" s="3"/>
      <c r="AC759" s="3"/>
    </row>
    <row r="760" spans="1:29" ht="12" hidden="1" customHeight="1" outlineLevel="1" x14ac:dyDescent="0.2">
      <c r="A760" s="3"/>
      <c r="B760" s="948" t="str">
        <f>'WK2 - Notional General Income'!C40</f>
        <v>Business</v>
      </c>
      <c r="C760" s="949" t="str">
        <f>'WK2 - Notional General Income'!D40</f>
        <v>Business</v>
      </c>
      <c r="D760" s="455">
        <f>'WK2 - Notional General Income'!E40</f>
        <v>2126</v>
      </c>
      <c r="E760" s="455">
        <f>'WK2 - Notional General Income'!F40</f>
        <v>0.35984100000000002</v>
      </c>
      <c r="F760" s="455">
        <f>'WK2 - Notional General Income'!G40</f>
        <v>0</v>
      </c>
      <c r="G760" s="939" t="str">
        <f>'WK2 - Notional General Income'!H40</f>
        <v>.</v>
      </c>
      <c r="H760" s="455">
        <f>'WK2 - Notional General Income'!I40</f>
        <v>625</v>
      </c>
      <c r="I760" s="455">
        <f>'WK2 - Notional General Income'!J40</f>
        <v>1057</v>
      </c>
      <c r="J760" s="455">
        <f>'WK2 - Notional General Income'!K40</f>
        <v>1258619136</v>
      </c>
      <c r="K760" s="455">
        <f>'WK2 - Notional General Income'!L40</f>
        <v>86430299</v>
      </c>
      <c r="L760" s="347">
        <f>'WK2 - Notional General Income'!M40</f>
        <v>4878641.0329491701</v>
      </c>
      <c r="M760" s="947"/>
      <c r="N760" s="947"/>
      <c r="O760" s="947"/>
      <c r="P760" s="3"/>
      <c r="Q760" s="3"/>
      <c r="R760" s="3"/>
      <c r="S760" s="3"/>
      <c r="T760" s="3"/>
      <c r="U760" s="3"/>
      <c r="V760" s="3"/>
      <c r="W760" s="3"/>
      <c r="X760" s="3"/>
      <c r="Y760" s="3"/>
      <c r="Z760" s="3"/>
      <c r="AA760" s="3"/>
      <c r="AB760" s="3"/>
      <c r="AC760" s="3"/>
    </row>
    <row r="761" spans="1:29" ht="12" hidden="1" customHeight="1" outlineLevel="1" x14ac:dyDescent="0.2">
      <c r="A761" s="3"/>
      <c r="B761" s="948" t="str">
        <f>'WK2 - Notional General Income'!C41</f>
        <v>Business</v>
      </c>
      <c r="C761" s="949" t="str">
        <f>'WK2 - Notional General Income'!D41</f>
        <v>Hornsby CBD</v>
      </c>
      <c r="D761" s="455">
        <f>'WK2 - Notional General Income'!E41</f>
        <v>507</v>
      </c>
      <c r="E761" s="455">
        <f>'WK2 - Notional General Income'!F41</f>
        <v>0.487535</v>
      </c>
      <c r="F761" s="455">
        <f>'WK2 - Notional General Income'!G41</f>
        <v>0</v>
      </c>
      <c r="G761" s="939" t="str">
        <f>'WK2 - Notional General Income'!H41</f>
        <v>.</v>
      </c>
      <c r="H761" s="455">
        <f>'WK2 - Notional General Income'!I41</f>
        <v>625</v>
      </c>
      <c r="I761" s="455">
        <f>'WK2 - Notional General Income'!J41</f>
        <v>106</v>
      </c>
      <c r="J761" s="455">
        <f>'WK2 - Notional General Income'!K41</f>
        <v>505706687</v>
      </c>
      <c r="K761" s="455">
        <f>'WK2 - Notional General Income'!L41</f>
        <v>9321213</v>
      </c>
      <c r="L761" s="347">
        <f>'WK2 - Notional General Income'!M41</f>
        <v>2486302.9206658998</v>
      </c>
      <c r="M761" s="947"/>
      <c r="N761" s="947"/>
      <c r="O761" s="947"/>
      <c r="P761" s="3"/>
      <c r="Q761" s="3"/>
      <c r="R761" s="3"/>
      <c r="S761" s="3"/>
      <c r="T761" s="3"/>
      <c r="U761" s="3"/>
      <c r="V761" s="3"/>
      <c r="W761" s="3"/>
      <c r="X761" s="3"/>
      <c r="Y761" s="3"/>
      <c r="Z761" s="3"/>
      <c r="AA761" s="3"/>
      <c r="AB761" s="3"/>
      <c r="AC761" s="3"/>
    </row>
    <row r="762" spans="1:29" hidden="1" outlineLevel="1" x14ac:dyDescent="0.2">
      <c r="A762" s="3"/>
      <c r="B762" s="948" t="str">
        <f>'WK2 - Notional General Income'!C42</f>
        <v>Business</v>
      </c>
      <c r="C762" s="949" t="str">
        <f>'WK2 - Notional General Income'!D42</f>
        <v>Shopping Centre</v>
      </c>
      <c r="D762" s="455">
        <f>'WK2 - Notional General Income'!E42</f>
        <v>5</v>
      </c>
      <c r="E762" s="455">
        <f>'WK2 - Notional General Income'!F42</f>
        <v>1.460226</v>
      </c>
      <c r="F762" s="455">
        <f>'WK2 - Notional General Income'!G42</f>
        <v>0</v>
      </c>
      <c r="G762" s="939" t="str">
        <f>'WK2 - Notional General Income'!H42</f>
        <v>.</v>
      </c>
      <c r="H762" s="455">
        <f>'WK2 - Notional General Income'!I42</f>
        <v>0</v>
      </c>
      <c r="I762" s="455">
        <f>'WK2 - Notional General Income'!J42</f>
        <v>0</v>
      </c>
      <c r="J762" s="455">
        <f>'WK2 - Notional General Income'!K42</f>
        <v>87609000</v>
      </c>
      <c r="K762" s="455">
        <f>'WK2 - Notional General Income'!L42</f>
        <v>0</v>
      </c>
      <c r="L762" s="347">
        <f>'WK2 - Notional General Income'!M42</f>
        <v>1279289.39634</v>
      </c>
      <c r="M762" s="947"/>
      <c r="N762" s="947"/>
      <c r="O762" s="947"/>
      <c r="P762" s="3"/>
      <c r="Q762" s="3"/>
      <c r="R762" s="3"/>
      <c r="S762" s="3"/>
      <c r="T762" s="3"/>
      <c r="U762" s="3"/>
      <c r="V762" s="3"/>
      <c r="W762" s="3"/>
      <c r="X762" s="3"/>
      <c r="Y762" s="3"/>
      <c r="Z762" s="3"/>
      <c r="AA762" s="3"/>
      <c r="AB762" s="3"/>
      <c r="AC762" s="3"/>
    </row>
    <row r="763" spans="1:29" hidden="1" outlineLevel="1" x14ac:dyDescent="0.2">
      <c r="A763" s="3"/>
      <c r="B763" s="948" t="str">
        <f>'WK2 - Notional General Income'!C43</f>
        <v>Business</v>
      </c>
      <c r="C763" s="949">
        <f>'WK2 - Notional General Income'!D43</f>
        <v>0</v>
      </c>
      <c r="D763" s="455">
        <f>'WK2 - Notional General Income'!E43</f>
        <v>0</v>
      </c>
      <c r="E763" s="455">
        <f>'WK2 - Notional General Income'!F43</f>
        <v>0</v>
      </c>
      <c r="F763" s="455">
        <f>'WK2 - Notional General Income'!G43</f>
        <v>0</v>
      </c>
      <c r="G763" s="939" t="str">
        <f>'WK2 - Notional General Income'!H43</f>
        <v>.</v>
      </c>
      <c r="H763" s="455">
        <f>'WK2 - Notional General Income'!I43</f>
        <v>0</v>
      </c>
      <c r="I763" s="455">
        <f>'WK2 - Notional General Income'!J43</f>
        <v>0</v>
      </c>
      <c r="J763" s="455">
        <f>'WK2 - Notional General Income'!K43</f>
        <v>0</v>
      </c>
      <c r="K763" s="455">
        <f>'WK2 - Notional General Income'!L43</f>
        <v>0</v>
      </c>
      <c r="L763" s="347" t="str">
        <f>'WK2 - Notional General Income'!M43</f>
        <v>.</v>
      </c>
      <c r="M763" s="947"/>
      <c r="N763" s="947"/>
      <c r="O763" s="947"/>
      <c r="P763" s="3"/>
      <c r="Q763" s="3"/>
      <c r="R763" s="3"/>
      <c r="S763" s="3"/>
      <c r="T763" s="3"/>
      <c r="U763" s="3"/>
      <c r="V763" s="3"/>
      <c r="W763" s="3"/>
      <c r="X763" s="3"/>
      <c r="Y763" s="3"/>
      <c r="Z763" s="3"/>
      <c r="AA763" s="3"/>
      <c r="AB763" s="3"/>
      <c r="AC763" s="3"/>
    </row>
    <row r="764" spans="1:29" hidden="1" outlineLevel="1" x14ac:dyDescent="0.2">
      <c r="A764" s="3"/>
      <c r="B764" s="948" t="str">
        <f>'WK2 - Notional General Income'!C44</f>
        <v>Business</v>
      </c>
      <c r="C764" s="949">
        <f>'WK2 - Notional General Income'!D44</f>
        <v>0</v>
      </c>
      <c r="D764" s="455">
        <f>'WK2 - Notional General Income'!E44</f>
        <v>0</v>
      </c>
      <c r="E764" s="455">
        <f>'WK2 - Notional General Income'!F44</f>
        <v>0</v>
      </c>
      <c r="F764" s="455">
        <f>'WK2 - Notional General Income'!G44</f>
        <v>0</v>
      </c>
      <c r="G764" s="939" t="str">
        <f>'WK2 - Notional General Income'!H44</f>
        <v>.</v>
      </c>
      <c r="H764" s="455">
        <f>'WK2 - Notional General Income'!I44</f>
        <v>0</v>
      </c>
      <c r="I764" s="455">
        <f>'WK2 - Notional General Income'!J44</f>
        <v>0</v>
      </c>
      <c r="J764" s="455">
        <f>'WK2 - Notional General Income'!K44</f>
        <v>0</v>
      </c>
      <c r="K764" s="455">
        <f>'WK2 - Notional General Income'!L44</f>
        <v>0</v>
      </c>
      <c r="L764" s="347" t="str">
        <f>'WK2 - Notional General Income'!M44</f>
        <v>.</v>
      </c>
      <c r="M764" s="947"/>
      <c r="N764" s="947"/>
      <c r="O764" s="947"/>
      <c r="P764" s="3"/>
      <c r="Q764" s="3"/>
      <c r="R764" s="3"/>
      <c r="S764" s="3"/>
      <c r="T764" s="3"/>
      <c r="U764" s="3"/>
      <c r="V764" s="3"/>
      <c r="W764" s="3"/>
      <c r="X764" s="3"/>
      <c r="Y764" s="3"/>
      <c r="Z764" s="3"/>
      <c r="AA764" s="3"/>
      <c r="AB764" s="3"/>
      <c r="AC764" s="3"/>
    </row>
    <row r="765" spans="1:29" hidden="1" outlineLevel="1" x14ac:dyDescent="0.2">
      <c r="A765" s="3"/>
      <c r="B765" s="948" t="str">
        <f>'WK2 - Notional General Income'!C45</f>
        <v>Business</v>
      </c>
      <c r="C765" s="949">
        <f>'WK2 - Notional General Income'!D45</f>
        <v>0</v>
      </c>
      <c r="D765" s="455">
        <f>'WK2 - Notional General Income'!E45</f>
        <v>0</v>
      </c>
      <c r="E765" s="455">
        <f>'WK2 - Notional General Income'!F45</f>
        <v>0</v>
      </c>
      <c r="F765" s="455">
        <f>'WK2 - Notional General Income'!G45</f>
        <v>0</v>
      </c>
      <c r="G765" s="939" t="str">
        <f>'WK2 - Notional General Income'!H45</f>
        <v>.</v>
      </c>
      <c r="H765" s="455">
        <f>'WK2 - Notional General Income'!I45</f>
        <v>0</v>
      </c>
      <c r="I765" s="455">
        <f>'WK2 - Notional General Income'!J45</f>
        <v>0</v>
      </c>
      <c r="J765" s="455">
        <f>'WK2 - Notional General Income'!K45</f>
        <v>0</v>
      </c>
      <c r="K765" s="455">
        <f>'WK2 - Notional General Income'!L45</f>
        <v>0</v>
      </c>
      <c r="L765" s="347" t="str">
        <f>'WK2 - Notional General Income'!M45</f>
        <v>.</v>
      </c>
      <c r="M765" s="947"/>
      <c r="N765" s="947"/>
      <c r="O765" s="947"/>
      <c r="P765" s="3"/>
      <c r="Q765" s="3"/>
      <c r="R765" s="3"/>
      <c r="S765" s="3"/>
      <c r="T765" s="3"/>
      <c r="U765" s="3"/>
      <c r="V765" s="3"/>
      <c r="W765" s="3"/>
      <c r="X765" s="3"/>
      <c r="Y765" s="3"/>
      <c r="Z765" s="3"/>
      <c r="AA765" s="3"/>
      <c r="AB765" s="3"/>
      <c r="AC765" s="3"/>
    </row>
    <row r="766" spans="1:29" hidden="1" outlineLevel="1" x14ac:dyDescent="0.2">
      <c r="A766" s="3"/>
      <c r="B766" s="948" t="str">
        <f>'WK2 - Notional General Income'!C46</f>
        <v>Business</v>
      </c>
      <c r="C766" s="949">
        <f>'WK2 - Notional General Income'!D46</f>
        <v>0</v>
      </c>
      <c r="D766" s="455">
        <f>'WK2 - Notional General Income'!E46</f>
        <v>0</v>
      </c>
      <c r="E766" s="455">
        <f>'WK2 - Notional General Income'!F46</f>
        <v>0</v>
      </c>
      <c r="F766" s="455">
        <f>'WK2 - Notional General Income'!G46</f>
        <v>0</v>
      </c>
      <c r="G766" s="939" t="str">
        <f>'WK2 - Notional General Income'!H46</f>
        <v>.</v>
      </c>
      <c r="H766" s="455">
        <f>'WK2 - Notional General Income'!I46</f>
        <v>0</v>
      </c>
      <c r="I766" s="455">
        <f>'WK2 - Notional General Income'!J46</f>
        <v>0</v>
      </c>
      <c r="J766" s="455">
        <f>'WK2 - Notional General Income'!K46</f>
        <v>0</v>
      </c>
      <c r="K766" s="455">
        <f>'WK2 - Notional General Income'!L46</f>
        <v>0</v>
      </c>
      <c r="L766" s="347" t="str">
        <f>'WK2 - Notional General Income'!M46</f>
        <v>.</v>
      </c>
      <c r="M766" s="947"/>
      <c r="N766" s="947"/>
      <c r="O766" s="947"/>
      <c r="P766" s="3"/>
      <c r="Q766" s="3"/>
      <c r="R766" s="3"/>
      <c r="S766" s="3"/>
      <c r="T766" s="3"/>
      <c r="U766" s="3"/>
      <c r="V766" s="3"/>
      <c r="W766" s="3"/>
      <c r="X766" s="3"/>
      <c r="Y766" s="3"/>
      <c r="Z766" s="3"/>
      <c r="AA766" s="3"/>
      <c r="AB766" s="3"/>
      <c r="AC766" s="3"/>
    </row>
    <row r="767" spans="1:29" hidden="1" outlineLevel="1" x14ac:dyDescent="0.2">
      <c r="A767" s="3"/>
      <c r="B767" s="948" t="str">
        <f>'WK2 - Notional General Income'!C47</f>
        <v>Business</v>
      </c>
      <c r="C767" s="949">
        <f>'WK2 - Notional General Income'!D47</f>
        <v>0</v>
      </c>
      <c r="D767" s="455">
        <f>'WK2 - Notional General Income'!E47</f>
        <v>0</v>
      </c>
      <c r="E767" s="455">
        <f>'WK2 - Notional General Income'!F47</f>
        <v>0</v>
      </c>
      <c r="F767" s="455">
        <f>'WK2 - Notional General Income'!G47</f>
        <v>0</v>
      </c>
      <c r="G767" s="939" t="str">
        <f>'WK2 - Notional General Income'!H47</f>
        <v>.</v>
      </c>
      <c r="H767" s="455">
        <f>'WK2 - Notional General Income'!I47</f>
        <v>0</v>
      </c>
      <c r="I767" s="455">
        <f>'WK2 - Notional General Income'!J47</f>
        <v>0</v>
      </c>
      <c r="J767" s="455">
        <f>'WK2 - Notional General Income'!K47</f>
        <v>0</v>
      </c>
      <c r="K767" s="455">
        <f>'WK2 - Notional General Income'!L47</f>
        <v>0</v>
      </c>
      <c r="L767" s="347" t="str">
        <f>'WK2 - Notional General Income'!M47</f>
        <v>.</v>
      </c>
      <c r="M767" s="947"/>
      <c r="N767" s="947"/>
      <c r="O767" s="947"/>
      <c r="P767" s="3"/>
      <c r="Q767" s="3"/>
      <c r="R767" s="3"/>
      <c r="S767" s="3"/>
      <c r="T767" s="3"/>
      <c r="U767" s="3"/>
      <c r="V767" s="3"/>
      <c r="W767" s="3"/>
      <c r="X767" s="3"/>
      <c r="Y767" s="3"/>
      <c r="Z767" s="3"/>
      <c r="AA767" s="3"/>
      <c r="AB767" s="3"/>
      <c r="AC767" s="3"/>
    </row>
    <row r="768" spans="1:29" hidden="1" outlineLevel="1" x14ac:dyDescent="0.2">
      <c r="A768" s="3"/>
      <c r="B768" s="948" t="str">
        <f>'WK2 - Notional General Income'!C48</f>
        <v>Business</v>
      </c>
      <c r="C768" s="949">
        <f>'WK2 - Notional General Income'!D48</f>
        <v>0</v>
      </c>
      <c r="D768" s="455">
        <f>'WK2 - Notional General Income'!E48</f>
        <v>0</v>
      </c>
      <c r="E768" s="455">
        <f>'WK2 - Notional General Income'!F48</f>
        <v>0</v>
      </c>
      <c r="F768" s="455">
        <f>'WK2 - Notional General Income'!G48</f>
        <v>0</v>
      </c>
      <c r="G768" s="939" t="str">
        <f>'WK2 - Notional General Income'!H48</f>
        <v>.</v>
      </c>
      <c r="H768" s="455">
        <f>'WK2 - Notional General Income'!I48</f>
        <v>0</v>
      </c>
      <c r="I768" s="455">
        <f>'WK2 - Notional General Income'!J48</f>
        <v>0</v>
      </c>
      <c r="J768" s="455">
        <f>'WK2 - Notional General Income'!K48</f>
        <v>0</v>
      </c>
      <c r="K768" s="455">
        <f>'WK2 - Notional General Income'!L48</f>
        <v>0</v>
      </c>
      <c r="L768" s="347" t="str">
        <f>'WK2 - Notional General Income'!M48</f>
        <v>.</v>
      </c>
      <c r="M768" s="947"/>
      <c r="N768" s="947"/>
      <c r="O768" s="947"/>
      <c r="P768" s="3"/>
      <c r="Q768" s="3"/>
      <c r="R768" s="3"/>
      <c r="S768" s="3"/>
      <c r="T768" s="3"/>
      <c r="U768" s="3"/>
      <c r="V768" s="3"/>
      <c r="W768" s="3"/>
      <c r="X768" s="3"/>
      <c r="Y768" s="3"/>
      <c r="Z768" s="3"/>
      <c r="AA768" s="3"/>
      <c r="AB768" s="3"/>
      <c r="AC768" s="3"/>
    </row>
    <row r="769" spans="1:29" hidden="1" outlineLevel="1" x14ac:dyDescent="0.2">
      <c r="A769" s="3"/>
      <c r="B769" s="948" t="str">
        <f>'WK2 - Notional General Income'!C49</f>
        <v>Business</v>
      </c>
      <c r="C769" s="949">
        <f>'WK2 - Notional General Income'!D49</f>
        <v>0</v>
      </c>
      <c r="D769" s="455">
        <f>'WK2 - Notional General Income'!E49</f>
        <v>0</v>
      </c>
      <c r="E769" s="455">
        <f>'WK2 - Notional General Income'!F49</f>
        <v>0</v>
      </c>
      <c r="F769" s="455">
        <f>'WK2 - Notional General Income'!G49</f>
        <v>0</v>
      </c>
      <c r="G769" s="939" t="str">
        <f>'WK2 - Notional General Income'!H49</f>
        <v>.</v>
      </c>
      <c r="H769" s="455">
        <f>'WK2 - Notional General Income'!I49</f>
        <v>0</v>
      </c>
      <c r="I769" s="455">
        <f>'WK2 - Notional General Income'!J49</f>
        <v>0</v>
      </c>
      <c r="J769" s="455">
        <f>'WK2 - Notional General Income'!K49</f>
        <v>0</v>
      </c>
      <c r="K769" s="455">
        <f>'WK2 - Notional General Income'!L49</f>
        <v>0</v>
      </c>
      <c r="L769" s="347" t="str">
        <f>'WK2 - Notional General Income'!M49</f>
        <v>.</v>
      </c>
      <c r="M769" s="947"/>
      <c r="N769" s="947"/>
      <c r="O769" s="947"/>
      <c r="P769" s="3"/>
      <c r="Q769" s="3"/>
      <c r="R769" s="3"/>
      <c r="S769" s="3"/>
      <c r="T769" s="3"/>
      <c r="U769" s="3"/>
      <c r="V769" s="3"/>
      <c r="W769" s="3"/>
      <c r="X769" s="3"/>
      <c r="Y769" s="3"/>
      <c r="Z769" s="3"/>
      <c r="AA769" s="3"/>
      <c r="AB769" s="3"/>
      <c r="AC769" s="3"/>
    </row>
    <row r="770" spans="1:29" hidden="1" outlineLevel="1" x14ac:dyDescent="0.2">
      <c r="A770" s="3"/>
      <c r="B770" s="948" t="str">
        <f>'WK2 - Notional General Income'!C50</f>
        <v>Business</v>
      </c>
      <c r="C770" s="949">
        <f>'WK2 - Notional General Income'!D50</f>
        <v>0</v>
      </c>
      <c r="D770" s="455">
        <f>'WK2 - Notional General Income'!E50</f>
        <v>0</v>
      </c>
      <c r="E770" s="455">
        <f>'WK2 - Notional General Income'!F50</f>
        <v>0</v>
      </c>
      <c r="F770" s="455">
        <f>'WK2 - Notional General Income'!G50</f>
        <v>0</v>
      </c>
      <c r="G770" s="939" t="str">
        <f>'WK2 - Notional General Income'!H50</f>
        <v>.</v>
      </c>
      <c r="H770" s="455">
        <f>'WK2 - Notional General Income'!I50</f>
        <v>0</v>
      </c>
      <c r="I770" s="455">
        <f>'WK2 - Notional General Income'!J50</f>
        <v>0</v>
      </c>
      <c r="J770" s="455">
        <f>'WK2 - Notional General Income'!K50</f>
        <v>0</v>
      </c>
      <c r="K770" s="455">
        <f>'WK2 - Notional General Income'!L50</f>
        <v>0</v>
      </c>
      <c r="L770" s="347" t="str">
        <f>'WK2 - Notional General Income'!M50</f>
        <v>.</v>
      </c>
      <c r="M770" s="947"/>
      <c r="N770" s="947"/>
      <c r="O770" s="947"/>
      <c r="P770" s="3"/>
      <c r="Q770" s="3"/>
      <c r="R770" s="3"/>
      <c r="S770" s="3"/>
      <c r="T770" s="3"/>
      <c r="U770" s="3"/>
      <c r="V770" s="3"/>
      <c r="W770" s="3"/>
      <c r="X770" s="3"/>
      <c r="Y770" s="3"/>
      <c r="Z770" s="3"/>
      <c r="AA770" s="3"/>
      <c r="AB770" s="3"/>
      <c r="AC770" s="3"/>
    </row>
    <row r="771" spans="1:29" hidden="1" outlineLevel="1" x14ac:dyDescent="0.2">
      <c r="A771" s="3"/>
      <c r="B771" s="948" t="str">
        <f>'WK2 - Notional General Income'!C51</f>
        <v>Business</v>
      </c>
      <c r="C771" s="949">
        <f>'WK2 - Notional General Income'!D51</f>
        <v>0</v>
      </c>
      <c r="D771" s="455">
        <f>'WK2 - Notional General Income'!E51</f>
        <v>0</v>
      </c>
      <c r="E771" s="455">
        <f>'WK2 - Notional General Income'!F51</f>
        <v>0</v>
      </c>
      <c r="F771" s="455">
        <f>'WK2 - Notional General Income'!G51</f>
        <v>0</v>
      </c>
      <c r="G771" s="939" t="str">
        <f>'WK2 - Notional General Income'!H51</f>
        <v>.</v>
      </c>
      <c r="H771" s="455">
        <f>'WK2 - Notional General Income'!I51</f>
        <v>0</v>
      </c>
      <c r="I771" s="455">
        <f>'WK2 - Notional General Income'!J51</f>
        <v>0</v>
      </c>
      <c r="J771" s="455">
        <f>'WK2 - Notional General Income'!K51</f>
        <v>0</v>
      </c>
      <c r="K771" s="455">
        <f>'WK2 - Notional General Income'!L51</f>
        <v>0</v>
      </c>
      <c r="L771" s="347" t="str">
        <f>'WK2 - Notional General Income'!M51</f>
        <v>.</v>
      </c>
      <c r="M771" s="947"/>
      <c r="N771" s="947"/>
      <c r="O771" s="947"/>
      <c r="P771" s="3"/>
      <c r="Q771" s="3"/>
      <c r="R771" s="3"/>
      <c r="S771" s="3"/>
      <c r="T771" s="3"/>
      <c r="U771" s="3"/>
      <c r="V771" s="3"/>
      <c r="W771" s="3"/>
      <c r="X771" s="3"/>
      <c r="Y771" s="3"/>
      <c r="Z771" s="3"/>
      <c r="AA771" s="3"/>
      <c r="AB771" s="3"/>
      <c r="AC771" s="3"/>
    </row>
    <row r="772" spans="1:29" hidden="1" outlineLevel="1" x14ac:dyDescent="0.2">
      <c r="A772" s="3"/>
      <c r="B772" s="948" t="str">
        <f>'WK2 - Notional General Income'!C52</f>
        <v>Business</v>
      </c>
      <c r="C772" s="949">
        <f>'WK2 - Notional General Income'!D52</f>
        <v>0</v>
      </c>
      <c r="D772" s="455">
        <f>'WK2 - Notional General Income'!E52</f>
        <v>0</v>
      </c>
      <c r="E772" s="455">
        <f>'WK2 - Notional General Income'!F52</f>
        <v>0</v>
      </c>
      <c r="F772" s="455">
        <f>'WK2 - Notional General Income'!G52</f>
        <v>0</v>
      </c>
      <c r="G772" s="939" t="str">
        <f>'WK2 - Notional General Income'!H52</f>
        <v>.</v>
      </c>
      <c r="H772" s="455">
        <f>'WK2 - Notional General Income'!I52</f>
        <v>0</v>
      </c>
      <c r="I772" s="455">
        <f>'WK2 - Notional General Income'!J52</f>
        <v>0</v>
      </c>
      <c r="J772" s="455">
        <f>'WK2 - Notional General Income'!K52</f>
        <v>0</v>
      </c>
      <c r="K772" s="455">
        <f>'WK2 - Notional General Income'!L52</f>
        <v>0</v>
      </c>
      <c r="L772" s="347" t="str">
        <f>'WK2 - Notional General Income'!M52</f>
        <v>.</v>
      </c>
      <c r="M772" s="947"/>
      <c r="N772" s="947"/>
      <c r="O772" s="947"/>
      <c r="P772" s="3"/>
      <c r="Q772" s="3"/>
      <c r="R772" s="3"/>
      <c r="S772" s="3"/>
      <c r="T772" s="3"/>
      <c r="U772" s="3"/>
      <c r="V772" s="3"/>
      <c r="W772" s="3"/>
      <c r="X772" s="3"/>
      <c r="Y772" s="3"/>
      <c r="Z772" s="3"/>
      <c r="AA772" s="3"/>
      <c r="AB772" s="3"/>
      <c r="AC772" s="3"/>
    </row>
    <row r="773" spans="1:29" hidden="1" outlineLevel="1" x14ac:dyDescent="0.2">
      <c r="A773" s="3"/>
      <c r="B773" s="948" t="str">
        <f>'WK2 - Notional General Income'!C53</f>
        <v>Business</v>
      </c>
      <c r="C773" s="949">
        <f>'WK2 - Notional General Income'!D53</f>
        <v>0</v>
      </c>
      <c r="D773" s="455">
        <f>'WK2 - Notional General Income'!E53</f>
        <v>0</v>
      </c>
      <c r="E773" s="455">
        <f>'WK2 - Notional General Income'!F53</f>
        <v>0</v>
      </c>
      <c r="F773" s="455">
        <f>'WK2 - Notional General Income'!G53</f>
        <v>0</v>
      </c>
      <c r="G773" s="939" t="str">
        <f>'WK2 - Notional General Income'!H53</f>
        <v>.</v>
      </c>
      <c r="H773" s="455">
        <f>'WK2 - Notional General Income'!I53</f>
        <v>0</v>
      </c>
      <c r="I773" s="455">
        <f>'WK2 - Notional General Income'!J53</f>
        <v>0</v>
      </c>
      <c r="J773" s="455">
        <f>'WK2 - Notional General Income'!K53</f>
        <v>0</v>
      </c>
      <c r="K773" s="455">
        <f>'WK2 - Notional General Income'!L53</f>
        <v>0</v>
      </c>
      <c r="L773" s="347" t="str">
        <f>'WK2 - Notional General Income'!M53</f>
        <v>.</v>
      </c>
      <c r="M773" s="947"/>
      <c r="N773" s="947"/>
      <c r="O773" s="947"/>
      <c r="P773" s="3"/>
      <c r="Q773" s="3"/>
      <c r="R773" s="3"/>
      <c r="S773" s="3"/>
      <c r="T773" s="3"/>
      <c r="U773" s="3"/>
      <c r="V773" s="3"/>
      <c r="W773" s="3"/>
      <c r="X773" s="3"/>
      <c r="Y773" s="3"/>
      <c r="Z773" s="3"/>
      <c r="AA773" s="3"/>
      <c r="AB773" s="3"/>
      <c r="AC773" s="3"/>
    </row>
    <row r="774" spans="1:29" hidden="1" outlineLevel="1" x14ac:dyDescent="0.2">
      <c r="A774" s="3"/>
      <c r="B774" s="948" t="str">
        <f>'WK2 - Notional General Income'!C54</f>
        <v>Business</v>
      </c>
      <c r="C774" s="949">
        <f>'WK2 - Notional General Income'!D54</f>
        <v>0</v>
      </c>
      <c r="D774" s="455">
        <f>'WK2 - Notional General Income'!E54</f>
        <v>0</v>
      </c>
      <c r="E774" s="455">
        <f>'WK2 - Notional General Income'!F54</f>
        <v>0</v>
      </c>
      <c r="F774" s="455">
        <f>'WK2 - Notional General Income'!G54</f>
        <v>0</v>
      </c>
      <c r="G774" s="939" t="str">
        <f>'WK2 - Notional General Income'!H54</f>
        <v>.</v>
      </c>
      <c r="H774" s="455">
        <f>'WK2 - Notional General Income'!I54</f>
        <v>0</v>
      </c>
      <c r="I774" s="455">
        <f>'WK2 - Notional General Income'!J54</f>
        <v>0</v>
      </c>
      <c r="J774" s="455">
        <f>'WK2 - Notional General Income'!K54</f>
        <v>0</v>
      </c>
      <c r="K774" s="455">
        <f>'WK2 - Notional General Income'!L54</f>
        <v>0</v>
      </c>
      <c r="L774" s="347" t="str">
        <f>'WK2 - Notional General Income'!M54</f>
        <v>.</v>
      </c>
      <c r="M774" s="947"/>
      <c r="N774" s="947"/>
      <c r="O774" s="947"/>
      <c r="P774" s="3"/>
      <c r="Q774" s="3"/>
      <c r="R774" s="3"/>
      <c r="S774" s="3"/>
      <c r="T774" s="3"/>
      <c r="U774" s="3"/>
      <c r="V774" s="3"/>
      <c r="W774" s="3"/>
      <c r="X774" s="3"/>
      <c r="Y774" s="3"/>
      <c r="Z774" s="3"/>
      <c r="AA774" s="3"/>
      <c r="AB774" s="3"/>
      <c r="AC774" s="3"/>
    </row>
    <row r="775" spans="1:29" hidden="1" outlineLevel="1" x14ac:dyDescent="0.2">
      <c r="A775" s="3"/>
      <c r="B775" s="948" t="str">
        <f>'WK2 - Notional General Income'!C55</f>
        <v>Business</v>
      </c>
      <c r="C775" s="949">
        <f>'WK2 - Notional General Income'!D55</f>
        <v>0</v>
      </c>
      <c r="D775" s="455">
        <f>'WK2 - Notional General Income'!E55</f>
        <v>0</v>
      </c>
      <c r="E775" s="455">
        <f>'WK2 - Notional General Income'!F55</f>
        <v>0</v>
      </c>
      <c r="F775" s="455">
        <f>'WK2 - Notional General Income'!G55</f>
        <v>0</v>
      </c>
      <c r="G775" s="939" t="str">
        <f>'WK2 - Notional General Income'!H55</f>
        <v>.</v>
      </c>
      <c r="H775" s="455">
        <f>'WK2 - Notional General Income'!I55</f>
        <v>0</v>
      </c>
      <c r="I775" s="455">
        <f>'WK2 - Notional General Income'!J55</f>
        <v>0</v>
      </c>
      <c r="J775" s="455">
        <f>'WK2 - Notional General Income'!K55</f>
        <v>0</v>
      </c>
      <c r="K775" s="455">
        <f>'WK2 - Notional General Income'!L55</f>
        <v>0</v>
      </c>
      <c r="L775" s="347" t="str">
        <f>'WK2 - Notional General Income'!M55</f>
        <v>.</v>
      </c>
      <c r="M775" s="947"/>
      <c r="N775" s="947"/>
      <c r="O775" s="947"/>
      <c r="P775" s="3"/>
      <c r="Q775" s="3"/>
      <c r="R775" s="3"/>
      <c r="S775" s="3"/>
      <c r="T775" s="3"/>
      <c r="U775" s="3"/>
      <c r="V775" s="3"/>
      <c r="W775" s="3"/>
      <c r="X775" s="3"/>
      <c r="Y775" s="3"/>
      <c r="Z775" s="3"/>
      <c r="AA775" s="3"/>
      <c r="AB775" s="3"/>
      <c r="AC775" s="3"/>
    </row>
    <row r="776" spans="1:29" hidden="1" outlineLevel="1" x14ac:dyDescent="0.2">
      <c r="A776" s="3"/>
      <c r="B776" s="948" t="str">
        <f>'WK2 - Notional General Income'!C56</f>
        <v>Business</v>
      </c>
      <c r="C776" s="949">
        <f>'WK2 - Notional General Income'!D56</f>
        <v>0</v>
      </c>
      <c r="D776" s="455">
        <f>'WK2 - Notional General Income'!E56</f>
        <v>0</v>
      </c>
      <c r="E776" s="455">
        <f>'WK2 - Notional General Income'!F56</f>
        <v>0</v>
      </c>
      <c r="F776" s="455">
        <f>'WK2 - Notional General Income'!G56</f>
        <v>0</v>
      </c>
      <c r="G776" s="939" t="str">
        <f>'WK2 - Notional General Income'!H56</f>
        <v>.</v>
      </c>
      <c r="H776" s="455">
        <f>'WK2 - Notional General Income'!I56</f>
        <v>0</v>
      </c>
      <c r="I776" s="455">
        <f>'WK2 - Notional General Income'!J56</f>
        <v>0</v>
      </c>
      <c r="J776" s="455">
        <f>'WK2 - Notional General Income'!K56</f>
        <v>0</v>
      </c>
      <c r="K776" s="455">
        <f>'WK2 - Notional General Income'!L56</f>
        <v>0</v>
      </c>
      <c r="L776" s="347" t="str">
        <f>'WK2 - Notional General Income'!M56</f>
        <v>.</v>
      </c>
      <c r="M776" s="947"/>
      <c r="N776" s="947"/>
      <c r="O776" s="947"/>
      <c r="P776" s="3"/>
      <c r="Q776" s="3"/>
      <c r="R776" s="3"/>
      <c r="S776" s="3"/>
      <c r="T776" s="3"/>
      <c r="U776" s="3"/>
      <c r="V776" s="3"/>
      <c r="W776" s="3"/>
      <c r="X776" s="3"/>
      <c r="Y776" s="3"/>
      <c r="Z776" s="3"/>
      <c r="AA776" s="3"/>
      <c r="AB776" s="3"/>
      <c r="AC776" s="3"/>
    </row>
    <row r="777" spans="1:29" hidden="1" outlineLevel="1" x14ac:dyDescent="0.2">
      <c r="A777" s="3"/>
      <c r="B777" s="948" t="str">
        <f>'WK2 - Notional General Income'!C57</f>
        <v>Business</v>
      </c>
      <c r="C777" s="949">
        <f>'WK2 - Notional General Income'!D57</f>
        <v>0</v>
      </c>
      <c r="D777" s="455">
        <f>'WK2 - Notional General Income'!E57</f>
        <v>0</v>
      </c>
      <c r="E777" s="455">
        <f>'WK2 - Notional General Income'!F57</f>
        <v>0</v>
      </c>
      <c r="F777" s="455">
        <f>'WK2 - Notional General Income'!G57</f>
        <v>0</v>
      </c>
      <c r="G777" s="939" t="str">
        <f>'WK2 - Notional General Income'!H57</f>
        <v>.</v>
      </c>
      <c r="H777" s="455">
        <f>'WK2 - Notional General Income'!I57</f>
        <v>0</v>
      </c>
      <c r="I777" s="455">
        <f>'WK2 - Notional General Income'!J57</f>
        <v>0</v>
      </c>
      <c r="J777" s="455">
        <f>'WK2 - Notional General Income'!K57</f>
        <v>0</v>
      </c>
      <c r="K777" s="455">
        <f>'WK2 - Notional General Income'!L57</f>
        <v>0</v>
      </c>
      <c r="L777" s="347" t="str">
        <f>'WK2 - Notional General Income'!M57</f>
        <v>.</v>
      </c>
      <c r="M777" s="947"/>
      <c r="N777" s="947"/>
      <c r="O777" s="947"/>
      <c r="P777" s="3"/>
      <c r="Q777" s="3"/>
      <c r="R777" s="3"/>
      <c r="S777" s="3"/>
      <c r="T777" s="3"/>
      <c r="U777" s="3"/>
      <c r="V777" s="3"/>
      <c r="W777" s="3"/>
      <c r="X777" s="3"/>
      <c r="Y777" s="3"/>
      <c r="Z777" s="3"/>
      <c r="AA777" s="3"/>
      <c r="AB777" s="3"/>
      <c r="AC777" s="3"/>
    </row>
    <row r="778" spans="1:29" hidden="1" outlineLevel="1" x14ac:dyDescent="0.2">
      <c r="A778" s="3"/>
      <c r="B778" s="948" t="str">
        <f>'WK2 - Notional General Income'!C58</f>
        <v>Business</v>
      </c>
      <c r="C778" s="949">
        <f>'WK2 - Notional General Income'!D58</f>
        <v>0</v>
      </c>
      <c r="D778" s="455">
        <f>'WK2 - Notional General Income'!E58</f>
        <v>0</v>
      </c>
      <c r="E778" s="455">
        <f>'WK2 - Notional General Income'!F58</f>
        <v>0</v>
      </c>
      <c r="F778" s="455">
        <f>'WK2 - Notional General Income'!G58</f>
        <v>0</v>
      </c>
      <c r="G778" s="939" t="str">
        <f>'WK2 - Notional General Income'!H58</f>
        <v>.</v>
      </c>
      <c r="H778" s="455">
        <f>'WK2 - Notional General Income'!I58</f>
        <v>0</v>
      </c>
      <c r="I778" s="455">
        <f>'WK2 - Notional General Income'!J58</f>
        <v>0</v>
      </c>
      <c r="J778" s="455">
        <f>'WK2 - Notional General Income'!K58</f>
        <v>0</v>
      </c>
      <c r="K778" s="455">
        <f>'WK2 - Notional General Income'!L58</f>
        <v>0</v>
      </c>
      <c r="L778" s="347" t="str">
        <f>'WK2 - Notional General Income'!M58</f>
        <v>.</v>
      </c>
      <c r="M778" s="947"/>
      <c r="N778" s="947"/>
      <c r="O778" s="947"/>
      <c r="P778" s="3"/>
      <c r="Q778" s="3"/>
      <c r="R778" s="3"/>
      <c r="S778" s="3"/>
      <c r="T778" s="3"/>
      <c r="U778" s="3"/>
      <c r="V778" s="3"/>
      <c r="W778" s="3"/>
      <c r="X778" s="3"/>
      <c r="Y778" s="3"/>
      <c r="Z778" s="3"/>
      <c r="AA778" s="3"/>
      <c r="AB778" s="3"/>
      <c r="AC778" s="3"/>
    </row>
    <row r="779" spans="1:29" hidden="1" outlineLevel="1" x14ac:dyDescent="0.2">
      <c r="A779" s="3"/>
      <c r="B779" s="948" t="str">
        <f>'WK2 - Notional General Income'!C59</f>
        <v>Business</v>
      </c>
      <c r="C779" s="949">
        <f>'WK2 - Notional General Income'!D59</f>
        <v>0</v>
      </c>
      <c r="D779" s="455">
        <f>'WK2 - Notional General Income'!E59</f>
        <v>0</v>
      </c>
      <c r="E779" s="455">
        <f>'WK2 - Notional General Income'!F59</f>
        <v>0</v>
      </c>
      <c r="F779" s="455">
        <f>'WK2 - Notional General Income'!G59</f>
        <v>0</v>
      </c>
      <c r="G779" s="939" t="str">
        <f>'WK2 - Notional General Income'!H59</f>
        <v>.</v>
      </c>
      <c r="H779" s="455">
        <f>'WK2 - Notional General Income'!I59</f>
        <v>0</v>
      </c>
      <c r="I779" s="455">
        <f>'WK2 - Notional General Income'!J59</f>
        <v>0</v>
      </c>
      <c r="J779" s="455">
        <f>'WK2 - Notional General Income'!K59</f>
        <v>0</v>
      </c>
      <c r="K779" s="455">
        <f>'WK2 - Notional General Income'!L59</f>
        <v>0</v>
      </c>
      <c r="L779" s="347" t="str">
        <f>'WK2 - Notional General Income'!M59</f>
        <v>.</v>
      </c>
      <c r="M779" s="947"/>
      <c r="N779" s="947"/>
      <c r="O779" s="947"/>
      <c r="P779" s="3"/>
      <c r="Q779" s="3"/>
      <c r="R779" s="3"/>
      <c r="S779" s="3"/>
      <c r="T779" s="3"/>
      <c r="U779" s="3"/>
      <c r="V779" s="3"/>
      <c r="W779" s="3"/>
      <c r="X779" s="3"/>
      <c r="Y779" s="3"/>
      <c r="Z779" s="3"/>
      <c r="AA779" s="3"/>
      <c r="AB779" s="3"/>
      <c r="AC779" s="3"/>
    </row>
    <row r="780" spans="1:29" hidden="1" outlineLevel="1" x14ac:dyDescent="0.2">
      <c r="A780" s="3"/>
      <c r="B780" s="948" t="str">
        <f>'WK2 - Notional General Income'!C60</f>
        <v>Business</v>
      </c>
      <c r="C780" s="949">
        <f>'WK2 - Notional General Income'!D60</f>
        <v>0</v>
      </c>
      <c r="D780" s="455">
        <f>'WK2 - Notional General Income'!E60</f>
        <v>0</v>
      </c>
      <c r="E780" s="455">
        <f>'WK2 - Notional General Income'!F60</f>
        <v>0</v>
      </c>
      <c r="F780" s="455">
        <f>'WK2 - Notional General Income'!G60</f>
        <v>0</v>
      </c>
      <c r="G780" s="939" t="str">
        <f>'WK2 - Notional General Income'!H60</f>
        <v>.</v>
      </c>
      <c r="H780" s="455">
        <f>'WK2 - Notional General Income'!I60</f>
        <v>0</v>
      </c>
      <c r="I780" s="455">
        <f>'WK2 - Notional General Income'!J60</f>
        <v>0</v>
      </c>
      <c r="J780" s="455">
        <f>'WK2 - Notional General Income'!K60</f>
        <v>0</v>
      </c>
      <c r="K780" s="455">
        <f>'WK2 - Notional General Income'!L60</f>
        <v>0</v>
      </c>
      <c r="L780" s="347" t="str">
        <f>'WK2 - Notional General Income'!M60</f>
        <v>.</v>
      </c>
      <c r="M780" s="947"/>
      <c r="N780" s="947"/>
      <c r="O780" s="947"/>
      <c r="P780" s="3"/>
      <c r="Q780" s="3"/>
      <c r="R780" s="3"/>
      <c r="S780" s="3"/>
      <c r="T780" s="3"/>
      <c r="U780" s="3"/>
      <c r="V780" s="3"/>
      <c r="W780" s="3"/>
      <c r="X780" s="3"/>
      <c r="Y780" s="3"/>
      <c r="Z780" s="3"/>
      <c r="AA780" s="3"/>
      <c r="AB780" s="3"/>
      <c r="AC780" s="3"/>
    </row>
    <row r="781" spans="1:29" hidden="1" outlineLevel="1" x14ac:dyDescent="0.2">
      <c r="A781" s="3"/>
      <c r="B781" s="948" t="str">
        <f>'WK2 - Notional General Income'!C61</f>
        <v>Business</v>
      </c>
      <c r="C781" s="949">
        <f>'WK2 - Notional General Income'!D61</f>
        <v>0</v>
      </c>
      <c r="D781" s="455">
        <f>'WK2 - Notional General Income'!E61</f>
        <v>0</v>
      </c>
      <c r="E781" s="455">
        <f>'WK2 - Notional General Income'!F61</f>
        <v>0</v>
      </c>
      <c r="F781" s="455">
        <f>'WK2 - Notional General Income'!G61</f>
        <v>0</v>
      </c>
      <c r="G781" s="939" t="str">
        <f>'WK2 - Notional General Income'!H61</f>
        <v>.</v>
      </c>
      <c r="H781" s="455">
        <f>'WK2 - Notional General Income'!I61</f>
        <v>0</v>
      </c>
      <c r="I781" s="455">
        <f>'WK2 - Notional General Income'!J61</f>
        <v>0</v>
      </c>
      <c r="J781" s="455">
        <f>'WK2 - Notional General Income'!K61</f>
        <v>0</v>
      </c>
      <c r="K781" s="455">
        <f>'WK2 - Notional General Income'!L61</f>
        <v>0</v>
      </c>
      <c r="L781" s="347" t="str">
        <f>'WK2 - Notional General Income'!M61</f>
        <v>.</v>
      </c>
      <c r="M781" s="947"/>
      <c r="N781" s="947"/>
      <c r="O781" s="947"/>
      <c r="P781" s="3"/>
      <c r="Q781" s="3"/>
      <c r="R781" s="3"/>
      <c r="S781" s="3"/>
      <c r="T781" s="3"/>
      <c r="U781" s="3"/>
      <c r="V781" s="3"/>
      <c r="W781" s="3"/>
      <c r="X781" s="3"/>
      <c r="Y781" s="3"/>
      <c r="Z781" s="3"/>
      <c r="AA781" s="3"/>
      <c r="AB781" s="3"/>
      <c r="AC781" s="3"/>
    </row>
    <row r="782" spans="1:29" hidden="1" outlineLevel="1" x14ac:dyDescent="0.2">
      <c r="A782" s="3"/>
      <c r="B782" s="948" t="str">
        <f>'WK2 - Notional General Income'!C62</f>
        <v>Business</v>
      </c>
      <c r="C782" s="949">
        <f>'WK2 - Notional General Income'!D62</f>
        <v>0</v>
      </c>
      <c r="D782" s="455">
        <f>'WK2 - Notional General Income'!E62</f>
        <v>0</v>
      </c>
      <c r="E782" s="455">
        <f>'WK2 - Notional General Income'!F62</f>
        <v>0</v>
      </c>
      <c r="F782" s="455">
        <f>'WK2 - Notional General Income'!G62</f>
        <v>0</v>
      </c>
      <c r="G782" s="939" t="str">
        <f>'WK2 - Notional General Income'!H62</f>
        <v>.</v>
      </c>
      <c r="H782" s="455">
        <f>'WK2 - Notional General Income'!I62</f>
        <v>0</v>
      </c>
      <c r="I782" s="455">
        <f>'WK2 - Notional General Income'!J62</f>
        <v>0</v>
      </c>
      <c r="J782" s="455">
        <f>'WK2 - Notional General Income'!K62</f>
        <v>0</v>
      </c>
      <c r="K782" s="455">
        <f>'WK2 - Notional General Income'!L62</f>
        <v>0</v>
      </c>
      <c r="L782" s="347" t="str">
        <f>'WK2 - Notional General Income'!M62</f>
        <v>.</v>
      </c>
      <c r="M782" s="947"/>
      <c r="N782" s="947"/>
      <c r="O782" s="947"/>
      <c r="P782" s="3"/>
      <c r="Q782" s="3"/>
      <c r="R782" s="3"/>
      <c r="S782" s="3"/>
      <c r="T782" s="3"/>
      <c r="U782" s="3"/>
      <c r="V782" s="3"/>
      <c r="W782" s="3"/>
      <c r="X782" s="3"/>
      <c r="Y782" s="3"/>
      <c r="Z782" s="3"/>
      <c r="AA782" s="3"/>
      <c r="AB782" s="3"/>
      <c r="AC782" s="3"/>
    </row>
    <row r="783" spans="1:29" hidden="1" outlineLevel="1" x14ac:dyDescent="0.2">
      <c r="A783" s="3"/>
      <c r="B783" s="948" t="str">
        <f>'WK2 - Notional General Income'!C63</f>
        <v>Business</v>
      </c>
      <c r="C783" s="949">
        <f>'WK2 - Notional General Income'!D63</f>
        <v>0</v>
      </c>
      <c r="D783" s="455">
        <f>'WK2 - Notional General Income'!E63</f>
        <v>0</v>
      </c>
      <c r="E783" s="455">
        <f>'WK2 - Notional General Income'!F63</f>
        <v>0</v>
      </c>
      <c r="F783" s="455">
        <f>'WK2 - Notional General Income'!G63</f>
        <v>0</v>
      </c>
      <c r="G783" s="939" t="str">
        <f>'WK2 - Notional General Income'!H63</f>
        <v>.</v>
      </c>
      <c r="H783" s="455">
        <f>'WK2 - Notional General Income'!I63</f>
        <v>0</v>
      </c>
      <c r="I783" s="455">
        <f>'WK2 - Notional General Income'!J63</f>
        <v>0</v>
      </c>
      <c r="J783" s="455">
        <f>'WK2 - Notional General Income'!K63</f>
        <v>0</v>
      </c>
      <c r="K783" s="455">
        <f>'WK2 - Notional General Income'!L63</f>
        <v>0</v>
      </c>
      <c r="L783" s="347" t="str">
        <f>'WK2 - Notional General Income'!M63</f>
        <v>.</v>
      </c>
      <c r="M783" s="947"/>
      <c r="N783" s="947"/>
      <c r="O783" s="947"/>
      <c r="P783" s="3"/>
      <c r="Q783" s="3"/>
      <c r="R783" s="3"/>
      <c r="S783" s="3"/>
      <c r="T783" s="3"/>
      <c r="U783" s="3"/>
      <c r="V783" s="3"/>
      <c r="W783" s="3"/>
      <c r="X783" s="3"/>
      <c r="Y783" s="3"/>
      <c r="Z783" s="3"/>
      <c r="AA783" s="3"/>
      <c r="AB783" s="3"/>
      <c r="AC783" s="3"/>
    </row>
    <row r="784" spans="1:29" hidden="1" outlineLevel="1" x14ac:dyDescent="0.2">
      <c r="A784" s="3"/>
      <c r="B784" s="948" t="str">
        <f>'WK2 - Notional General Income'!C64</f>
        <v>Business</v>
      </c>
      <c r="C784" s="949">
        <f>'WK2 - Notional General Income'!D64</f>
        <v>0</v>
      </c>
      <c r="D784" s="455">
        <f>'WK2 - Notional General Income'!E64</f>
        <v>0</v>
      </c>
      <c r="E784" s="455">
        <f>'WK2 - Notional General Income'!F64</f>
        <v>0</v>
      </c>
      <c r="F784" s="455">
        <f>'WK2 - Notional General Income'!G64</f>
        <v>0</v>
      </c>
      <c r="G784" s="939" t="str">
        <f>'WK2 - Notional General Income'!H64</f>
        <v>.</v>
      </c>
      <c r="H784" s="455">
        <f>'WK2 - Notional General Income'!I64</f>
        <v>0</v>
      </c>
      <c r="I784" s="455">
        <f>'WK2 - Notional General Income'!J64</f>
        <v>0</v>
      </c>
      <c r="J784" s="455">
        <f>'WK2 - Notional General Income'!K64</f>
        <v>0</v>
      </c>
      <c r="K784" s="455">
        <f>'WK2 - Notional General Income'!L64</f>
        <v>0</v>
      </c>
      <c r="L784" s="347" t="str">
        <f>'WK2 - Notional General Income'!M64</f>
        <v>.</v>
      </c>
      <c r="M784" s="947"/>
      <c r="N784" s="947"/>
      <c r="O784" s="947"/>
      <c r="P784" s="3"/>
      <c r="Q784" s="3"/>
      <c r="R784" s="3"/>
      <c r="S784" s="3"/>
      <c r="T784" s="3"/>
      <c r="U784" s="3"/>
      <c r="V784" s="3"/>
      <c r="W784" s="3"/>
      <c r="X784" s="3"/>
      <c r="Y784" s="3"/>
      <c r="Z784" s="3"/>
      <c r="AA784" s="3"/>
      <c r="AB784" s="3"/>
      <c r="AC784" s="3"/>
    </row>
    <row r="785" spans="1:29" ht="10.5" hidden="1" customHeight="1" outlineLevel="1" x14ac:dyDescent="0.2">
      <c r="A785" s="3"/>
      <c r="B785" s="751" t="str">
        <f>'WK2 - Notional General Income'!D65</f>
        <v>Total Business</v>
      </c>
      <c r="C785" s="950"/>
      <c r="D785" s="951">
        <f>'WK2 - Notional General Income'!E65</f>
        <v>2638</v>
      </c>
      <c r="E785" s="951">
        <f>'WK2 - Notional General Income'!F65</f>
        <v>0</v>
      </c>
      <c r="F785" s="951">
        <f>'WK2 - Notional General Income'!G65</f>
        <v>0</v>
      </c>
      <c r="G785" s="952">
        <f>'WK2 - Notional General Income'!H65</f>
        <v>0</v>
      </c>
      <c r="H785" s="951">
        <f>'WK2 - Notional General Income'!I65</f>
        <v>0</v>
      </c>
      <c r="I785" s="951">
        <f>'WK2 - Notional General Income'!J65</f>
        <v>1163</v>
      </c>
      <c r="J785" s="951">
        <f>'WK2 - Notional General Income'!K65</f>
        <v>1851934823</v>
      </c>
      <c r="K785" s="951">
        <f>'WK2 - Notional General Income'!L65</f>
        <v>95751512</v>
      </c>
      <c r="L785" s="953">
        <f>'WK2 - Notional General Income'!M65</f>
        <v>8644233.3499550689</v>
      </c>
      <c r="M785" s="3"/>
      <c r="N785" s="3"/>
      <c r="O785" s="3"/>
      <c r="P785" s="3"/>
      <c r="Q785" s="3"/>
      <c r="R785" s="3"/>
      <c r="S785" s="3"/>
      <c r="T785" s="3"/>
      <c r="U785" s="3"/>
      <c r="V785" s="3"/>
      <c r="W785" s="3"/>
      <c r="X785" s="3"/>
      <c r="Y785" s="3"/>
      <c r="Z785" s="3"/>
      <c r="AA785" s="3"/>
      <c r="AB785" s="3"/>
      <c r="AC785" s="3"/>
    </row>
    <row r="786" spans="1:29" ht="10.5" hidden="1" customHeight="1" outlineLevel="1" x14ac:dyDescent="0.2">
      <c r="A786" s="3"/>
      <c r="B786" s="135" t="str">
        <f>'WK2 - Notional General Income'!C66</f>
        <v>Farmland</v>
      </c>
      <c r="C786" s="1" t="str">
        <f>'WK2 - Notional General Income'!D66</f>
        <v>Farmland</v>
      </c>
      <c r="D786" s="455">
        <f>'WK2 - Notional General Income'!E66</f>
        <v>313</v>
      </c>
      <c r="E786" s="455">
        <f>'WK2 - Notional General Income'!F66</f>
        <v>8.8388999999999995E-2</v>
      </c>
      <c r="F786" s="455">
        <f>'WK2 - Notional General Income'!G66</f>
        <v>595</v>
      </c>
      <c r="G786" s="939">
        <f>'WK2 - Notional General Income'!H66</f>
        <v>0.29279984649562224</v>
      </c>
      <c r="H786" s="455">
        <f>'WK2 - Notional General Income'!I66</f>
        <v>0</v>
      </c>
      <c r="I786" s="455">
        <f>'WK2 - Notional General Income'!J66</f>
        <v>0</v>
      </c>
      <c r="J786" s="455">
        <f>'WK2 - Notional General Income'!K66</f>
        <v>508902500</v>
      </c>
      <c r="K786" s="455">
        <f>'WK2 - Notional General Income'!L66</f>
        <v>0</v>
      </c>
      <c r="L786" s="347">
        <f>'WK2 - Notional General Income'!M66</f>
        <v>636048.83072500001</v>
      </c>
      <c r="M786" s="3"/>
      <c r="N786" s="3"/>
      <c r="O786" s="3"/>
      <c r="P786" s="3"/>
      <c r="Q786" s="3"/>
      <c r="R786" s="3"/>
      <c r="S786" s="3"/>
      <c r="T786" s="3"/>
      <c r="U786" s="3"/>
      <c r="V786" s="3"/>
      <c r="W786" s="3"/>
      <c r="X786" s="3"/>
      <c r="Y786" s="3"/>
      <c r="Z786" s="3"/>
      <c r="AA786" s="3"/>
      <c r="AB786" s="3"/>
      <c r="AC786" s="3"/>
    </row>
    <row r="787" spans="1:29" ht="10.5" hidden="1" customHeight="1" outlineLevel="1" x14ac:dyDescent="0.2">
      <c r="A787" s="3"/>
      <c r="B787" s="135" t="str">
        <f>'WK2 - Notional General Income'!C67</f>
        <v>Farmland</v>
      </c>
      <c r="C787" s="1">
        <f>'WK2 - Notional General Income'!D67</f>
        <v>0</v>
      </c>
      <c r="D787" s="455">
        <f>'WK2 - Notional General Income'!E67</f>
        <v>0</v>
      </c>
      <c r="E787" s="455">
        <f>'WK2 - Notional General Income'!F67</f>
        <v>0</v>
      </c>
      <c r="F787" s="455">
        <f>'WK2 - Notional General Income'!G67</f>
        <v>0</v>
      </c>
      <c r="G787" s="939" t="str">
        <f>'WK2 - Notional General Income'!H67</f>
        <v>.</v>
      </c>
      <c r="H787" s="455">
        <f>'WK2 - Notional General Income'!I67</f>
        <v>0</v>
      </c>
      <c r="I787" s="455">
        <f>'WK2 - Notional General Income'!J67</f>
        <v>0</v>
      </c>
      <c r="J787" s="455">
        <f>'WK2 - Notional General Income'!K67</f>
        <v>0</v>
      </c>
      <c r="K787" s="455">
        <f>'WK2 - Notional General Income'!L67</f>
        <v>0</v>
      </c>
      <c r="L787" s="347" t="str">
        <f>'WK2 - Notional General Income'!M67</f>
        <v>.</v>
      </c>
      <c r="M787" s="3"/>
      <c r="N787" s="3"/>
      <c r="O787" s="3"/>
      <c r="P787" s="3"/>
      <c r="Q787" s="3"/>
      <c r="R787" s="3"/>
      <c r="S787" s="3"/>
      <c r="T787" s="3"/>
      <c r="U787" s="3"/>
      <c r="V787" s="3"/>
      <c r="W787" s="3"/>
      <c r="X787" s="3"/>
      <c r="Y787" s="3"/>
      <c r="Z787" s="3"/>
      <c r="AA787" s="3"/>
      <c r="AB787" s="3"/>
      <c r="AC787" s="3"/>
    </row>
    <row r="788" spans="1:29" ht="10.5" hidden="1" customHeight="1" outlineLevel="1" x14ac:dyDescent="0.2">
      <c r="A788" s="3"/>
      <c r="B788" s="135" t="str">
        <f>'WK2 - Notional General Income'!C68</f>
        <v>Farmland</v>
      </c>
      <c r="C788" s="1">
        <f>'WK2 - Notional General Income'!D68</f>
        <v>0</v>
      </c>
      <c r="D788" s="455">
        <f>'WK2 - Notional General Income'!E68</f>
        <v>0</v>
      </c>
      <c r="E788" s="455">
        <f>'WK2 - Notional General Income'!F68</f>
        <v>0</v>
      </c>
      <c r="F788" s="455">
        <f>'WK2 - Notional General Income'!G68</f>
        <v>0</v>
      </c>
      <c r="G788" s="939" t="str">
        <f>'WK2 - Notional General Income'!H68</f>
        <v>.</v>
      </c>
      <c r="H788" s="455">
        <f>'WK2 - Notional General Income'!I68</f>
        <v>0</v>
      </c>
      <c r="I788" s="455">
        <f>'WK2 - Notional General Income'!J68</f>
        <v>0</v>
      </c>
      <c r="J788" s="455">
        <f>'WK2 - Notional General Income'!K68</f>
        <v>0</v>
      </c>
      <c r="K788" s="455">
        <f>'WK2 - Notional General Income'!L68</f>
        <v>0</v>
      </c>
      <c r="L788" s="347" t="str">
        <f>'WK2 - Notional General Income'!M68</f>
        <v>.</v>
      </c>
      <c r="M788" s="3"/>
      <c r="N788" s="3"/>
      <c r="O788" s="3"/>
      <c r="P788" s="3"/>
      <c r="Q788" s="3"/>
      <c r="R788" s="3"/>
      <c r="S788" s="3"/>
      <c r="T788" s="3"/>
      <c r="U788" s="3"/>
      <c r="V788" s="3"/>
      <c r="W788" s="3"/>
      <c r="X788" s="3"/>
      <c r="Y788" s="3"/>
      <c r="Z788" s="3"/>
      <c r="AA788" s="3"/>
      <c r="AB788" s="3"/>
      <c r="AC788" s="3"/>
    </row>
    <row r="789" spans="1:29" ht="10.5" hidden="1" customHeight="1" outlineLevel="1" x14ac:dyDescent="0.2">
      <c r="A789" s="3"/>
      <c r="B789" s="135" t="str">
        <f>'WK2 - Notional General Income'!C69</f>
        <v>Farmland</v>
      </c>
      <c r="C789" s="1">
        <f>'WK2 - Notional General Income'!D69</f>
        <v>0</v>
      </c>
      <c r="D789" s="455">
        <f>'WK2 - Notional General Income'!E69</f>
        <v>0</v>
      </c>
      <c r="E789" s="455">
        <f>'WK2 - Notional General Income'!F69</f>
        <v>0</v>
      </c>
      <c r="F789" s="455">
        <f>'WK2 - Notional General Income'!G69</f>
        <v>0</v>
      </c>
      <c r="G789" s="939" t="str">
        <f>'WK2 - Notional General Income'!H69</f>
        <v>.</v>
      </c>
      <c r="H789" s="455">
        <f>'WK2 - Notional General Income'!I69</f>
        <v>0</v>
      </c>
      <c r="I789" s="455">
        <f>'WK2 - Notional General Income'!J69</f>
        <v>0</v>
      </c>
      <c r="J789" s="455">
        <f>'WK2 - Notional General Income'!K69</f>
        <v>0</v>
      </c>
      <c r="K789" s="455">
        <f>'WK2 - Notional General Income'!L69</f>
        <v>0</v>
      </c>
      <c r="L789" s="347" t="str">
        <f>'WK2 - Notional General Income'!M69</f>
        <v>.</v>
      </c>
      <c r="M789" s="3"/>
      <c r="N789" s="3"/>
      <c r="O789" s="3"/>
      <c r="P789" s="3"/>
      <c r="Q789" s="3"/>
      <c r="R789" s="3"/>
      <c r="S789" s="3"/>
      <c r="T789" s="3"/>
      <c r="U789" s="3"/>
      <c r="V789" s="3"/>
      <c r="W789" s="3"/>
      <c r="X789" s="3"/>
      <c r="Y789" s="3"/>
      <c r="Z789" s="3"/>
      <c r="AA789" s="3"/>
      <c r="AB789" s="3"/>
      <c r="AC789" s="3"/>
    </row>
    <row r="790" spans="1:29" ht="10.5" hidden="1" customHeight="1" outlineLevel="1" x14ac:dyDescent="0.2">
      <c r="A790" s="3"/>
      <c r="B790" s="135" t="str">
        <f>'WK2 - Notional General Income'!C70</f>
        <v>Farmland</v>
      </c>
      <c r="C790" s="1">
        <f>'WK2 - Notional General Income'!D70</f>
        <v>0</v>
      </c>
      <c r="D790" s="455">
        <f>'WK2 - Notional General Income'!E70</f>
        <v>0</v>
      </c>
      <c r="E790" s="455">
        <f>'WK2 - Notional General Income'!F70</f>
        <v>0</v>
      </c>
      <c r="F790" s="455">
        <f>'WK2 - Notional General Income'!G70</f>
        <v>0</v>
      </c>
      <c r="G790" s="939" t="str">
        <f>'WK2 - Notional General Income'!H70</f>
        <v>.</v>
      </c>
      <c r="H790" s="455">
        <f>'WK2 - Notional General Income'!I70</f>
        <v>0</v>
      </c>
      <c r="I790" s="455">
        <f>'WK2 - Notional General Income'!J70</f>
        <v>0</v>
      </c>
      <c r="J790" s="455">
        <f>'WK2 - Notional General Income'!K70</f>
        <v>0</v>
      </c>
      <c r="K790" s="455">
        <f>'WK2 - Notional General Income'!L70</f>
        <v>0</v>
      </c>
      <c r="L790" s="347" t="str">
        <f>'WK2 - Notional General Income'!M70</f>
        <v>.</v>
      </c>
      <c r="M790" s="3"/>
      <c r="N790" s="3"/>
      <c r="O790" s="3"/>
      <c r="P790" s="3"/>
      <c r="Q790" s="3"/>
      <c r="R790" s="3"/>
      <c r="S790" s="3"/>
      <c r="T790" s="3"/>
      <c r="U790" s="3"/>
      <c r="V790" s="3"/>
      <c r="W790" s="3"/>
      <c r="X790" s="3"/>
      <c r="Y790" s="3"/>
      <c r="Z790" s="3"/>
      <c r="AA790" s="3"/>
      <c r="AB790" s="3"/>
      <c r="AC790" s="3"/>
    </row>
    <row r="791" spans="1:29" ht="10.5" hidden="1" customHeight="1" outlineLevel="1" x14ac:dyDescent="0.2">
      <c r="A791" s="3"/>
      <c r="B791" s="135" t="str">
        <f>'WK2 - Notional General Income'!C71</f>
        <v>Farmland</v>
      </c>
      <c r="C791" s="1">
        <f>'WK2 - Notional General Income'!D71</f>
        <v>0</v>
      </c>
      <c r="D791" s="455">
        <f>'WK2 - Notional General Income'!E71</f>
        <v>0</v>
      </c>
      <c r="E791" s="455">
        <f>'WK2 - Notional General Income'!F71</f>
        <v>0</v>
      </c>
      <c r="F791" s="455">
        <f>'WK2 - Notional General Income'!G71</f>
        <v>0</v>
      </c>
      <c r="G791" s="939" t="str">
        <f>'WK2 - Notional General Income'!H71</f>
        <v>.</v>
      </c>
      <c r="H791" s="455">
        <f>'WK2 - Notional General Income'!I71</f>
        <v>0</v>
      </c>
      <c r="I791" s="455">
        <f>'WK2 - Notional General Income'!J71</f>
        <v>0</v>
      </c>
      <c r="J791" s="455">
        <f>'WK2 - Notional General Income'!K71</f>
        <v>0</v>
      </c>
      <c r="K791" s="455">
        <f>'WK2 - Notional General Income'!L71</f>
        <v>0</v>
      </c>
      <c r="L791" s="347" t="str">
        <f>'WK2 - Notional General Income'!M71</f>
        <v>.</v>
      </c>
      <c r="M791" s="3"/>
      <c r="N791" s="3"/>
      <c r="O791" s="3"/>
      <c r="P791" s="3"/>
      <c r="Q791" s="3"/>
      <c r="R791" s="3"/>
      <c r="S791" s="3"/>
      <c r="T791" s="3"/>
      <c r="U791" s="3"/>
      <c r="V791" s="3"/>
      <c r="W791" s="3"/>
      <c r="X791" s="3"/>
      <c r="Y791" s="3"/>
      <c r="Z791" s="3"/>
      <c r="AA791" s="3"/>
      <c r="AB791" s="3"/>
      <c r="AC791" s="3"/>
    </row>
    <row r="792" spans="1:29" ht="10.5" hidden="1" customHeight="1" outlineLevel="1" x14ac:dyDescent="0.2">
      <c r="A792" s="3"/>
      <c r="B792" s="135" t="str">
        <f>'WK2 - Notional General Income'!C72</f>
        <v>Farmland</v>
      </c>
      <c r="C792" s="1">
        <f>'WK2 - Notional General Income'!D72</f>
        <v>0</v>
      </c>
      <c r="D792" s="455">
        <f>'WK2 - Notional General Income'!E72</f>
        <v>0</v>
      </c>
      <c r="E792" s="455">
        <f>'WK2 - Notional General Income'!F72</f>
        <v>0</v>
      </c>
      <c r="F792" s="455">
        <f>'WK2 - Notional General Income'!G72</f>
        <v>0</v>
      </c>
      <c r="G792" s="939" t="str">
        <f>'WK2 - Notional General Income'!H72</f>
        <v>.</v>
      </c>
      <c r="H792" s="455">
        <f>'WK2 - Notional General Income'!I72</f>
        <v>0</v>
      </c>
      <c r="I792" s="455">
        <f>'WK2 - Notional General Income'!J72</f>
        <v>0</v>
      </c>
      <c r="J792" s="455">
        <f>'WK2 - Notional General Income'!K72</f>
        <v>0</v>
      </c>
      <c r="K792" s="455">
        <f>'WK2 - Notional General Income'!L72</f>
        <v>0</v>
      </c>
      <c r="L792" s="347" t="str">
        <f>'WK2 - Notional General Income'!M72</f>
        <v>.</v>
      </c>
      <c r="M792" s="3"/>
      <c r="N792" s="3"/>
      <c r="O792" s="3"/>
      <c r="P792" s="3"/>
      <c r="Q792" s="3"/>
      <c r="R792" s="3"/>
      <c r="S792" s="3"/>
      <c r="T792" s="3"/>
      <c r="U792" s="3"/>
      <c r="V792" s="3"/>
      <c r="W792" s="3"/>
      <c r="X792" s="3"/>
      <c r="Y792" s="3"/>
      <c r="Z792" s="3"/>
      <c r="AA792" s="3"/>
      <c r="AB792" s="3"/>
      <c r="AC792" s="3"/>
    </row>
    <row r="793" spans="1:29" ht="10.5" hidden="1" customHeight="1" outlineLevel="1" x14ac:dyDescent="0.2">
      <c r="A793" s="3"/>
      <c r="B793" s="135" t="str">
        <f>'WK2 - Notional General Income'!C73</f>
        <v>Farmland</v>
      </c>
      <c r="C793" s="1">
        <f>'WK2 - Notional General Income'!D73</f>
        <v>0</v>
      </c>
      <c r="D793" s="455">
        <f>'WK2 - Notional General Income'!E73</f>
        <v>0</v>
      </c>
      <c r="E793" s="455">
        <f>'WK2 - Notional General Income'!F73</f>
        <v>0</v>
      </c>
      <c r="F793" s="455">
        <f>'WK2 - Notional General Income'!G73</f>
        <v>0</v>
      </c>
      <c r="G793" s="939" t="str">
        <f>'WK2 - Notional General Income'!H73</f>
        <v>.</v>
      </c>
      <c r="H793" s="455">
        <f>'WK2 - Notional General Income'!I73</f>
        <v>0</v>
      </c>
      <c r="I793" s="455">
        <f>'WK2 - Notional General Income'!J73</f>
        <v>0</v>
      </c>
      <c r="J793" s="455">
        <f>'WK2 - Notional General Income'!K73</f>
        <v>0</v>
      </c>
      <c r="K793" s="455">
        <f>'WK2 - Notional General Income'!L73</f>
        <v>0</v>
      </c>
      <c r="L793" s="347" t="str">
        <f>'WK2 - Notional General Income'!M73</f>
        <v>.</v>
      </c>
      <c r="M793" s="3"/>
      <c r="N793" s="3"/>
      <c r="O793" s="3"/>
      <c r="P793" s="3"/>
      <c r="Q793" s="3"/>
      <c r="R793" s="3"/>
      <c r="S793" s="3"/>
      <c r="T793" s="3"/>
      <c r="U793" s="3"/>
      <c r="V793" s="3"/>
      <c r="W793" s="3"/>
      <c r="X793" s="3"/>
      <c r="Y793" s="3"/>
      <c r="Z793" s="3"/>
      <c r="AA793" s="3"/>
      <c r="AB793" s="3"/>
      <c r="AC793" s="3"/>
    </row>
    <row r="794" spans="1:29" ht="10.5" hidden="1" customHeight="1" outlineLevel="1" x14ac:dyDescent="0.2">
      <c r="A794" s="3"/>
      <c r="B794" s="135" t="str">
        <f>'WK2 - Notional General Income'!C74</f>
        <v>Farmland</v>
      </c>
      <c r="C794" s="1">
        <f>'WK2 - Notional General Income'!D74</f>
        <v>0</v>
      </c>
      <c r="D794" s="455">
        <f>'WK2 - Notional General Income'!E74</f>
        <v>0</v>
      </c>
      <c r="E794" s="455">
        <f>'WK2 - Notional General Income'!F74</f>
        <v>0</v>
      </c>
      <c r="F794" s="455">
        <f>'WK2 - Notional General Income'!G74</f>
        <v>0</v>
      </c>
      <c r="G794" s="939" t="str">
        <f>'WK2 - Notional General Income'!H74</f>
        <v>.</v>
      </c>
      <c r="H794" s="455">
        <f>'WK2 - Notional General Income'!I74</f>
        <v>0</v>
      </c>
      <c r="I794" s="455">
        <f>'WK2 - Notional General Income'!J74</f>
        <v>0</v>
      </c>
      <c r="J794" s="455">
        <f>'WK2 - Notional General Income'!K74</f>
        <v>0</v>
      </c>
      <c r="K794" s="455">
        <f>'WK2 - Notional General Income'!L74</f>
        <v>0</v>
      </c>
      <c r="L794" s="347" t="str">
        <f>'WK2 - Notional General Income'!M74</f>
        <v>.</v>
      </c>
      <c r="M794" s="3"/>
      <c r="N794" s="3"/>
      <c r="O794" s="3"/>
      <c r="P794" s="3"/>
      <c r="Q794" s="3"/>
      <c r="R794" s="3"/>
      <c r="S794" s="3"/>
      <c r="T794" s="3"/>
      <c r="U794" s="3"/>
      <c r="V794" s="3"/>
      <c r="W794" s="3"/>
      <c r="X794" s="3"/>
      <c r="Y794" s="3"/>
      <c r="Z794" s="3"/>
      <c r="AA794" s="3"/>
      <c r="AB794" s="3"/>
      <c r="AC794" s="3"/>
    </row>
    <row r="795" spans="1:29" ht="10.5" hidden="1" customHeight="1" outlineLevel="1" x14ac:dyDescent="0.2">
      <c r="A795" s="3"/>
      <c r="B795" s="135" t="str">
        <f>'WK2 - Notional General Income'!C75</f>
        <v>Farmland</v>
      </c>
      <c r="C795" s="1">
        <f>'WK2 - Notional General Income'!D75</f>
        <v>0</v>
      </c>
      <c r="D795" s="455">
        <f>'WK2 - Notional General Income'!E75</f>
        <v>0</v>
      </c>
      <c r="E795" s="455">
        <f>'WK2 - Notional General Income'!F75</f>
        <v>0</v>
      </c>
      <c r="F795" s="455">
        <f>'WK2 - Notional General Income'!G75</f>
        <v>0</v>
      </c>
      <c r="G795" s="939" t="str">
        <f>'WK2 - Notional General Income'!H75</f>
        <v>.</v>
      </c>
      <c r="H795" s="455">
        <f>'WK2 - Notional General Income'!I75</f>
        <v>0</v>
      </c>
      <c r="I795" s="455">
        <f>'WK2 - Notional General Income'!J75</f>
        <v>0</v>
      </c>
      <c r="J795" s="455">
        <f>'WK2 - Notional General Income'!K75</f>
        <v>0</v>
      </c>
      <c r="K795" s="455">
        <f>'WK2 - Notional General Income'!L75</f>
        <v>0</v>
      </c>
      <c r="L795" s="347" t="str">
        <f>'WK2 - Notional General Income'!M75</f>
        <v>.</v>
      </c>
      <c r="M795" s="3"/>
      <c r="N795" s="3"/>
      <c r="O795" s="3"/>
      <c r="P795" s="3"/>
      <c r="Q795" s="3"/>
      <c r="R795" s="3"/>
      <c r="S795" s="3"/>
      <c r="T795" s="3"/>
      <c r="U795" s="3"/>
      <c r="V795" s="3"/>
      <c r="W795" s="3"/>
      <c r="X795" s="3"/>
      <c r="Y795" s="3"/>
      <c r="Z795" s="3"/>
      <c r="AA795" s="3"/>
      <c r="AB795" s="3"/>
      <c r="AC795" s="3"/>
    </row>
    <row r="796" spans="1:29" hidden="1" outlineLevel="1" x14ac:dyDescent="0.2">
      <c r="A796" s="3"/>
      <c r="B796" s="751" t="str">
        <f>'WK2 - Notional General Income'!D76</f>
        <v>Total Farmland</v>
      </c>
      <c r="C796" s="950"/>
      <c r="D796" s="951">
        <f>'WK2 - Notional General Income'!E76</f>
        <v>313</v>
      </c>
      <c r="E796" s="951">
        <f>'WK2 - Notional General Income'!F76</f>
        <v>0</v>
      </c>
      <c r="F796" s="951">
        <f>'WK2 - Notional General Income'!G76</f>
        <v>0</v>
      </c>
      <c r="G796" s="952">
        <f>'WK2 - Notional General Income'!H76</f>
        <v>0</v>
      </c>
      <c r="H796" s="951">
        <f>'WK2 - Notional General Income'!I76</f>
        <v>0</v>
      </c>
      <c r="I796" s="951">
        <f>'WK2 - Notional General Income'!J76</f>
        <v>0</v>
      </c>
      <c r="J796" s="951">
        <f>'WK2 - Notional General Income'!K76</f>
        <v>508902500</v>
      </c>
      <c r="K796" s="951">
        <f>'WK2 - Notional General Income'!L76</f>
        <v>0</v>
      </c>
      <c r="L796" s="953">
        <f>'WK2 - Notional General Income'!M76</f>
        <v>636048.83072500001</v>
      </c>
      <c r="M796" s="3"/>
      <c r="N796" s="3"/>
      <c r="O796" s="3"/>
      <c r="P796" s="3"/>
      <c r="Q796" s="3"/>
      <c r="R796" s="3"/>
      <c r="S796" s="3"/>
      <c r="T796" s="3"/>
      <c r="U796" s="3"/>
      <c r="V796" s="3"/>
      <c r="W796" s="3"/>
      <c r="X796" s="3"/>
      <c r="Y796" s="3"/>
      <c r="Z796" s="3"/>
      <c r="AA796" s="3"/>
      <c r="AB796" s="3"/>
      <c r="AC796" s="3"/>
    </row>
    <row r="797" spans="1:29" hidden="1" outlineLevel="1" x14ac:dyDescent="0.2">
      <c r="A797" s="3"/>
      <c r="B797" s="135" t="str">
        <f>'WK2 - Notional General Income'!C77</f>
        <v>Mining</v>
      </c>
      <c r="C797" s="1">
        <f>'WK2 - Notional General Income'!D77</f>
        <v>0</v>
      </c>
      <c r="D797" s="455">
        <f>'WK2 - Notional General Income'!E77</f>
        <v>0</v>
      </c>
      <c r="E797" s="455">
        <f>'WK2 - Notional General Income'!F77</f>
        <v>0</v>
      </c>
      <c r="F797" s="455">
        <f>'WK2 - Notional General Income'!G77</f>
        <v>0</v>
      </c>
      <c r="G797" s="939" t="str">
        <f>'WK2 - Notional General Income'!H77</f>
        <v>.</v>
      </c>
      <c r="H797" s="455">
        <f>'WK2 - Notional General Income'!I77</f>
        <v>0</v>
      </c>
      <c r="I797" s="455">
        <f>'WK2 - Notional General Income'!J77</f>
        <v>0</v>
      </c>
      <c r="J797" s="455">
        <f>'WK2 - Notional General Income'!K77</f>
        <v>0</v>
      </c>
      <c r="K797" s="455">
        <f>'WK2 - Notional General Income'!L77</f>
        <v>0</v>
      </c>
      <c r="L797" s="347" t="str">
        <f>'WK2 - Notional General Income'!M77</f>
        <v>.</v>
      </c>
      <c r="M797" s="3"/>
      <c r="N797" s="3"/>
      <c r="O797" s="3"/>
      <c r="P797" s="3"/>
      <c r="Q797" s="3"/>
      <c r="R797" s="3"/>
      <c r="S797" s="3"/>
      <c r="T797" s="3"/>
      <c r="U797" s="3"/>
      <c r="V797" s="3"/>
      <c r="W797" s="3"/>
      <c r="X797" s="3"/>
      <c r="Y797" s="3"/>
      <c r="Z797" s="3"/>
      <c r="AA797" s="3"/>
      <c r="AB797" s="3"/>
      <c r="AC797" s="3"/>
    </row>
    <row r="798" spans="1:29" hidden="1" outlineLevel="1" x14ac:dyDescent="0.2">
      <c r="A798" s="3"/>
      <c r="B798" s="135" t="str">
        <f>'WK2 - Notional General Income'!C78</f>
        <v>Mining</v>
      </c>
      <c r="C798" s="1">
        <f>'WK2 - Notional General Income'!D78</f>
        <v>0</v>
      </c>
      <c r="D798" s="455">
        <f>'WK2 - Notional General Income'!E78</f>
        <v>0</v>
      </c>
      <c r="E798" s="455">
        <f>'WK2 - Notional General Income'!F78</f>
        <v>0</v>
      </c>
      <c r="F798" s="455">
        <f>'WK2 - Notional General Income'!G78</f>
        <v>0</v>
      </c>
      <c r="G798" s="939" t="str">
        <f>'WK2 - Notional General Income'!H78</f>
        <v>.</v>
      </c>
      <c r="H798" s="455">
        <f>'WK2 - Notional General Income'!I78</f>
        <v>0</v>
      </c>
      <c r="I798" s="455">
        <f>'WK2 - Notional General Income'!J78</f>
        <v>0</v>
      </c>
      <c r="J798" s="455">
        <f>'WK2 - Notional General Income'!K78</f>
        <v>0</v>
      </c>
      <c r="K798" s="455">
        <f>'WK2 - Notional General Income'!L78</f>
        <v>0</v>
      </c>
      <c r="L798" s="347" t="str">
        <f>'WK2 - Notional General Income'!M78</f>
        <v>.</v>
      </c>
      <c r="M798" s="3"/>
      <c r="N798" s="3"/>
      <c r="O798" s="3"/>
      <c r="P798" s="3"/>
      <c r="Q798" s="3"/>
      <c r="R798" s="3"/>
      <c r="S798" s="3"/>
      <c r="T798" s="3"/>
      <c r="U798" s="3"/>
      <c r="V798" s="3"/>
      <c r="W798" s="3"/>
      <c r="X798" s="3"/>
      <c r="Y798" s="3"/>
      <c r="Z798" s="3"/>
      <c r="AA798" s="3"/>
      <c r="AB798" s="3"/>
      <c r="AC798" s="3"/>
    </row>
    <row r="799" spans="1:29" hidden="1" outlineLevel="1" x14ac:dyDescent="0.2">
      <c r="A799" s="3"/>
      <c r="B799" s="135" t="str">
        <f>'WK2 - Notional General Income'!C79</f>
        <v>Mining</v>
      </c>
      <c r="C799" s="1">
        <f>'WK2 - Notional General Income'!D79</f>
        <v>0</v>
      </c>
      <c r="D799" s="455">
        <f>'WK2 - Notional General Income'!E79</f>
        <v>0</v>
      </c>
      <c r="E799" s="455">
        <f>'WK2 - Notional General Income'!F79</f>
        <v>0</v>
      </c>
      <c r="F799" s="455">
        <f>'WK2 - Notional General Income'!G79</f>
        <v>0</v>
      </c>
      <c r="G799" s="939" t="str">
        <f>'WK2 - Notional General Income'!H79</f>
        <v>.</v>
      </c>
      <c r="H799" s="455">
        <f>'WK2 - Notional General Income'!I79</f>
        <v>0</v>
      </c>
      <c r="I799" s="455">
        <f>'WK2 - Notional General Income'!J79</f>
        <v>0</v>
      </c>
      <c r="J799" s="455">
        <f>'WK2 - Notional General Income'!K79</f>
        <v>0</v>
      </c>
      <c r="K799" s="455">
        <f>'WK2 - Notional General Income'!L79</f>
        <v>0</v>
      </c>
      <c r="L799" s="347" t="str">
        <f>'WK2 - Notional General Income'!M79</f>
        <v>.</v>
      </c>
      <c r="M799" s="3"/>
      <c r="N799" s="3"/>
      <c r="O799" s="3"/>
      <c r="P799" s="3"/>
      <c r="Q799" s="3"/>
      <c r="R799" s="3"/>
      <c r="S799" s="3"/>
      <c r="T799" s="3"/>
      <c r="U799" s="3"/>
      <c r="V799" s="3"/>
      <c r="W799" s="3"/>
      <c r="X799" s="3"/>
      <c r="Y799" s="3"/>
      <c r="Z799" s="3"/>
      <c r="AA799" s="3"/>
      <c r="AB799" s="3"/>
      <c r="AC799" s="3"/>
    </row>
    <row r="800" spans="1:29" hidden="1" outlineLevel="1" x14ac:dyDescent="0.2">
      <c r="A800" s="3"/>
      <c r="B800" s="135" t="str">
        <f>'WK2 - Notional General Income'!C80</f>
        <v>Mining</v>
      </c>
      <c r="C800" s="1">
        <f>'WK2 - Notional General Income'!D80</f>
        <v>0</v>
      </c>
      <c r="D800" s="455">
        <f>'WK2 - Notional General Income'!E80</f>
        <v>0</v>
      </c>
      <c r="E800" s="455">
        <f>'WK2 - Notional General Income'!F80</f>
        <v>0</v>
      </c>
      <c r="F800" s="455">
        <f>'WK2 - Notional General Income'!G80</f>
        <v>0</v>
      </c>
      <c r="G800" s="939" t="str">
        <f>'WK2 - Notional General Income'!H80</f>
        <v>.</v>
      </c>
      <c r="H800" s="455">
        <f>'WK2 - Notional General Income'!I80</f>
        <v>0</v>
      </c>
      <c r="I800" s="455">
        <f>'WK2 - Notional General Income'!J80</f>
        <v>0</v>
      </c>
      <c r="J800" s="455">
        <f>'WK2 - Notional General Income'!K80</f>
        <v>0</v>
      </c>
      <c r="K800" s="455">
        <f>'WK2 - Notional General Income'!L80</f>
        <v>0</v>
      </c>
      <c r="L800" s="347" t="str">
        <f>'WK2 - Notional General Income'!M80</f>
        <v>.</v>
      </c>
      <c r="M800" s="3"/>
      <c r="N800" s="3"/>
      <c r="O800" s="3"/>
      <c r="P800" s="3"/>
      <c r="Q800" s="3"/>
      <c r="R800" s="3"/>
      <c r="S800" s="3"/>
      <c r="T800" s="3"/>
      <c r="U800" s="3"/>
      <c r="V800" s="3"/>
      <c r="W800" s="3"/>
      <c r="X800" s="3"/>
      <c r="Y800" s="3"/>
      <c r="Z800" s="3"/>
      <c r="AA800" s="3"/>
      <c r="AB800" s="3"/>
      <c r="AC800" s="3"/>
    </row>
    <row r="801" spans="1:29" hidden="1" outlineLevel="1" x14ac:dyDescent="0.2">
      <c r="A801" s="3"/>
      <c r="B801" s="135" t="str">
        <f>'WK2 - Notional General Income'!C81</f>
        <v>Mining</v>
      </c>
      <c r="C801" s="1">
        <f>'WK2 - Notional General Income'!D81</f>
        <v>0</v>
      </c>
      <c r="D801" s="455">
        <f>'WK2 - Notional General Income'!E81</f>
        <v>0</v>
      </c>
      <c r="E801" s="455">
        <f>'WK2 - Notional General Income'!F81</f>
        <v>0</v>
      </c>
      <c r="F801" s="455">
        <f>'WK2 - Notional General Income'!G81</f>
        <v>0</v>
      </c>
      <c r="G801" s="939" t="str">
        <f>'WK2 - Notional General Income'!H81</f>
        <v>.</v>
      </c>
      <c r="H801" s="455">
        <f>'WK2 - Notional General Income'!I81</f>
        <v>0</v>
      </c>
      <c r="I801" s="455">
        <f>'WK2 - Notional General Income'!J81</f>
        <v>0</v>
      </c>
      <c r="J801" s="455">
        <f>'WK2 - Notional General Income'!K81</f>
        <v>0</v>
      </c>
      <c r="K801" s="455">
        <f>'WK2 - Notional General Income'!L81</f>
        <v>0</v>
      </c>
      <c r="L801" s="347" t="str">
        <f>'WK2 - Notional General Income'!M81</f>
        <v>.</v>
      </c>
      <c r="M801" s="3"/>
      <c r="N801" s="3"/>
      <c r="O801" s="3"/>
      <c r="P801" s="3"/>
      <c r="Q801" s="3"/>
      <c r="R801" s="3"/>
      <c r="S801" s="3"/>
      <c r="T801" s="3"/>
      <c r="U801" s="3"/>
      <c r="V801" s="3"/>
      <c r="W801" s="3"/>
      <c r="X801" s="3"/>
      <c r="Y801" s="3"/>
      <c r="Z801" s="3"/>
      <c r="AA801" s="3"/>
      <c r="AB801" s="3"/>
      <c r="AC801" s="3"/>
    </row>
    <row r="802" spans="1:29" hidden="1" outlineLevel="1" x14ac:dyDescent="0.2">
      <c r="A802" s="3"/>
      <c r="B802" s="135" t="str">
        <f>'WK2 - Notional General Income'!C82</f>
        <v>Mining</v>
      </c>
      <c r="C802" s="1">
        <f>'WK2 - Notional General Income'!D82</f>
        <v>0</v>
      </c>
      <c r="D802" s="455">
        <f>'WK2 - Notional General Income'!E82</f>
        <v>0</v>
      </c>
      <c r="E802" s="455">
        <f>'WK2 - Notional General Income'!F82</f>
        <v>0</v>
      </c>
      <c r="F802" s="455">
        <f>'WK2 - Notional General Income'!G82</f>
        <v>0</v>
      </c>
      <c r="G802" s="939" t="str">
        <f>'WK2 - Notional General Income'!H82</f>
        <v>.</v>
      </c>
      <c r="H802" s="455">
        <f>'WK2 - Notional General Income'!I82</f>
        <v>0</v>
      </c>
      <c r="I802" s="455">
        <f>'WK2 - Notional General Income'!J82</f>
        <v>0</v>
      </c>
      <c r="J802" s="455">
        <f>'WK2 - Notional General Income'!K82</f>
        <v>0</v>
      </c>
      <c r="K802" s="455">
        <f>'WK2 - Notional General Income'!L82</f>
        <v>0</v>
      </c>
      <c r="L802" s="347" t="str">
        <f>'WK2 - Notional General Income'!M82</f>
        <v>.</v>
      </c>
      <c r="M802" s="3"/>
      <c r="N802" s="3"/>
      <c r="O802" s="3"/>
      <c r="P802" s="3"/>
      <c r="Q802" s="3"/>
      <c r="R802" s="3"/>
      <c r="S802" s="3"/>
      <c r="T802" s="3"/>
      <c r="U802" s="3"/>
      <c r="V802" s="3"/>
      <c r="W802" s="3"/>
      <c r="X802" s="3"/>
      <c r="Y802" s="3"/>
      <c r="Z802" s="3"/>
      <c r="AA802" s="3"/>
      <c r="AB802" s="3"/>
      <c r="AC802" s="3"/>
    </row>
    <row r="803" spans="1:29" hidden="1" outlineLevel="1" x14ac:dyDescent="0.2">
      <c r="A803" s="3"/>
      <c r="B803" s="135" t="str">
        <f>'WK2 - Notional General Income'!C83</f>
        <v>Mining</v>
      </c>
      <c r="C803" s="1">
        <f>'WK2 - Notional General Income'!D83</f>
        <v>0</v>
      </c>
      <c r="D803" s="455">
        <f>'WK2 - Notional General Income'!E83</f>
        <v>0</v>
      </c>
      <c r="E803" s="455">
        <f>'WK2 - Notional General Income'!F83</f>
        <v>0</v>
      </c>
      <c r="F803" s="455">
        <f>'WK2 - Notional General Income'!G83</f>
        <v>0</v>
      </c>
      <c r="G803" s="939" t="str">
        <f>'WK2 - Notional General Income'!H83</f>
        <v>.</v>
      </c>
      <c r="H803" s="455">
        <f>'WK2 - Notional General Income'!I83</f>
        <v>0</v>
      </c>
      <c r="I803" s="455">
        <f>'WK2 - Notional General Income'!J83</f>
        <v>0</v>
      </c>
      <c r="J803" s="455">
        <f>'WK2 - Notional General Income'!K83</f>
        <v>0</v>
      </c>
      <c r="K803" s="455">
        <f>'WK2 - Notional General Income'!L83</f>
        <v>0</v>
      </c>
      <c r="L803" s="347" t="str">
        <f>'WK2 - Notional General Income'!M83</f>
        <v>.</v>
      </c>
      <c r="M803" s="3"/>
      <c r="N803" s="3"/>
      <c r="O803" s="3"/>
      <c r="P803" s="3"/>
      <c r="Q803" s="3"/>
      <c r="R803" s="3"/>
      <c r="S803" s="3"/>
      <c r="T803" s="3"/>
      <c r="U803" s="3"/>
      <c r="V803" s="3"/>
      <c r="W803" s="3"/>
      <c r="X803" s="3"/>
      <c r="Y803" s="3"/>
      <c r="Z803" s="3"/>
      <c r="AA803" s="3"/>
      <c r="AB803" s="3"/>
      <c r="AC803" s="3"/>
    </row>
    <row r="804" spans="1:29" hidden="1" outlineLevel="1" x14ac:dyDescent="0.2">
      <c r="A804" s="3"/>
      <c r="B804" s="135" t="str">
        <f>'WK2 - Notional General Income'!C84</f>
        <v>Mining</v>
      </c>
      <c r="C804" s="1">
        <f>'WK2 - Notional General Income'!D84</f>
        <v>0</v>
      </c>
      <c r="D804" s="455">
        <f>'WK2 - Notional General Income'!E84</f>
        <v>0</v>
      </c>
      <c r="E804" s="455">
        <f>'WK2 - Notional General Income'!F84</f>
        <v>0</v>
      </c>
      <c r="F804" s="455">
        <f>'WK2 - Notional General Income'!G84</f>
        <v>0</v>
      </c>
      <c r="G804" s="939" t="str">
        <f>'WK2 - Notional General Income'!H84</f>
        <v>.</v>
      </c>
      <c r="H804" s="455">
        <f>'WK2 - Notional General Income'!I84</f>
        <v>0</v>
      </c>
      <c r="I804" s="455">
        <f>'WK2 - Notional General Income'!J84</f>
        <v>0</v>
      </c>
      <c r="J804" s="455">
        <f>'WK2 - Notional General Income'!K84</f>
        <v>0</v>
      </c>
      <c r="K804" s="455">
        <f>'WK2 - Notional General Income'!L84</f>
        <v>0</v>
      </c>
      <c r="L804" s="347" t="str">
        <f>'WK2 - Notional General Income'!M84</f>
        <v>.</v>
      </c>
      <c r="M804" s="3"/>
      <c r="N804" s="3"/>
      <c r="O804" s="3"/>
      <c r="P804" s="3"/>
      <c r="Q804" s="3"/>
      <c r="R804" s="3"/>
      <c r="S804" s="3"/>
      <c r="T804" s="3"/>
      <c r="U804" s="3"/>
      <c r="V804" s="3"/>
      <c r="W804" s="3"/>
      <c r="X804" s="3"/>
      <c r="Y804" s="3"/>
      <c r="Z804" s="3"/>
      <c r="AA804" s="3"/>
      <c r="AB804" s="3"/>
      <c r="AC804" s="3"/>
    </row>
    <row r="805" spans="1:29" hidden="1" outlineLevel="1" x14ac:dyDescent="0.2">
      <c r="A805" s="3"/>
      <c r="B805" s="135" t="str">
        <f>'WK2 - Notional General Income'!C85</f>
        <v>Mining</v>
      </c>
      <c r="C805" s="1">
        <f>'WK2 - Notional General Income'!D85</f>
        <v>0</v>
      </c>
      <c r="D805" s="455">
        <f>'WK2 - Notional General Income'!E85</f>
        <v>0</v>
      </c>
      <c r="E805" s="455">
        <f>'WK2 - Notional General Income'!F85</f>
        <v>0</v>
      </c>
      <c r="F805" s="455">
        <f>'WK2 - Notional General Income'!G85</f>
        <v>0</v>
      </c>
      <c r="G805" s="939" t="str">
        <f>'WK2 - Notional General Income'!H85</f>
        <v>.</v>
      </c>
      <c r="H805" s="455">
        <f>'WK2 - Notional General Income'!I85</f>
        <v>0</v>
      </c>
      <c r="I805" s="455">
        <f>'WK2 - Notional General Income'!J85</f>
        <v>0</v>
      </c>
      <c r="J805" s="455">
        <f>'WK2 - Notional General Income'!K85</f>
        <v>0</v>
      </c>
      <c r="K805" s="455">
        <f>'WK2 - Notional General Income'!L85</f>
        <v>0</v>
      </c>
      <c r="L805" s="347" t="str">
        <f>'WK2 - Notional General Income'!M85</f>
        <v>.</v>
      </c>
      <c r="M805" s="3"/>
      <c r="N805" s="3"/>
      <c r="O805" s="3"/>
      <c r="P805" s="3"/>
      <c r="Q805" s="3"/>
      <c r="R805" s="3"/>
      <c r="S805" s="3"/>
      <c r="T805" s="3"/>
      <c r="U805" s="3"/>
      <c r="V805" s="3"/>
      <c r="W805" s="3"/>
      <c r="X805" s="3"/>
      <c r="Y805" s="3"/>
      <c r="Z805" s="3"/>
      <c r="AA805" s="3"/>
      <c r="AB805" s="3"/>
      <c r="AC805" s="3"/>
    </row>
    <row r="806" spans="1:29" hidden="1" outlineLevel="1" x14ac:dyDescent="0.2">
      <c r="A806" s="3"/>
      <c r="B806" s="135" t="str">
        <f>'WK2 - Notional General Income'!C86</f>
        <v>Mining</v>
      </c>
      <c r="C806" s="1">
        <f>'WK2 - Notional General Income'!D86</f>
        <v>0</v>
      </c>
      <c r="D806" s="455">
        <f>'WK2 - Notional General Income'!E86</f>
        <v>0</v>
      </c>
      <c r="E806" s="455">
        <f>'WK2 - Notional General Income'!F86</f>
        <v>0</v>
      </c>
      <c r="F806" s="455">
        <f>'WK2 - Notional General Income'!G86</f>
        <v>0</v>
      </c>
      <c r="G806" s="939" t="str">
        <f>'WK2 - Notional General Income'!H86</f>
        <v>.</v>
      </c>
      <c r="H806" s="455">
        <f>'WK2 - Notional General Income'!I86</f>
        <v>0</v>
      </c>
      <c r="I806" s="455">
        <f>'WK2 - Notional General Income'!J86</f>
        <v>0</v>
      </c>
      <c r="J806" s="455">
        <f>'WK2 - Notional General Income'!K86</f>
        <v>0</v>
      </c>
      <c r="K806" s="455">
        <f>'WK2 - Notional General Income'!L86</f>
        <v>0</v>
      </c>
      <c r="L806" s="347" t="str">
        <f>'WK2 - Notional General Income'!M86</f>
        <v>.</v>
      </c>
      <c r="M806" s="3"/>
      <c r="N806" s="3"/>
      <c r="O806" s="3"/>
      <c r="P806" s="3"/>
      <c r="Q806" s="3"/>
      <c r="R806" s="3"/>
      <c r="S806" s="3"/>
      <c r="T806" s="3"/>
      <c r="U806" s="3"/>
      <c r="V806" s="3"/>
      <c r="W806" s="3"/>
      <c r="X806" s="3"/>
      <c r="Y806" s="3"/>
      <c r="Z806" s="3"/>
      <c r="AA806" s="3"/>
      <c r="AB806" s="3"/>
      <c r="AC806" s="3"/>
    </row>
    <row r="807" spans="1:29" hidden="1" outlineLevel="1" x14ac:dyDescent="0.2">
      <c r="A807" s="3"/>
      <c r="B807" s="751" t="str">
        <f>'WK2 - Notional General Income'!D87</f>
        <v>Total Mining</v>
      </c>
      <c r="C807" s="954"/>
      <c r="D807" s="951">
        <f>'WK2 - Notional General Income'!E87</f>
        <v>0</v>
      </c>
      <c r="E807" s="951">
        <f>'WK2 - Notional General Income'!F87</f>
        <v>0</v>
      </c>
      <c r="F807" s="951">
        <f>'WK2 - Notional General Income'!G87</f>
        <v>0</v>
      </c>
      <c r="G807" s="952">
        <f>'WK2 - Notional General Income'!H87</f>
        <v>0</v>
      </c>
      <c r="H807" s="951">
        <f>'WK2 - Notional General Income'!I87</f>
        <v>0</v>
      </c>
      <c r="I807" s="951">
        <f>'WK2 - Notional General Income'!J87</f>
        <v>0</v>
      </c>
      <c r="J807" s="951">
        <f>'WK2 - Notional General Income'!K87</f>
        <v>0</v>
      </c>
      <c r="K807" s="951">
        <f>'WK2 - Notional General Income'!L87</f>
        <v>0</v>
      </c>
      <c r="L807" s="953">
        <f>'WK2 - Notional General Income'!M87</f>
        <v>0</v>
      </c>
      <c r="M807" s="3"/>
      <c r="N807" s="3"/>
      <c r="O807" s="3"/>
      <c r="P807" s="3"/>
      <c r="Q807" s="3"/>
      <c r="R807" s="3"/>
      <c r="S807" s="3"/>
      <c r="T807" s="3"/>
      <c r="U807" s="3"/>
      <c r="V807" s="3"/>
      <c r="W807" s="3"/>
      <c r="X807" s="3"/>
      <c r="Y807" s="3"/>
      <c r="Z807" s="3"/>
      <c r="AA807" s="3"/>
      <c r="AB807" s="3"/>
      <c r="AC807" s="3"/>
    </row>
    <row r="808" spans="1:29" collapsed="1" x14ac:dyDescent="0.2">
      <c r="A808" s="3"/>
      <c r="B808" s="97" t="str">
        <f>'WK2 - Notional General Income'!C88</f>
        <v>Total Assessments:</v>
      </c>
      <c r="C808" s="406"/>
      <c r="D808" s="894">
        <f>'WK2 - Notional General Income'!E88</f>
        <v>54967</v>
      </c>
      <c r="E808" s="894"/>
      <c r="F808" s="894"/>
      <c r="G808" s="935"/>
      <c r="H808" s="894"/>
      <c r="I808" s="894"/>
      <c r="J808" s="894">
        <f>'WK2 - Notional General Income'!K88</f>
        <v>32804825891</v>
      </c>
      <c r="K808" s="894"/>
      <c r="L808" s="936">
        <f>'WK2 - Notional General Income'!M88</f>
        <v>72276362.306899577</v>
      </c>
      <c r="M808" s="3"/>
      <c r="N808" s="3"/>
      <c r="O808" s="3"/>
      <c r="P808" s="3"/>
      <c r="Q808" s="3"/>
      <c r="R808" s="3"/>
      <c r="S808" s="3"/>
      <c r="T808" s="3"/>
      <c r="U808" s="3"/>
      <c r="V808" s="3"/>
      <c r="W808" s="3"/>
      <c r="X808" s="3"/>
      <c r="Y808" s="3"/>
      <c r="Z808" s="3"/>
      <c r="AA808" s="3"/>
      <c r="AB808" s="3"/>
      <c r="AC808" s="3"/>
    </row>
    <row r="809" spans="1:29"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x14ac:dyDescent="0.2">
      <c r="A812" s="3"/>
      <c r="B812" s="3" t="str">
        <f>'WK3 - Notional GI Yr1 YIELD'!H5</f>
        <v>WORKSHEET 3</v>
      </c>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ht="12" x14ac:dyDescent="0.25">
      <c r="A813" s="3"/>
      <c r="B813" s="2" t="str">
        <f>'WK3 - Notional GI Yr1 YIELD'!H7</f>
        <v>CALCULATION OF NOTIONAL GENERAL INCOME 2023-24</v>
      </c>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ht="45.6" x14ac:dyDescent="0.2">
      <c r="A814" s="3"/>
      <c r="B814" s="933" t="str">
        <f>'WK3 - Notional GI Yr1 YIELD'!C18</f>
        <v>Rating Category   (s514-518)</v>
      </c>
      <c r="C814" s="934" t="str">
        <f>'WK3 - Notional GI Yr1 YIELD'!D18</f>
        <v xml:space="preserve">Name of 
sub-category </v>
      </c>
      <c r="D814" s="937" t="str">
        <f>'WK3 - Notional GI Yr1 YIELD'!E18</f>
        <v>Number of Assessments</v>
      </c>
      <c r="E814" s="937" t="str">
        <f>'WK3 - Notional GI Yr1 YIELD'!F18</f>
        <v>Ad valorem rate
(cents)</v>
      </c>
      <c r="F814" s="937" t="str">
        <f>'WK3 - Notional GI Yr1 YIELD'!G18</f>
        <v>Base Amount
$</v>
      </c>
      <c r="G814" s="937" t="str">
        <f>'WK3 - Notional GI Yr1 YIELD'!H18</f>
        <v>Base Amount
%</v>
      </c>
      <c r="H814" s="937" t="str">
        <f>'WK3 - Notional GI Yr1 YIELD'!I18</f>
        <v>Minimum
Amount
$</v>
      </c>
      <c r="I814" s="937" t="str">
        <f>'WK3 - Notional GI Yr1 YIELD'!J18</f>
        <v>Number on Minimum</v>
      </c>
      <c r="J814" s="937" t="str">
        <f>'WK3 - Notional GI Yr1 YIELD'!K18</f>
        <v>Land Value as at
start of year
$</v>
      </c>
      <c r="K814" s="937" t="str">
        <f>'WK3 - Notional GI Yr1 YIELD'!L18</f>
        <v>Land Value of Land on Minimum $</v>
      </c>
      <c r="L814" s="938" t="str">
        <f>'WK3 - Notional GI Yr1 YIELD'!M18</f>
        <v>Notional General
Income</v>
      </c>
      <c r="M814" s="3"/>
      <c r="N814" s="3"/>
      <c r="O814" s="3"/>
      <c r="P814" s="3"/>
      <c r="Q814" s="3"/>
      <c r="R814" s="3"/>
      <c r="S814" s="3"/>
      <c r="T814" s="3"/>
      <c r="U814" s="3"/>
      <c r="V814" s="3"/>
      <c r="W814" s="3"/>
      <c r="X814" s="3"/>
      <c r="Y814" s="3"/>
      <c r="Z814" s="3"/>
      <c r="AA814" s="3"/>
      <c r="AB814" s="3"/>
      <c r="AC814" s="3"/>
    </row>
    <row r="815" spans="1:29" x14ac:dyDescent="0.2">
      <c r="A815" s="3"/>
      <c r="B815" s="1206" t="str">
        <f>'WK3 - Notional GI Yr1 YIELD'!D39</f>
        <v>Total Residential</v>
      </c>
      <c r="C815" s="815"/>
      <c r="D815" s="964">
        <f>'WK3 - Notional GI Yr1 YIELD'!E39</f>
        <v>52016</v>
      </c>
      <c r="E815" s="964">
        <f>'WK3 - Notional GI Yr1 YIELD'!F39</f>
        <v>0</v>
      </c>
      <c r="F815" s="964">
        <f>'WK3 - Notional GI Yr1 YIELD'!G39</f>
        <v>0</v>
      </c>
      <c r="G815" s="964">
        <f>'WK3 - Notional GI Yr1 YIELD'!H39</f>
        <v>0</v>
      </c>
      <c r="H815" s="964">
        <f>'WK3 - Notional GI Yr1 YIELD'!I39</f>
        <v>0</v>
      </c>
      <c r="I815" s="964">
        <f>'WK3 - Notional GI Yr1 YIELD'!J39</f>
        <v>0</v>
      </c>
      <c r="J815" s="964">
        <f>'WK3 - Notional GI Yr1 YIELD'!K39</f>
        <v>30443988568</v>
      </c>
      <c r="K815" s="964">
        <f>'WK3 - Notional GI Yr1 YIELD'!L39</f>
        <v>0</v>
      </c>
      <c r="L815" s="1028">
        <f>'WK3 - Notional GI Yr1 YIELD'!M39</f>
        <v>68353235.630714953</v>
      </c>
      <c r="M815" s="3"/>
      <c r="N815" s="3"/>
      <c r="O815" s="3"/>
      <c r="P815" s="3"/>
      <c r="Q815" s="3"/>
      <c r="R815" s="3"/>
      <c r="S815" s="3"/>
      <c r="T815" s="3"/>
      <c r="U815" s="3"/>
      <c r="V815" s="3"/>
      <c r="W815" s="3"/>
      <c r="X815" s="3"/>
      <c r="Y815" s="3"/>
      <c r="Z815" s="3"/>
      <c r="AA815" s="3"/>
      <c r="AB815" s="3"/>
      <c r="AC815" s="3"/>
    </row>
    <row r="816" spans="1:29" x14ac:dyDescent="0.2">
      <c r="A816" s="3"/>
      <c r="B816" s="965" t="str">
        <f>'WK3 - Notional GI Yr1 YIELD'!D65</f>
        <v>Total Business</v>
      </c>
      <c r="C816" s="3"/>
      <c r="D816" s="192">
        <f>'WK3 - Notional GI Yr1 YIELD'!E65</f>
        <v>2638</v>
      </c>
      <c r="E816" s="192">
        <f>'WK3 - Notional GI Yr1 YIELD'!F65</f>
        <v>0</v>
      </c>
      <c r="F816" s="192">
        <f>'WK3 - Notional GI Yr1 YIELD'!G65</f>
        <v>0</v>
      </c>
      <c r="G816" s="192">
        <f>'WK3 - Notional GI Yr1 YIELD'!H65</f>
        <v>0</v>
      </c>
      <c r="H816" s="192">
        <f>'WK3 - Notional GI Yr1 YIELD'!I65</f>
        <v>0</v>
      </c>
      <c r="I816" s="192">
        <f>'WK3 - Notional GI Yr1 YIELD'!J65</f>
        <v>1136</v>
      </c>
      <c r="J816" s="192">
        <f>'WK3 - Notional GI Yr1 YIELD'!K65</f>
        <v>1851934823</v>
      </c>
      <c r="K816" s="192">
        <f>'WK3 - Notional GI Yr1 YIELD'!L65</f>
        <v>94318802</v>
      </c>
      <c r="L816" s="567">
        <f>'WK3 - Notional GI Yr1 YIELD'!M65</f>
        <v>9379362.2512690611</v>
      </c>
      <c r="M816" s="3"/>
      <c r="N816" s="3"/>
      <c r="O816" s="3"/>
      <c r="P816" s="3"/>
      <c r="Q816" s="3"/>
      <c r="R816" s="3"/>
      <c r="S816" s="3"/>
      <c r="T816" s="3"/>
      <c r="U816" s="3"/>
      <c r="V816" s="3"/>
      <c r="W816" s="3"/>
      <c r="X816" s="3"/>
      <c r="Y816" s="3"/>
      <c r="Z816" s="3"/>
      <c r="AA816" s="3"/>
      <c r="AB816" s="3"/>
      <c r="AC816" s="3"/>
    </row>
    <row r="817" spans="1:29" x14ac:dyDescent="0.2">
      <c r="A817" s="3"/>
      <c r="B817" s="965" t="str">
        <f>'WK3 - Notional GI Yr1 YIELD'!D76</f>
        <v>Total Farmland</v>
      </c>
      <c r="C817" s="3"/>
      <c r="D817" s="192">
        <f>'WK3 - Notional GI Yr1 YIELD'!E76</f>
        <v>313</v>
      </c>
      <c r="E817" s="192">
        <f>'WK3 - Notional GI Yr1 YIELD'!F76</f>
        <v>0</v>
      </c>
      <c r="F817" s="192">
        <f>'WK3 - Notional GI Yr1 YIELD'!G76</f>
        <v>0</v>
      </c>
      <c r="G817" s="192">
        <f>'WK3 - Notional GI Yr1 YIELD'!H76</f>
        <v>0</v>
      </c>
      <c r="H817" s="192">
        <f>'WK3 - Notional GI Yr1 YIELD'!I76</f>
        <v>0</v>
      </c>
      <c r="I817" s="192">
        <f>'WK3 - Notional GI Yr1 YIELD'!J76</f>
        <v>0</v>
      </c>
      <c r="J817" s="192">
        <f>'WK3 - Notional GI Yr1 YIELD'!K76</f>
        <v>508902500</v>
      </c>
      <c r="K817" s="192">
        <f>'WK3 - Notional GI Yr1 YIELD'!L76</f>
        <v>0</v>
      </c>
      <c r="L817" s="567">
        <f>'WK3 - Notional GI Yr1 YIELD'!M76</f>
        <v>690118.44992500008</v>
      </c>
      <c r="M817" s="3"/>
      <c r="N817" s="3"/>
      <c r="O817" s="3"/>
      <c r="P817" s="3"/>
      <c r="Q817" s="3"/>
      <c r="R817" s="3"/>
      <c r="S817" s="3"/>
      <c r="T817" s="3"/>
      <c r="U817" s="3"/>
      <c r="V817" s="3"/>
      <c r="W817" s="3"/>
      <c r="X817" s="3"/>
      <c r="Y817" s="3"/>
      <c r="Z817" s="3"/>
      <c r="AA817" s="3"/>
      <c r="AB817" s="3"/>
      <c r="AC817" s="3"/>
    </row>
    <row r="818" spans="1:29" x14ac:dyDescent="0.2">
      <c r="A818" s="3"/>
      <c r="B818" s="965" t="str">
        <f>'WK3 - Notional GI Yr1 YIELD'!D87</f>
        <v>Total Mining</v>
      </c>
      <c r="C818" s="3"/>
      <c r="D818" s="192">
        <f>'WK3 - Notional GI Yr1 YIELD'!E87</f>
        <v>0</v>
      </c>
      <c r="E818" s="192">
        <f>'WK3 - Notional GI Yr1 YIELD'!F87</f>
        <v>0</v>
      </c>
      <c r="F818" s="192">
        <f>'WK3 - Notional GI Yr1 YIELD'!G87</f>
        <v>0</v>
      </c>
      <c r="G818" s="192">
        <f>'WK3 - Notional GI Yr1 YIELD'!H87</f>
        <v>0</v>
      </c>
      <c r="H818" s="192">
        <f>'WK3 - Notional GI Yr1 YIELD'!I87</f>
        <v>0</v>
      </c>
      <c r="I818" s="192">
        <f>'WK3 - Notional GI Yr1 YIELD'!J87</f>
        <v>0</v>
      </c>
      <c r="J818" s="192">
        <f>'WK3 - Notional GI Yr1 YIELD'!K87</f>
        <v>0</v>
      </c>
      <c r="K818" s="192">
        <f>'WK3 - Notional GI Yr1 YIELD'!L87</f>
        <v>0</v>
      </c>
      <c r="L818" s="567">
        <f>'WK3 - Notional GI Yr1 YIELD'!M87</f>
        <v>0</v>
      </c>
      <c r="M818" s="3"/>
      <c r="N818" s="3"/>
      <c r="O818" s="3"/>
      <c r="P818" s="3"/>
      <c r="Q818" s="3"/>
      <c r="R818" s="3"/>
      <c r="S818" s="3"/>
      <c r="T818" s="3"/>
      <c r="U818" s="3"/>
      <c r="V818" s="3"/>
      <c r="W818" s="3"/>
      <c r="X818" s="3"/>
      <c r="Y818" s="3"/>
      <c r="Z818" s="3"/>
      <c r="AA818" s="3"/>
      <c r="AB818" s="3"/>
      <c r="AC818" s="3"/>
    </row>
    <row r="819" spans="1:29" x14ac:dyDescent="0.2">
      <c r="A819" s="3"/>
      <c r="B819" s="966" t="str">
        <f>'WK3 - Notional GI Yr1 YIELD'!C88</f>
        <v>Total Assessments:</v>
      </c>
      <c r="C819" s="93"/>
      <c r="D819" s="894">
        <f>SUM(D815:D818)</f>
        <v>54967</v>
      </c>
      <c r="E819" s="894">
        <f t="shared" ref="E819:H819" si="34">SUM(E815:E818)</f>
        <v>0</v>
      </c>
      <c r="F819" s="894">
        <f t="shared" si="34"/>
        <v>0</v>
      </c>
      <c r="G819" s="894">
        <f t="shared" si="34"/>
        <v>0</v>
      </c>
      <c r="H819" s="894">
        <f t="shared" si="34"/>
        <v>0</v>
      </c>
      <c r="I819" s="894">
        <f>SUM(I815:I818)</f>
        <v>1136</v>
      </c>
      <c r="J819" s="894">
        <f t="shared" ref="J819:L819" si="35">SUM(J815:J818)</f>
        <v>32804825891</v>
      </c>
      <c r="K819" s="894">
        <f t="shared" si="35"/>
        <v>94318802</v>
      </c>
      <c r="L819" s="936">
        <f t="shared" si="35"/>
        <v>78422716.331909016</v>
      </c>
      <c r="M819" s="3"/>
      <c r="N819" s="3"/>
      <c r="O819" s="3"/>
      <c r="P819" s="3"/>
      <c r="Q819" s="3"/>
      <c r="R819" s="3"/>
      <c r="S819" s="3"/>
      <c r="T819" s="3"/>
      <c r="U819" s="3"/>
      <c r="V819" s="3"/>
      <c r="W819" s="3"/>
      <c r="X819" s="3"/>
      <c r="Y819" s="3"/>
      <c r="Z819" s="3"/>
      <c r="AA819" s="3"/>
      <c r="AB819" s="3"/>
      <c r="AC819" s="3"/>
    </row>
    <row r="820" spans="1:29" x14ac:dyDescent="0.2">
      <c r="A820" s="3"/>
      <c r="B820" s="539" t="s">
        <v>127</v>
      </c>
      <c r="C820" s="3"/>
      <c r="D820" s="539">
        <f>SUM('WK3 - Notional GI Yr1 YIELD'!E19:E38,'WK3 - Notional GI Yr1 YIELD'!E40:E64,'WK3 - Notional GI Yr1 YIELD'!E66:E75,'WK3 - Notional GI Yr1 YIELD'!E77:E86)-D819</f>
        <v>0</v>
      </c>
      <c r="E820" s="3"/>
      <c r="F820" s="3"/>
      <c r="G820" s="3"/>
      <c r="H820" s="3"/>
      <c r="I820" s="539">
        <f>SUM('WK3 - Notional GI Yr1 YIELD'!J19:J38,'WK3 - Notional GI Yr1 YIELD'!J40:J64,'WK3 - Notional GI Yr1 YIELD'!J66:J75,'WK3 - Notional GI Yr1 YIELD'!J77:J86)-I819</f>
        <v>0</v>
      </c>
      <c r="J820" s="3"/>
      <c r="K820" s="3"/>
      <c r="L820" s="3"/>
      <c r="M820" s="3"/>
      <c r="N820" s="3"/>
      <c r="O820" s="3"/>
      <c r="P820" s="3"/>
      <c r="Q820" s="3"/>
      <c r="R820" s="3"/>
      <c r="S820" s="3"/>
      <c r="T820" s="3"/>
      <c r="U820" s="3"/>
      <c r="V820" s="3"/>
      <c r="W820" s="3"/>
      <c r="X820" s="3"/>
      <c r="Y820" s="3"/>
      <c r="Z820" s="3"/>
      <c r="AA820" s="3"/>
      <c r="AB820" s="3"/>
      <c r="AC820" s="3"/>
    </row>
    <row r="821" spans="1:29" ht="12" x14ac:dyDescent="0.25">
      <c r="A821" s="3"/>
      <c r="B821" s="523" t="s">
        <v>144</v>
      </c>
      <c r="C821" s="3"/>
      <c r="D821" s="192"/>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ht="12" hidden="1" outlineLevel="1" thickTop="1" x14ac:dyDescent="0.2">
      <c r="A822" s="3"/>
      <c r="B822" s="1043" t="s">
        <v>129</v>
      </c>
      <c r="C822" s="1044" t="s">
        <v>129</v>
      </c>
      <c r="D822" s="1045" t="s">
        <v>129</v>
      </c>
      <c r="E822" s="1045" t="s">
        <v>129</v>
      </c>
      <c r="F822" s="1045" t="s">
        <v>129</v>
      </c>
      <c r="G822" s="1045" t="s">
        <v>129</v>
      </c>
      <c r="H822" s="1045" t="s">
        <v>129</v>
      </c>
      <c r="I822" s="1045" t="s">
        <v>129</v>
      </c>
      <c r="J822" s="1045" t="s">
        <v>129</v>
      </c>
      <c r="K822" s="1045" t="s">
        <v>129</v>
      </c>
      <c r="L822" s="1046" t="s">
        <v>129</v>
      </c>
      <c r="M822" s="3"/>
      <c r="N822" s="3"/>
      <c r="O822" s="3"/>
      <c r="P822" s="3"/>
      <c r="Q822" s="3"/>
      <c r="R822" s="3"/>
      <c r="S822" s="3"/>
      <c r="T822" s="3"/>
      <c r="U822" s="3"/>
      <c r="V822" s="3"/>
      <c r="W822" s="3"/>
      <c r="X822" s="3"/>
      <c r="Y822" s="3"/>
      <c r="Z822" s="3"/>
      <c r="AA822" s="3"/>
      <c r="AB822" s="3"/>
      <c r="AC822" s="3"/>
    </row>
    <row r="823" spans="1:29" hidden="1" outlineLevel="1" x14ac:dyDescent="0.2">
      <c r="A823" s="3"/>
      <c r="B823" s="1047" t="s">
        <v>129</v>
      </c>
      <c r="C823" s="529" t="s">
        <v>129</v>
      </c>
      <c r="D823" s="529" t="s">
        <v>129</v>
      </c>
      <c r="E823" s="529" t="s">
        <v>129</v>
      </c>
      <c r="F823" s="529" t="s">
        <v>129</v>
      </c>
      <c r="G823" s="529" t="s">
        <v>129</v>
      </c>
      <c r="H823" s="529" t="s">
        <v>129</v>
      </c>
      <c r="I823" s="529" t="s">
        <v>129</v>
      </c>
      <c r="J823" s="529" t="s">
        <v>129</v>
      </c>
      <c r="K823" s="529" t="s">
        <v>129</v>
      </c>
      <c r="L823" s="1048" t="s">
        <v>129</v>
      </c>
      <c r="M823" s="3"/>
      <c r="N823" s="3"/>
      <c r="O823" s="3"/>
      <c r="P823" s="3"/>
      <c r="Q823" s="3"/>
      <c r="R823" s="3"/>
      <c r="S823" s="3"/>
      <c r="T823" s="3"/>
      <c r="U823" s="3"/>
      <c r="V823" s="3"/>
      <c r="W823" s="3"/>
      <c r="X823" s="3"/>
      <c r="Y823" s="3"/>
      <c r="Z823" s="3"/>
      <c r="AA823" s="3"/>
      <c r="AB823" s="3"/>
      <c r="AC823" s="3"/>
    </row>
    <row r="824" spans="1:29" hidden="1" outlineLevel="1" x14ac:dyDescent="0.2">
      <c r="A824" s="3"/>
      <c r="B824" s="1047" t="s">
        <v>129</v>
      </c>
      <c r="C824" s="529" t="s">
        <v>129</v>
      </c>
      <c r="D824" s="529" t="s">
        <v>129</v>
      </c>
      <c r="E824" s="529" t="s">
        <v>129</v>
      </c>
      <c r="F824" s="529" t="s">
        <v>129</v>
      </c>
      <c r="G824" s="529" t="s">
        <v>129</v>
      </c>
      <c r="H824" s="529" t="s">
        <v>129</v>
      </c>
      <c r="I824" s="529" t="s">
        <v>129</v>
      </c>
      <c r="J824" s="529" t="s">
        <v>129</v>
      </c>
      <c r="K824" s="529" t="s">
        <v>129</v>
      </c>
      <c r="L824" s="1048" t="s">
        <v>129</v>
      </c>
      <c r="M824" s="3"/>
      <c r="N824" s="3"/>
      <c r="O824" s="3"/>
      <c r="P824" s="3"/>
      <c r="Q824" s="3"/>
      <c r="R824" s="3"/>
      <c r="S824" s="3"/>
      <c r="T824" s="3"/>
      <c r="U824" s="3"/>
      <c r="V824" s="3"/>
      <c r="W824" s="3"/>
      <c r="X824" s="3"/>
      <c r="Y824" s="3"/>
      <c r="Z824" s="3"/>
      <c r="AA824" s="3"/>
      <c r="AB824" s="3"/>
      <c r="AC824" s="3"/>
    </row>
    <row r="825" spans="1:29" hidden="1" outlineLevel="1" x14ac:dyDescent="0.2">
      <c r="A825" s="3"/>
      <c r="B825" s="1047" t="s">
        <v>129</v>
      </c>
      <c r="C825" s="529" t="s">
        <v>129</v>
      </c>
      <c r="D825" s="529" t="s">
        <v>129</v>
      </c>
      <c r="E825" s="529" t="s">
        <v>129</v>
      </c>
      <c r="F825" s="529" t="s">
        <v>129</v>
      </c>
      <c r="G825" s="529" t="s">
        <v>129</v>
      </c>
      <c r="H825" s="529" t="s">
        <v>129</v>
      </c>
      <c r="I825" s="529" t="s">
        <v>129</v>
      </c>
      <c r="J825" s="529" t="s">
        <v>129</v>
      </c>
      <c r="K825" s="529" t="s">
        <v>129</v>
      </c>
      <c r="L825" s="1048" t="s">
        <v>129</v>
      </c>
      <c r="M825" s="3"/>
      <c r="N825" s="3"/>
      <c r="O825" s="3"/>
      <c r="P825" s="3"/>
      <c r="Q825" s="3"/>
      <c r="R825" s="3"/>
      <c r="S825" s="3"/>
      <c r="T825" s="3"/>
      <c r="U825" s="3"/>
      <c r="V825" s="3"/>
      <c r="W825" s="3"/>
      <c r="X825" s="3"/>
      <c r="Y825" s="3"/>
      <c r="Z825" s="3"/>
      <c r="AA825" s="3"/>
      <c r="AB825" s="3"/>
      <c r="AC825" s="3"/>
    </row>
    <row r="826" spans="1:29" hidden="1" outlineLevel="1" x14ac:dyDescent="0.2">
      <c r="A826" s="3"/>
      <c r="B826" s="1047" t="s">
        <v>129</v>
      </c>
      <c r="C826" s="529" t="s">
        <v>129</v>
      </c>
      <c r="D826" s="529" t="s">
        <v>129</v>
      </c>
      <c r="E826" s="529" t="s">
        <v>129</v>
      </c>
      <c r="F826" s="529" t="s">
        <v>129</v>
      </c>
      <c r="G826" s="529" t="s">
        <v>129</v>
      </c>
      <c r="H826" s="529" t="s">
        <v>129</v>
      </c>
      <c r="I826" s="529" t="s">
        <v>129</v>
      </c>
      <c r="J826" s="529" t="s">
        <v>129</v>
      </c>
      <c r="K826" s="529" t="s">
        <v>129</v>
      </c>
      <c r="L826" s="1048" t="s">
        <v>129</v>
      </c>
      <c r="M826" s="3"/>
      <c r="N826" s="3"/>
      <c r="O826" s="3"/>
      <c r="P826" s="3"/>
      <c r="Q826" s="3"/>
      <c r="R826" s="3"/>
      <c r="S826" s="3"/>
      <c r="T826" s="3"/>
      <c r="U826" s="3"/>
      <c r="V826" s="3"/>
      <c r="W826" s="3"/>
      <c r="X826" s="3"/>
      <c r="Y826" s="3"/>
      <c r="Z826" s="3"/>
      <c r="AA826" s="3"/>
      <c r="AB826" s="3"/>
      <c r="AC826" s="3"/>
    </row>
    <row r="827" spans="1:29" hidden="1" outlineLevel="1" x14ac:dyDescent="0.2">
      <c r="A827" s="3"/>
      <c r="B827" s="1047" t="s">
        <v>129</v>
      </c>
      <c r="C827" s="529" t="s">
        <v>129</v>
      </c>
      <c r="D827" s="529" t="s">
        <v>129</v>
      </c>
      <c r="E827" s="529" t="s">
        <v>129</v>
      </c>
      <c r="F827" s="529" t="s">
        <v>129</v>
      </c>
      <c r="G827" s="529" t="s">
        <v>129</v>
      </c>
      <c r="H827" s="529" t="s">
        <v>129</v>
      </c>
      <c r="I827" s="529" t="s">
        <v>129</v>
      </c>
      <c r="J827" s="529" t="s">
        <v>129</v>
      </c>
      <c r="K827" s="529" t="s">
        <v>129</v>
      </c>
      <c r="L827" s="1048" t="s">
        <v>129</v>
      </c>
      <c r="M827" s="3"/>
      <c r="N827" s="3"/>
      <c r="O827" s="3"/>
      <c r="P827" s="3"/>
      <c r="Q827" s="3"/>
      <c r="R827" s="3"/>
      <c r="S827" s="3"/>
      <c r="T827" s="3"/>
      <c r="U827" s="3"/>
      <c r="V827" s="3"/>
      <c r="W827" s="3"/>
      <c r="X827" s="3"/>
      <c r="Y827" s="3"/>
      <c r="Z827" s="3"/>
      <c r="AA827" s="3"/>
      <c r="AB827" s="3"/>
      <c r="AC827" s="3"/>
    </row>
    <row r="828" spans="1:29" hidden="1" outlineLevel="1" x14ac:dyDescent="0.2">
      <c r="A828" s="3"/>
      <c r="B828" s="1047" t="s">
        <v>129</v>
      </c>
      <c r="C828" s="529" t="s">
        <v>129</v>
      </c>
      <c r="D828" s="529" t="s">
        <v>129</v>
      </c>
      <c r="E828" s="529" t="s">
        <v>129</v>
      </c>
      <c r="F828" s="529" t="s">
        <v>129</v>
      </c>
      <c r="G828" s="529" t="s">
        <v>129</v>
      </c>
      <c r="H828" s="529" t="s">
        <v>129</v>
      </c>
      <c r="I828" s="529" t="s">
        <v>129</v>
      </c>
      <c r="J828" s="529" t="s">
        <v>129</v>
      </c>
      <c r="K828" s="529" t="s">
        <v>129</v>
      </c>
      <c r="L828" s="1048" t="s">
        <v>129</v>
      </c>
      <c r="M828" s="3"/>
      <c r="N828" s="3"/>
      <c r="O828" s="3"/>
      <c r="P828" s="3"/>
      <c r="Q828" s="3"/>
      <c r="R828" s="3"/>
      <c r="S828" s="3"/>
      <c r="T828" s="3"/>
      <c r="U828" s="3"/>
      <c r="V828" s="3"/>
      <c r="W828" s="3"/>
      <c r="X828" s="3"/>
      <c r="Y828" s="3"/>
      <c r="Z828" s="3"/>
      <c r="AA828" s="3"/>
      <c r="AB828" s="3"/>
      <c r="AC828" s="3"/>
    </row>
    <row r="829" spans="1:29" hidden="1" outlineLevel="1" x14ac:dyDescent="0.2">
      <c r="A829" s="3"/>
      <c r="B829" s="1047" t="s">
        <v>129</v>
      </c>
      <c r="C829" s="529" t="s">
        <v>129</v>
      </c>
      <c r="D829" s="529" t="s">
        <v>129</v>
      </c>
      <c r="E829" s="529" t="s">
        <v>129</v>
      </c>
      <c r="F829" s="529" t="s">
        <v>129</v>
      </c>
      <c r="G829" s="529" t="s">
        <v>129</v>
      </c>
      <c r="H829" s="529" t="s">
        <v>129</v>
      </c>
      <c r="I829" s="529" t="s">
        <v>129</v>
      </c>
      <c r="J829" s="529" t="s">
        <v>129</v>
      </c>
      <c r="K829" s="529" t="s">
        <v>129</v>
      </c>
      <c r="L829" s="1048" t="s">
        <v>129</v>
      </c>
      <c r="M829" s="3"/>
      <c r="N829" s="3"/>
      <c r="O829" s="3"/>
      <c r="P829" s="3"/>
      <c r="Q829" s="3"/>
      <c r="R829" s="3"/>
      <c r="S829" s="3"/>
      <c r="T829" s="3"/>
      <c r="U829" s="3"/>
      <c r="V829" s="3"/>
      <c r="W829" s="3"/>
      <c r="X829" s="3"/>
      <c r="Y829" s="3"/>
      <c r="Z829" s="3"/>
      <c r="AA829" s="3"/>
      <c r="AB829" s="3"/>
      <c r="AC829" s="3"/>
    </row>
    <row r="830" spans="1:29" hidden="1" outlineLevel="1" x14ac:dyDescent="0.2">
      <c r="A830" s="3"/>
      <c r="B830" s="1047" t="s">
        <v>129</v>
      </c>
      <c r="C830" s="529" t="s">
        <v>129</v>
      </c>
      <c r="D830" s="529" t="s">
        <v>129</v>
      </c>
      <c r="E830" s="529" t="s">
        <v>129</v>
      </c>
      <c r="F830" s="529" t="s">
        <v>129</v>
      </c>
      <c r="G830" s="529" t="s">
        <v>129</v>
      </c>
      <c r="H830" s="529" t="s">
        <v>129</v>
      </c>
      <c r="I830" s="529" t="s">
        <v>129</v>
      </c>
      <c r="J830" s="529" t="s">
        <v>129</v>
      </c>
      <c r="K830" s="529" t="s">
        <v>129</v>
      </c>
      <c r="L830" s="1048" t="s">
        <v>129</v>
      </c>
      <c r="M830" s="3"/>
      <c r="N830" s="3"/>
      <c r="O830" s="3"/>
      <c r="P830" s="3"/>
      <c r="Q830" s="3"/>
      <c r="R830" s="3"/>
      <c r="S830" s="3"/>
      <c r="T830" s="3"/>
      <c r="U830" s="3"/>
      <c r="V830" s="3"/>
      <c r="W830" s="3"/>
      <c r="X830" s="3"/>
      <c r="Y830" s="3"/>
      <c r="Z830" s="3"/>
      <c r="AA830" s="3"/>
      <c r="AB830" s="3"/>
      <c r="AC830" s="3"/>
    </row>
    <row r="831" spans="1:29" hidden="1" outlineLevel="1" x14ac:dyDescent="0.2">
      <c r="A831" s="3"/>
      <c r="B831" s="1047" t="s">
        <v>129</v>
      </c>
      <c r="C831" s="529" t="s">
        <v>129</v>
      </c>
      <c r="D831" s="529" t="s">
        <v>129</v>
      </c>
      <c r="E831" s="529" t="s">
        <v>129</v>
      </c>
      <c r="F831" s="529" t="s">
        <v>129</v>
      </c>
      <c r="G831" s="529" t="s">
        <v>129</v>
      </c>
      <c r="H831" s="529" t="s">
        <v>129</v>
      </c>
      <c r="I831" s="529" t="s">
        <v>129</v>
      </c>
      <c r="J831" s="529" t="s">
        <v>129</v>
      </c>
      <c r="K831" s="529" t="s">
        <v>129</v>
      </c>
      <c r="L831" s="1048" t="s">
        <v>129</v>
      </c>
      <c r="M831" s="3"/>
      <c r="N831" s="3"/>
      <c r="O831" s="3"/>
      <c r="P831" s="3"/>
      <c r="Q831" s="3"/>
      <c r="R831" s="3"/>
      <c r="S831" s="3"/>
      <c r="T831" s="3"/>
      <c r="U831" s="3"/>
      <c r="V831" s="3"/>
      <c r="W831" s="3"/>
      <c r="X831" s="3"/>
      <c r="Y831" s="3"/>
      <c r="Z831" s="3"/>
      <c r="AA831" s="3"/>
      <c r="AB831" s="3"/>
      <c r="AC831" s="3"/>
    </row>
    <row r="832" spans="1:29" hidden="1" outlineLevel="1" x14ac:dyDescent="0.2">
      <c r="A832" s="3"/>
      <c r="B832" s="1047" t="s">
        <v>129</v>
      </c>
      <c r="C832" s="529" t="s">
        <v>129</v>
      </c>
      <c r="D832" s="529" t="s">
        <v>129</v>
      </c>
      <c r="E832" s="529" t="s">
        <v>129</v>
      </c>
      <c r="F832" s="529" t="s">
        <v>129</v>
      </c>
      <c r="G832" s="529" t="s">
        <v>129</v>
      </c>
      <c r="H832" s="529" t="s">
        <v>129</v>
      </c>
      <c r="I832" s="529" t="s">
        <v>129</v>
      </c>
      <c r="J832" s="529" t="s">
        <v>129</v>
      </c>
      <c r="K832" s="529" t="s">
        <v>129</v>
      </c>
      <c r="L832" s="1048" t="s">
        <v>129</v>
      </c>
      <c r="M832" s="3"/>
      <c r="N832" s="3"/>
      <c r="O832" s="3"/>
      <c r="P832" s="3"/>
      <c r="Q832" s="3"/>
      <c r="R832" s="3"/>
      <c r="S832" s="3"/>
      <c r="T832" s="3"/>
      <c r="U832" s="3"/>
      <c r="V832" s="3"/>
      <c r="W832" s="3"/>
      <c r="X832" s="3"/>
      <c r="Y832" s="3"/>
      <c r="Z832" s="3"/>
      <c r="AA832" s="3"/>
      <c r="AB832" s="3"/>
      <c r="AC832" s="3"/>
    </row>
    <row r="833" spans="1:29" hidden="1" outlineLevel="1" x14ac:dyDescent="0.2">
      <c r="A833" s="3"/>
      <c r="B833" s="1047" t="s">
        <v>129</v>
      </c>
      <c r="C833" s="529" t="s">
        <v>129</v>
      </c>
      <c r="D833" s="529" t="s">
        <v>129</v>
      </c>
      <c r="E833" s="529" t="s">
        <v>129</v>
      </c>
      <c r="F833" s="529" t="s">
        <v>129</v>
      </c>
      <c r="G833" s="529" t="s">
        <v>129</v>
      </c>
      <c r="H833" s="529" t="s">
        <v>129</v>
      </c>
      <c r="I833" s="529" t="s">
        <v>129</v>
      </c>
      <c r="J833" s="529" t="s">
        <v>129</v>
      </c>
      <c r="K833" s="529" t="s">
        <v>129</v>
      </c>
      <c r="L833" s="1048" t="s">
        <v>129</v>
      </c>
      <c r="M833" s="3"/>
      <c r="N833" s="3"/>
      <c r="O833" s="3"/>
      <c r="P833" s="3"/>
      <c r="Q833" s="3"/>
      <c r="R833" s="3"/>
      <c r="S833" s="3"/>
      <c r="T833" s="3"/>
      <c r="U833" s="3"/>
      <c r="V833" s="3"/>
      <c r="W833" s="3"/>
      <c r="X833" s="3"/>
      <c r="Y833" s="3"/>
      <c r="Z833" s="3"/>
      <c r="AA833" s="3"/>
      <c r="AB833" s="3"/>
      <c r="AC833" s="3"/>
    </row>
    <row r="834" spans="1:29" hidden="1" outlineLevel="1" x14ac:dyDescent="0.2">
      <c r="A834" s="3"/>
      <c r="B834" s="1047" t="s">
        <v>129</v>
      </c>
      <c r="C834" s="529" t="s">
        <v>129</v>
      </c>
      <c r="D834" s="529" t="s">
        <v>129</v>
      </c>
      <c r="E834" s="529" t="s">
        <v>129</v>
      </c>
      <c r="F834" s="529" t="s">
        <v>129</v>
      </c>
      <c r="G834" s="529" t="s">
        <v>129</v>
      </c>
      <c r="H834" s="529" t="s">
        <v>129</v>
      </c>
      <c r="I834" s="529" t="s">
        <v>129</v>
      </c>
      <c r="J834" s="529" t="s">
        <v>129</v>
      </c>
      <c r="K834" s="529" t="s">
        <v>129</v>
      </c>
      <c r="L834" s="1048" t="s">
        <v>129</v>
      </c>
      <c r="M834" s="3"/>
      <c r="N834" s="3"/>
      <c r="O834" s="3"/>
      <c r="P834" s="3"/>
      <c r="Q834" s="3"/>
      <c r="R834" s="3"/>
      <c r="S834" s="3"/>
      <c r="T834" s="3"/>
      <c r="U834" s="3"/>
      <c r="V834" s="3"/>
      <c r="W834" s="3"/>
      <c r="X834" s="3"/>
      <c r="Y834" s="3"/>
      <c r="Z834" s="3"/>
      <c r="AA834" s="3"/>
      <c r="AB834" s="3"/>
      <c r="AC834" s="3"/>
    </row>
    <row r="835" spans="1:29" hidden="1" outlineLevel="1" x14ac:dyDescent="0.2">
      <c r="A835" s="3"/>
      <c r="B835" s="1047" t="s">
        <v>129</v>
      </c>
      <c r="C835" s="529" t="s">
        <v>129</v>
      </c>
      <c r="D835" s="529" t="s">
        <v>129</v>
      </c>
      <c r="E835" s="529" t="s">
        <v>129</v>
      </c>
      <c r="F835" s="529" t="s">
        <v>129</v>
      </c>
      <c r="G835" s="529" t="s">
        <v>129</v>
      </c>
      <c r="H835" s="529" t="s">
        <v>129</v>
      </c>
      <c r="I835" s="529" t="s">
        <v>129</v>
      </c>
      <c r="J835" s="529" t="s">
        <v>129</v>
      </c>
      <c r="K835" s="529" t="s">
        <v>129</v>
      </c>
      <c r="L835" s="1048" t="s">
        <v>129</v>
      </c>
      <c r="M835" s="3"/>
      <c r="N835" s="3"/>
      <c r="O835" s="3"/>
      <c r="P835" s="3"/>
      <c r="Q835" s="3"/>
      <c r="R835" s="3"/>
      <c r="S835" s="3"/>
      <c r="T835" s="3"/>
      <c r="U835" s="3"/>
      <c r="V835" s="3"/>
      <c r="W835" s="3"/>
      <c r="X835" s="3"/>
      <c r="Y835" s="3"/>
      <c r="Z835" s="3"/>
      <c r="AA835" s="3"/>
      <c r="AB835" s="3"/>
      <c r="AC835" s="3"/>
    </row>
    <row r="836" spans="1:29" hidden="1" outlineLevel="1" x14ac:dyDescent="0.2">
      <c r="A836" s="3"/>
      <c r="B836" s="1047" t="s">
        <v>129</v>
      </c>
      <c r="C836" s="529" t="s">
        <v>129</v>
      </c>
      <c r="D836" s="529" t="s">
        <v>129</v>
      </c>
      <c r="E836" s="529" t="s">
        <v>129</v>
      </c>
      <c r="F836" s="529" t="s">
        <v>129</v>
      </c>
      <c r="G836" s="529" t="s">
        <v>129</v>
      </c>
      <c r="H836" s="529" t="s">
        <v>129</v>
      </c>
      <c r="I836" s="529" t="s">
        <v>129</v>
      </c>
      <c r="J836" s="529" t="s">
        <v>129</v>
      </c>
      <c r="K836" s="529" t="s">
        <v>129</v>
      </c>
      <c r="L836" s="1048" t="s">
        <v>129</v>
      </c>
      <c r="M836" s="3"/>
      <c r="N836" s="3"/>
      <c r="O836" s="3"/>
      <c r="P836" s="3"/>
      <c r="Q836" s="3"/>
      <c r="R836" s="3"/>
      <c r="S836" s="3"/>
      <c r="T836" s="3"/>
      <c r="U836" s="3"/>
      <c r="V836" s="3"/>
      <c r="W836" s="3"/>
      <c r="X836" s="3"/>
      <c r="Y836" s="3"/>
      <c r="Z836" s="3"/>
      <c r="AA836" s="3"/>
      <c r="AB836" s="3"/>
      <c r="AC836" s="3"/>
    </row>
    <row r="837" spans="1:29" hidden="1" outlineLevel="1" x14ac:dyDescent="0.2">
      <c r="A837" s="3"/>
      <c r="B837" s="1047" t="s">
        <v>129</v>
      </c>
      <c r="C837" s="529" t="s">
        <v>129</v>
      </c>
      <c r="D837" s="529" t="s">
        <v>129</v>
      </c>
      <c r="E837" s="529" t="s">
        <v>129</v>
      </c>
      <c r="F837" s="529" t="s">
        <v>129</v>
      </c>
      <c r="G837" s="529" t="s">
        <v>129</v>
      </c>
      <c r="H837" s="529" t="s">
        <v>129</v>
      </c>
      <c r="I837" s="529" t="s">
        <v>129</v>
      </c>
      <c r="J837" s="529" t="s">
        <v>129</v>
      </c>
      <c r="K837" s="529" t="s">
        <v>129</v>
      </c>
      <c r="L837" s="1048" t="s">
        <v>129</v>
      </c>
      <c r="M837" s="3"/>
      <c r="N837" s="3"/>
      <c r="O837" s="3"/>
      <c r="P837" s="3"/>
      <c r="Q837" s="3"/>
      <c r="R837" s="3"/>
      <c r="S837" s="3"/>
      <c r="T837" s="3"/>
      <c r="U837" s="3"/>
      <c r="V837" s="3"/>
      <c r="W837" s="3"/>
      <c r="X837" s="3"/>
      <c r="Y837" s="3"/>
      <c r="Z837" s="3"/>
      <c r="AA837" s="3"/>
      <c r="AB837" s="3"/>
      <c r="AC837" s="3"/>
    </row>
    <row r="838" spans="1:29" hidden="1" outlineLevel="1" x14ac:dyDescent="0.2">
      <c r="A838" s="3"/>
      <c r="B838" s="1047" t="s">
        <v>129</v>
      </c>
      <c r="C838" s="529" t="s">
        <v>129</v>
      </c>
      <c r="D838" s="529" t="s">
        <v>129</v>
      </c>
      <c r="E838" s="529" t="s">
        <v>129</v>
      </c>
      <c r="F838" s="529" t="s">
        <v>129</v>
      </c>
      <c r="G838" s="529" t="s">
        <v>129</v>
      </c>
      <c r="H838" s="529" t="s">
        <v>129</v>
      </c>
      <c r="I838" s="529" t="s">
        <v>129</v>
      </c>
      <c r="J838" s="529" t="s">
        <v>129</v>
      </c>
      <c r="K838" s="529" t="s">
        <v>129</v>
      </c>
      <c r="L838" s="1048" t="s">
        <v>129</v>
      </c>
      <c r="M838" s="3"/>
      <c r="N838" s="3"/>
      <c r="O838" s="3"/>
      <c r="P838" s="3"/>
      <c r="Q838" s="3"/>
      <c r="R838" s="3"/>
      <c r="S838" s="3"/>
      <c r="T838" s="3"/>
      <c r="U838" s="3"/>
      <c r="V838" s="3"/>
      <c r="W838" s="3"/>
      <c r="X838" s="3"/>
      <c r="Y838" s="3"/>
      <c r="Z838" s="3"/>
      <c r="AA838" s="3"/>
      <c r="AB838" s="3"/>
      <c r="AC838" s="3"/>
    </row>
    <row r="839" spans="1:29" hidden="1" outlineLevel="1" x14ac:dyDescent="0.2">
      <c r="A839" s="3"/>
      <c r="B839" s="1047" t="s">
        <v>129</v>
      </c>
      <c r="C839" s="529" t="s">
        <v>129</v>
      </c>
      <c r="D839" s="529" t="s">
        <v>129</v>
      </c>
      <c r="E839" s="529" t="s">
        <v>129</v>
      </c>
      <c r="F839" s="529" t="s">
        <v>129</v>
      </c>
      <c r="G839" s="529" t="s">
        <v>129</v>
      </c>
      <c r="H839" s="529" t="s">
        <v>129</v>
      </c>
      <c r="I839" s="529" t="s">
        <v>129</v>
      </c>
      <c r="J839" s="529" t="s">
        <v>129</v>
      </c>
      <c r="K839" s="529" t="s">
        <v>129</v>
      </c>
      <c r="L839" s="1048" t="s">
        <v>129</v>
      </c>
      <c r="M839" s="3"/>
      <c r="N839" s="3"/>
      <c r="O839" s="3"/>
      <c r="P839" s="3"/>
      <c r="Q839" s="3"/>
      <c r="R839" s="3"/>
      <c r="S839" s="3"/>
      <c r="T839" s="3"/>
      <c r="U839" s="3"/>
      <c r="V839" s="3"/>
      <c r="W839" s="3"/>
      <c r="X839" s="3"/>
      <c r="Y839" s="3"/>
      <c r="Z839" s="3"/>
      <c r="AA839" s="3"/>
      <c r="AB839" s="3"/>
      <c r="AC839" s="3"/>
    </row>
    <row r="840" spans="1:29" hidden="1" outlineLevel="1" x14ac:dyDescent="0.2">
      <c r="A840" s="3"/>
      <c r="B840" s="1047" t="s">
        <v>129</v>
      </c>
      <c r="C840" s="529" t="s">
        <v>129</v>
      </c>
      <c r="D840" s="529" t="s">
        <v>129</v>
      </c>
      <c r="E840" s="529" t="s">
        <v>129</v>
      </c>
      <c r="F840" s="529" t="s">
        <v>129</v>
      </c>
      <c r="G840" s="529" t="s">
        <v>129</v>
      </c>
      <c r="H840" s="529" t="s">
        <v>129</v>
      </c>
      <c r="I840" s="529" t="s">
        <v>129</v>
      </c>
      <c r="J840" s="529" t="s">
        <v>129</v>
      </c>
      <c r="K840" s="529" t="s">
        <v>129</v>
      </c>
      <c r="L840" s="1048" t="s">
        <v>129</v>
      </c>
      <c r="M840" s="3"/>
      <c r="N840" s="3"/>
      <c r="O840" s="3"/>
      <c r="P840" s="3"/>
      <c r="Q840" s="3"/>
      <c r="R840" s="3"/>
      <c r="S840" s="3"/>
      <c r="T840" s="3"/>
      <c r="U840" s="3"/>
      <c r="V840" s="3"/>
      <c r="W840" s="3"/>
      <c r="X840" s="3"/>
      <c r="Y840" s="3"/>
      <c r="Z840" s="3"/>
      <c r="AA840" s="3"/>
      <c r="AB840" s="3"/>
      <c r="AC840" s="3"/>
    </row>
    <row r="841" spans="1:29" hidden="1" outlineLevel="1" x14ac:dyDescent="0.2">
      <c r="A841" s="3"/>
      <c r="B841" s="1047" t="s">
        <v>129</v>
      </c>
      <c r="C841" s="529" t="s">
        <v>129</v>
      </c>
      <c r="D841" s="529" t="s">
        <v>129</v>
      </c>
      <c r="E841" s="529" t="s">
        <v>129</v>
      </c>
      <c r="F841" s="529" t="s">
        <v>129</v>
      </c>
      <c r="G841" s="529" t="s">
        <v>129</v>
      </c>
      <c r="H841" s="529" t="s">
        <v>129</v>
      </c>
      <c r="I841" s="529" t="s">
        <v>129</v>
      </c>
      <c r="J841" s="529" t="s">
        <v>129</v>
      </c>
      <c r="K841" s="529" t="s">
        <v>129</v>
      </c>
      <c r="L841" s="1048" t="s">
        <v>129</v>
      </c>
      <c r="M841" s="3"/>
      <c r="N841" s="3"/>
      <c r="O841" s="3"/>
      <c r="P841" s="3"/>
      <c r="Q841" s="3"/>
      <c r="R841" s="3"/>
      <c r="S841" s="3"/>
      <c r="T841" s="3"/>
      <c r="U841" s="3"/>
      <c r="V841" s="3"/>
      <c r="W841" s="3"/>
      <c r="X841" s="3"/>
      <c r="Y841" s="3"/>
      <c r="Z841" s="3"/>
      <c r="AA841" s="3"/>
      <c r="AB841" s="3"/>
      <c r="AC841" s="3"/>
    </row>
    <row r="842" spans="1:29" hidden="1" outlineLevel="1" x14ac:dyDescent="0.2">
      <c r="A842" s="3"/>
      <c r="B842" s="1047" t="s">
        <v>129</v>
      </c>
      <c r="C842" s="529" t="s">
        <v>129</v>
      </c>
      <c r="D842" s="529" t="s">
        <v>129</v>
      </c>
      <c r="E842" s="529" t="s">
        <v>129</v>
      </c>
      <c r="F842" s="529" t="s">
        <v>129</v>
      </c>
      <c r="G842" s="529" t="s">
        <v>129</v>
      </c>
      <c r="H842" s="529" t="s">
        <v>129</v>
      </c>
      <c r="I842" s="529" t="s">
        <v>129</v>
      </c>
      <c r="J842" s="529" t="s">
        <v>129</v>
      </c>
      <c r="K842" s="529" t="s">
        <v>129</v>
      </c>
      <c r="L842" s="1048" t="s">
        <v>129</v>
      </c>
      <c r="M842" s="3"/>
      <c r="N842" s="3"/>
      <c r="O842" s="3"/>
      <c r="P842" s="3"/>
      <c r="Q842" s="3"/>
      <c r="R842" s="3"/>
      <c r="S842" s="3"/>
      <c r="T842" s="3"/>
      <c r="U842" s="3"/>
      <c r="V842" s="3"/>
      <c r="W842" s="3"/>
      <c r="X842" s="3"/>
      <c r="Y842" s="3"/>
      <c r="Z842" s="3"/>
      <c r="AA842" s="3"/>
      <c r="AB842" s="3"/>
      <c r="AC842" s="3"/>
    </row>
    <row r="843" spans="1:29" hidden="1" outlineLevel="1" x14ac:dyDescent="0.2">
      <c r="A843" s="3"/>
      <c r="B843" s="1047" t="s">
        <v>129</v>
      </c>
      <c r="C843" s="529" t="s">
        <v>129</v>
      </c>
      <c r="D843" s="529" t="s">
        <v>129</v>
      </c>
      <c r="E843" s="529" t="s">
        <v>129</v>
      </c>
      <c r="F843" s="529" t="s">
        <v>129</v>
      </c>
      <c r="G843" s="529" t="s">
        <v>129</v>
      </c>
      <c r="H843" s="529" t="s">
        <v>129</v>
      </c>
      <c r="I843" s="529" t="s">
        <v>129</v>
      </c>
      <c r="J843" s="529" t="s">
        <v>129</v>
      </c>
      <c r="K843" s="529" t="s">
        <v>129</v>
      </c>
      <c r="L843" s="1048" t="s">
        <v>129</v>
      </c>
      <c r="M843" s="3"/>
      <c r="N843" s="3"/>
      <c r="O843" s="3"/>
      <c r="P843" s="3"/>
      <c r="Q843" s="3"/>
      <c r="R843" s="3"/>
      <c r="S843" s="3"/>
      <c r="T843" s="3"/>
      <c r="U843" s="3"/>
      <c r="V843" s="3"/>
      <c r="W843" s="3"/>
      <c r="X843" s="3"/>
      <c r="Y843" s="3"/>
      <c r="Z843" s="3"/>
      <c r="AA843" s="3"/>
      <c r="AB843" s="3"/>
      <c r="AC843" s="3"/>
    </row>
    <row r="844" spans="1:29" hidden="1" outlineLevel="1" x14ac:dyDescent="0.2">
      <c r="A844" s="3"/>
      <c r="B844" s="1047" t="s">
        <v>129</v>
      </c>
      <c r="C844" s="529" t="s">
        <v>129</v>
      </c>
      <c r="D844" s="529" t="s">
        <v>129</v>
      </c>
      <c r="E844" s="529" t="s">
        <v>129</v>
      </c>
      <c r="F844" s="529" t="s">
        <v>129</v>
      </c>
      <c r="G844" s="529" t="s">
        <v>129</v>
      </c>
      <c r="H844" s="529" t="s">
        <v>129</v>
      </c>
      <c r="I844" s="529" t="s">
        <v>129</v>
      </c>
      <c r="J844" s="529" t="s">
        <v>129</v>
      </c>
      <c r="K844" s="529" t="s">
        <v>129</v>
      </c>
      <c r="L844" s="1048" t="s">
        <v>129</v>
      </c>
      <c r="M844" s="3"/>
      <c r="N844" s="3"/>
      <c r="O844" s="3"/>
      <c r="P844" s="3"/>
      <c r="Q844" s="3"/>
      <c r="R844" s="3"/>
      <c r="S844" s="3"/>
      <c r="T844" s="3"/>
      <c r="U844" s="3"/>
      <c r="V844" s="3"/>
      <c r="W844" s="3"/>
      <c r="X844" s="3"/>
      <c r="Y844" s="3"/>
      <c r="Z844" s="3"/>
      <c r="AA844" s="3"/>
      <c r="AB844" s="3"/>
      <c r="AC844" s="3"/>
    </row>
    <row r="845" spans="1:29" hidden="1" outlineLevel="1" x14ac:dyDescent="0.2">
      <c r="A845" s="3"/>
      <c r="B845" s="1047" t="s">
        <v>129</v>
      </c>
      <c r="C845" s="529" t="s">
        <v>129</v>
      </c>
      <c r="D845" s="529" t="s">
        <v>129</v>
      </c>
      <c r="E845" s="529" t="s">
        <v>129</v>
      </c>
      <c r="F845" s="529" t="s">
        <v>129</v>
      </c>
      <c r="G845" s="529" t="s">
        <v>129</v>
      </c>
      <c r="H845" s="529" t="s">
        <v>129</v>
      </c>
      <c r="I845" s="529" t="s">
        <v>129</v>
      </c>
      <c r="J845" s="529" t="s">
        <v>129</v>
      </c>
      <c r="K845" s="529" t="s">
        <v>129</v>
      </c>
      <c r="L845" s="1048" t="s">
        <v>129</v>
      </c>
      <c r="M845" s="3"/>
      <c r="N845" s="3"/>
      <c r="O845" s="3"/>
      <c r="P845" s="3"/>
      <c r="Q845" s="3"/>
      <c r="R845" s="3"/>
      <c r="S845" s="3"/>
      <c r="T845" s="3"/>
      <c r="U845" s="3"/>
      <c r="V845" s="3"/>
      <c r="W845" s="3"/>
      <c r="X845" s="3"/>
      <c r="Y845" s="3"/>
      <c r="Z845" s="3"/>
      <c r="AA845" s="3"/>
      <c r="AB845" s="3"/>
      <c r="AC845" s="3"/>
    </row>
    <row r="846" spans="1:29" hidden="1" outlineLevel="1" x14ac:dyDescent="0.2">
      <c r="A846" s="3"/>
      <c r="B846" s="1047" t="s">
        <v>129</v>
      </c>
      <c r="C846" s="529" t="s">
        <v>129</v>
      </c>
      <c r="D846" s="529" t="s">
        <v>129</v>
      </c>
      <c r="E846" s="529" t="s">
        <v>129</v>
      </c>
      <c r="F846" s="529" t="s">
        <v>129</v>
      </c>
      <c r="G846" s="529" t="s">
        <v>129</v>
      </c>
      <c r="H846" s="529" t="s">
        <v>129</v>
      </c>
      <c r="I846" s="529" t="s">
        <v>129</v>
      </c>
      <c r="J846" s="529" t="s">
        <v>129</v>
      </c>
      <c r="K846" s="529" t="s">
        <v>129</v>
      </c>
      <c r="L846" s="1048" t="s">
        <v>129</v>
      </c>
      <c r="M846" s="3"/>
      <c r="N846" s="3"/>
      <c r="O846" s="3"/>
      <c r="P846" s="3"/>
      <c r="Q846" s="3"/>
      <c r="R846" s="3"/>
      <c r="S846" s="3"/>
      <c r="T846" s="3"/>
      <c r="U846" s="3"/>
      <c r="V846" s="3"/>
      <c r="W846" s="3"/>
      <c r="X846" s="3"/>
      <c r="Y846" s="3"/>
      <c r="Z846" s="3"/>
      <c r="AA846" s="3"/>
      <c r="AB846" s="3"/>
      <c r="AC846" s="3"/>
    </row>
    <row r="847" spans="1:29" hidden="1" outlineLevel="1" x14ac:dyDescent="0.2">
      <c r="A847" s="3"/>
      <c r="B847" s="1047" t="s">
        <v>129</v>
      </c>
      <c r="C847" s="529" t="s">
        <v>129</v>
      </c>
      <c r="D847" s="529" t="s">
        <v>129</v>
      </c>
      <c r="E847" s="529" t="s">
        <v>129</v>
      </c>
      <c r="F847" s="529" t="s">
        <v>129</v>
      </c>
      <c r="G847" s="529" t="s">
        <v>129</v>
      </c>
      <c r="H847" s="529" t="s">
        <v>129</v>
      </c>
      <c r="I847" s="529" t="s">
        <v>129</v>
      </c>
      <c r="J847" s="529" t="s">
        <v>129</v>
      </c>
      <c r="K847" s="529" t="s">
        <v>129</v>
      </c>
      <c r="L847" s="1048" t="s">
        <v>129</v>
      </c>
      <c r="M847" s="3"/>
      <c r="N847" s="3"/>
      <c r="O847" s="3"/>
      <c r="P847" s="3"/>
      <c r="Q847" s="3"/>
      <c r="R847" s="3"/>
      <c r="S847" s="3"/>
      <c r="T847" s="3"/>
      <c r="U847" s="3"/>
      <c r="V847" s="3"/>
      <c r="W847" s="3"/>
      <c r="X847" s="3"/>
      <c r="Y847" s="3"/>
      <c r="Z847" s="3"/>
      <c r="AA847" s="3"/>
      <c r="AB847" s="3"/>
      <c r="AC847" s="3"/>
    </row>
    <row r="848" spans="1:29" hidden="1" outlineLevel="1" x14ac:dyDescent="0.2">
      <c r="A848" s="3"/>
      <c r="B848" s="1047" t="s">
        <v>129</v>
      </c>
      <c r="C848" s="529" t="s">
        <v>129</v>
      </c>
      <c r="D848" s="529" t="s">
        <v>129</v>
      </c>
      <c r="E848" s="529" t="s">
        <v>129</v>
      </c>
      <c r="F848" s="529" t="s">
        <v>129</v>
      </c>
      <c r="G848" s="529" t="s">
        <v>129</v>
      </c>
      <c r="H848" s="529" t="s">
        <v>129</v>
      </c>
      <c r="I848" s="529" t="s">
        <v>129</v>
      </c>
      <c r="J848" s="529" t="s">
        <v>129</v>
      </c>
      <c r="K848" s="529" t="s">
        <v>129</v>
      </c>
      <c r="L848" s="1048" t="s">
        <v>129</v>
      </c>
      <c r="M848" s="3"/>
      <c r="N848" s="3"/>
      <c r="O848" s="3"/>
      <c r="P848" s="3"/>
      <c r="Q848" s="3"/>
      <c r="R848" s="3"/>
      <c r="S848" s="3"/>
      <c r="T848" s="3"/>
      <c r="U848" s="3"/>
      <c r="V848" s="3"/>
      <c r="W848" s="3"/>
      <c r="X848" s="3"/>
      <c r="Y848" s="3"/>
      <c r="Z848" s="3"/>
      <c r="AA848" s="3"/>
      <c r="AB848" s="3"/>
      <c r="AC848" s="3"/>
    </row>
    <row r="849" spans="1:29" hidden="1" outlineLevel="1" x14ac:dyDescent="0.2">
      <c r="A849" s="3"/>
      <c r="B849" s="1047" t="s">
        <v>129</v>
      </c>
      <c r="C849" s="529" t="s">
        <v>129</v>
      </c>
      <c r="D849" s="529" t="s">
        <v>129</v>
      </c>
      <c r="E849" s="529" t="s">
        <v>129</v>
      </c>
      <c r="F849" s="529" t="s">
        <v>129</v>
      </c>
      <c r="G849" s="529" t="s">
        <v>129</v>
      </c>
      <c r="H849" s="529" t="s">
        <v>129</v>
      </c>
      <c r="I849" s="529" t="s">
        <v>129</v>
      </c>
      <c r="J849" s="529" t="s">
        <v>129</v>
      </c>
      <c r="K849" s="529" t="s">
        <v>129</v>
      </c>
      <c r="L849" s="1048" t="s">
        <v>129</v>
      </c>
      <c r="M849" s="3"/>
      <c r="N849" s="3"/>
      <c r="O849" s="3"/>
      <c r="P849" s="3"/>
      <c r="Q849" s="3"/>
      <c r="R849" s="3"/>
      <c r="S849" s="3"/>
      <c r="T849" s="3"/>
      <c r="U849" s="3"/>
      <c r="V849" s="3"/>
      <c r="W849" s="3"/>
      <c r="X849" s="3"/>
      <c r="Y849" s="3"/>
      <c r="Z849" s="3"/>
      <c r="AA849" s="3"/>
      <c r="AB849" s="3"/>
      <c r="AC849" s="3"/>
    </row>
    <row r="850" spans="1:29" hidden="1" outlineLevel="1" x14ac:dyDescent="0.2">
      <c r="A850" s="3"/>
      <c r="B850" s="1047" t="s">
        <v>129</v>
      </c>
      <c r="C850" s="529" t="s">
        <v>129</v>
      </c>
      <c r="D850" s="529" t="s">
        <v>129</v>
      </c>
      <c r="E850" s="529" t="s">
        <v>129</v>
      </c>
      <c r="F850" s="529" t="s">
        <v>129</v>
      </c>
      <c r="G850" s="529" t="s">
        <v>129</v>
      </c>
      <c r="H850" s="529" t="s">
        <v>129</v>
      </c>
      <c r="I850" s="529" t="s">
        <v>129</v>
      </c>
      <c r="J850" s="529" t="s">
        <v>129</v>
      </c>
      <c r="K850" s="529" t="s">
        <v>129</v>
      </c>
      <c r="L850" s="1048" t="s">
        <v>129</v>
      </c>
      <c r="M850" s="3"/>
      <c r="N850" s="3"/>
      <c r="O850" s="3"/>
      <c r="P850" s="3"/>
      <c r="Q850" s="3"/>
      <c r="R850" s="3"/>
      <c r="S850" s="3"/>
      <c r="T850" s="3"/>
      <c r="U850" s="3"/>
      <c r="V850" s="3"/>
      <c r="W850" s="3"/>
      <c r="X850" s="3"/>
      <c r="Y850" s="3"/>
      <c r="Z850" s="3"/>
      <c r="AA850" s="3"/>
      <c r="AB850" s="3"/>
      <c r="AC850" s="3"/>
    </row>
    <row r="851" spans="1:29" hidden="1" outlineLevel="1" x14ac:dyDescent="0.2">
      <c r="A851" s="3"/>
      <c r="B851" s="1047" t="s">
        <v>129</v>
      </c>
      <c r="C851" s="529" t="s">
        <v>129</v>
      </c>
      <c r="D851" s="529" t="s">
        <v>129</v>
      </c>
      <c r="E851" s="529" t="s">
        <v>129</v>
      </c>
      <c r="F851" s="529" t="s">
        <v>129</v>
      </c>
      <c r="G851" s="529" t="s">
        <v>129</v>
      </c>
      <c r="H851" s="529" t="s">
        <v>129</v>
      </c>
      <c r="I851" s="529" t="s">
        <v>129</v>
      </c>
      <c r="J851" s="529" t="s">
        <v>129</v>
      </c>
      <c r="K851" s="529" t="s">
        <v>129</v>
      </c>
      <c r="L851" s="1048" t="s">
        <v>129</v>
      </c>
      <c r="M851" s="3"/>
      <c r="N851" s="3"/>
      <c r="O851" s="3"/>
      <c r="P851" s="3"/>
      <c r="Q851" s="3"/>
      <c r="R851" s="3"/>
      <c r="S851" s="3"/>
      <c r="T851" s="3"/>
      <c r="U851" s="3"/>
      <c r="V851" s="3"/>
      <c r="W851" s="3"/>
      <c r="X851" s="3"/>
      <c r="Y851" s="3"/>
      <c r="Z851" s="3"/>
      <c r="AA851" s="3"/>
      <c r="AB851" s="3"/>
      <c r="AC851" s="3"/>
    </row>
    <row r="852" spans="1:29" hidden="1" outlineLevel="1" x14ac:dyDescent="0.2">
      <c r="A852" s="3"/>
      <c r="B852" s="1047" t="s">
        <v>129</v>
      </c>
      <c r="C852" s="529" t="s">
        <v>129</v>
      </c>
      <c r="D852" s="529" t="s">
        <v>129</v>
      </c>
      <c r="E852" s="529" t="s">
        <v>129</v>
      </c>
      <c r="F852" s="529" t="s">
        <v>129</v>
      </c>
      <c r="G852" s="529" t="s">
        <v>129</v>
      </c>
      <c r="H852" s="529" t="s">
        <v>129</v>
      </c>
      <c r="I852" s="529" t="s">
        <v>129</v>
      </c>
      <c r="J852" s="529" t="s">
        <v>129</v>
      </c>
      <c r="K852" s="529" t="s">
        <v>129</v>
      </c>
      <c r="L852" s="1048" t="s">
        <v>129</v>
      </c>
      <c r="M852" s="3"/>
      <c r="N852" s="3"/>
      <c r="O852" s="3"/>
      <c r="P852" s="3"/>
      <c r="Q852" s="3"/>
      <c r="R852" s="3"/>
      <c r="S852" s="3"/>
      <c r="T852" s="3"/>
      <c r="U852" s="3"/>
      <c r="V852" s="3"/>
      <c r="W852" s="3"/>
      <c r="X852" s="3"/>
      <c r="Y852" s="3"/>
      <c r="Z852" s="3"/>
      <c r="AA852" s="3"/>
      <c r="AB852" s="3"/>
      <c r="AC852" s="3"/>
    </row>
    <row r="853" spans="1:29" hidden="1" outlineLevel="1" x14ac:dyDescent="0.2">
      <c r="A853" s="3"/>
      <c r="B853" s="1047" t="s">
        <v>129</v>
      </c>
      <c r="C853" s="529" t="s">
        <v>129</v>
      </c>
      <c r="D853" s="529" t="s">
        <v>129</v>
      </c>
      <c r="E853" s="529" t="s">
        <v>129</v>
      </c>
      <c r="F853" s="529" t="s">
        <v>129</v>
      </c>
      <c r="G853" s="529" t="s">
        <v>129</v>
      </c>
      <c r="H853" s="529" t="s">
        <v>129</v>
      </c>
      <c r="I853" s="529" t="s">
        <v>129</v>
      </c>
      <c r="J853" s="529" t="s">
        <v>129</v>
      </c>
      <c r="K853" s="529" t="s">
        <v>129</v>
      </c>
      <c r="L853" s="1048" t="s">
        <v>129</v>
      </c>
      <c r="M853" s="3"/>
      <c r="N853" s="3"/>
      <c r="O853" s="3"/>
      <c r="P853" s="3"/>
      <c r="Q853" s="3"/>
      <c r="R853" s="3"/>
      <c r="S853" s="3"/>
      <c r="T853" s="3"/>
      <c r="U853" s="3"/>
      <c r="V853" s="3"/>
      <c r="W853" s="3"/>
      <c r="X853" s="3"/>
      <c r="Y853" s="3"/>
      <c r="Z853" s="3"/>
      <c r="AA853" s="3"/>
      <c r="AB853" s="3"/>
      <c r="AC853" s="3"/>
    </row>
    <row r="854" spans="1:29" hidden="1" outlineLevel="1" x14ac:dyDescent="0.2">
      <c r="A854" s="3"/>
      <c r="B854" s="1047" t="s">
        <v>129</v>
      </c>
      <c r="C854" s="529" t="s">
        <v>129</v>
      </c>
      <c r="D854" s="529" t="s">
        <v>129</v>
      </c>
      <c r="E854" s="529" t="s">
        <v>129</v>
      </c>
      <c r="F854" s="529" t="s">
        <v>129</v>
      </c>
      <c r="G854" s="529" t="s">
        <v>129</v>
      </c>
      <c r="H854" s="529" t="s">
        <v>129</v>
      </c>
      <c r="I854" s="529" t="s">
        <v>129</v>
      </c>
      <c r="J854" s="529" t="s">
        <v>129</v>
      </c>
      <c r="K854" s="529" t="s">
        <v>129</v>
      </c>
      <c r="L854" s="1048" t="s">
        <v>129</v>
      </c>
      <c r="M854" s="3"/>
      <c r="N854" s="3"/>
      <c r="O854" s="3"/>
      <c r="P854" s="3"/>
      <c r="Q854" s="3"/>
      <c r="R854" s="3"/>
      <c r="S854" s="3"/>
      <c r="T854" s="3"/>
      <c r="U854" s="3"/>
      <c r="V854" s="3"/>
      <c r="W854" s="3"/>
      <c r="X854" s="3"/>
      <c r="Y854" s="3"/>
      <c r="Z854" s="3"/>
      <c r="AA854" s="3"/>
      <c r="AB854" s="3"/>
      <c r="AC854" s="3"/>
    </row>
    <row r="855" spans="1:29" hidden="1" outlineLevel="1" x14ac:dyDescent="0.2">
      <c r="A855" s="3"/>
      <c r="B855" s="1047" t="s">
        <v>129</v>
      </c>
      <c r="C855" s="529" t="s">
        <v>129</v>
      </c>
      <c r="D855" s="529" t="s">
        <v>129</v>
      </c>
      <c r="E855" s="529" t="s">
        <v>129</v>
      </c>
      <c r="F855" s="529" t="s">
        <v>129</v>
      </c>
      <c r="G855" s="529" t="s">
        <v>129</v>
      </c>
      <c r="H855" s="529" t="s">
        <v>129</v>
      </c>
      <c r="I855" s="529" t="s">
        <v>129</v>
      </c>
      <c r="J855" s="529" t="s">
        <v>129</v>
      </c>
      <c r="K855" s="529" t="s">
        <v>129</v>
      </c>
      <c r="L855" s="1048" t="s">
        <v>129</v>
      </c>
      <c r="M855" s="3"/>
      <c r="N855" s="3"/>
      <c r="O855" s="3"/>
      <c r="P855" s="3"/>
      <c r="Q855" s="3"/>
      <c r="R855" s="3"/>
      <c r="S855" s="3"/>
      <c r="T855" s="3"/>
      <c r="U855" s="3"/>
      <c r="V855" s="3"/>
      <c r="W855" s="3"/>
      <c r="X855" s="3"/>
      <c r="Y855" s="3"/>
      <c r="Z855" s="3"/>
      <c r="AA855" s="3"/>
      <c r="AB855" s="3"/>
      <c r="AC855" s="3"/>
    </row>
    <row r="856" spans="1:29" hidden="1" outlineLevel="1" x14ac:dyDescent="0.2">
      <c r="A856" s="3"/>
      <c r="B856" s="1047" t="s">
        <v>129</v>
      </c>
      <c r="C856" s="529" t="s">
        <v>129</v>
      </c>
      <c r="D856" s="529" t="s">
        <v>129</v>
      </c>
      <c r="E856" s="529" t="s">
        <v>129</v>
      </c>
      <c r="F856" s="529" t="s">
        <v>129</v>
      </c>
      <c r="G856" s="529" t="s">
        <v>129</v>
      </c>
      <c r="H856" s="529" t="s">
        <v>129</v>
      </c>
      <c r="I856" s="529" t="s">
        <v>129</v>
      </c>
      <c r="J856" s="529" t="s">
        <v>129</v>
      </c>
      <c r="K856" s="529" t="s">
        <v>129</v>
      </c>
      <c r="L856" s="1048" t="s">
        <v>129</v>
      </c>
      <c r="M856" s="3"/>
      <c r="N856" s="3"/>
      <c r="O856" s="3"/>
      <c r="P856" s="3"/>
      <c r="Q856" s="3"/>
      <c r="R856" s="3"/>
      <c r="S856" s="3"/>
      <c r="T856" s="3"/>
      <c r="U856" s="3"/>
      <c r="V856" s="3"/>
      <c r="W856" s="3"/>
      <c r="X856" s="3"/>
      <c r="Y856" s="3"/>
      <c r="Z856" s="3"/>
      <c r="AA856" s="3"/>
      <c r="AB856" s="3"/>
      <c r="AC856" s="3"/>
    </row>
    <row r="857" spans="1:29" hidden="1" outlineLevel="1" x14ac:dyDescent="0.2">
      <c r="A857" s="3"/>
      <c r="B857" s="1047" t="s">
        <v>129</v>
      </c>
      <c r="C857" s="529" t="s">
        <v>129</v>
      </c>
      <c r="D857" s="529" t="s">
        <v>129</v>
      </c>
      <c r="E857" s="529" t="s">
        <v>129</v>
      </c>
      <c r="F857" s="529" t="s">
        <v>129</v>
      </c>
      <c r="G857" s="529" t="s">
        <v>129</v>
      </c>
      <c r="H857" s="529" t="s">
        <v>129</v>
      </c>
      <c r="I857" s="529" t="s">
        <v>129</v>
      </c>
      <c r="J857" s="529" t="s">
        <v>129</v>
      </c>
      <c r="K857" s="529" t="s">
        <v>129</v>
      </c>
      <c r="L857" s="1048" t="s">
        <v>129</v>
      </c>
      <c r="M857" s="3"/>
      <c r="N857" s="3"/>
      <c r="O857" s="3"/>
      <c r="P857" s="3"/>
      <c r="Q857" s="3"/>
      <c r="R857" s="3"/>
      <c r="S857" s="3"/>
      <c r="T857" s="3"/>
      <c r="U857" s="3"/>
      <c r="V857" s="3"/>
      <c r="W857" s="3"/>
      <c r="X857" s="3"/>
      <c r="Y857" s="3"/>
      <c r="Z857" s="3"/>
      <c r="AA857" s="3"/>
      <c r="AB857" s="3"/>
      <c r="AC857" s="3"/>
    </row>
    <row r="858" spans="1:29" hidden="1" outlineLevel="1" x14ac:dyDescent="0.2">
      <c r="A858" s="3"/>
      <c r="B858" s="1047" t="s">
        <v>129</v>
      </c>
      <c r="C858" s="529" t="s">
        <v>129</v>
      </c>
      <c r="D858" s="529" t="s">
        <v>129</v>
      </c>
      <c r="E858" s="529" t="s">
        <v>129</v>
      </c>
      <c r="F858" s="529" t="s">
        <v>129</v>
      </c>
      <c r="G858" s="529" t="s">
        <v>129</v>
      </c>
      <c r="H858" s="529" t="s">
        <v>129</v>
      </c>
      <c r="I858" s="529" t="s">
        <v>129</v>
      </c>
      <c r="J858" s="529" t="s">
        <v>129</v>
      </c>
      <c r="K858" s="529" t="s">
        <v>129</v>
      </c>
      <c r="L858" s="1048" t="s">
        <v>129</v>
      </c>
      <c r="M858" s="3"/>
      <c r="N858" s="3"/>
      <c r="O858" s="3"/>
      <c r="P858" s="3"/>
      <c r="Q858" s="3"/>
      <c r="R858" s="3"/>
      <c r="S858" s="3"/>
      <c r="T858" s="3"/>
      <c r="U858" s="3"/>
      <c r="V858" s="3"/>
      <c r="W858" s="3"/>
      <c r="X858" s="3"/>
      <c r="Y858" s="3"/>
      <c r="Z858" s="3"/>
      <c r="AA858" s="3"/>
      <c r="AB858" s="3"/>
      <c r="AC858" s="3"/>
    </row>
    <row r="859" spans="1:29" hidden="1" outlineLevel="1" x14ac:dyDescent="0.2">
      <c r="A859" s="3"/>
      <c r="B859" s="1047" t="s">
        <v>129</v>
      </c>
      <c r="C859" s="529" t="s">
        <v>129</v>
      </c>
      <c r="D859" s="529" t="s">
        <v>129</v>
      </c>
      <c r="E859" s="529" t="s">
        <v>129</v>
      </c>
      <c r="F859" s="529" t="s">
        <v>129</v>
      </c>
      <c r="G859" s="529" t="s">
        <v>129</v>
      </c>
      <c r="H859" s="529" t="s">
        <v>129</v>
      </c>
      <c r="I859" s="529" t="s">
        <v>129</v>
      </c>
      <c r="J859" s="529" t="s">
        <v>129</v>
      </c>
      <c r="K859" s="529" t="s">
        <v>129</v>
      </c>
      <c r="L859" s="1048" t="s">
        <v>129</v>
      </c>
      <c r="M859" s="3"/>
      <c r="N859" s="3"/>
      <c r="O859" s="3"/>
      <c r="P859" s="3"/>
      <c r="Q859" s="3"/>
      <c r="R859" s="3"/>
      <c r="S859" s="3"/>
      <c r="T859" s="3"/>
      <c r="U859" s="3"/>
      <c r="V859" s="3"/>
      <c r="W859" s="3"/>
      <c r="X859" s="3"/>
      <c r="Y859" s="3"/>
      <c r="Z859" s="3"/>
      <c r="AA859" s="3"/>
      <c r="AB859" s="3"/>
      <c r="AC859" s="3"/>
    </row>
    <row r="860" spans="1:29" hidden="1" outlineLevel="1" x14ac:dyDescent="0.2">
      <c r="A860" s="3"/>
      <c r="B860" s="1047" t="s">
        <v>129</v>
      </c>
      <c r="C860" s="529" t="s">
        <v>129</v>
      </c>
      <c r="D860" s="529" t="s">
        <v>129</v>
      </c>
      <c r="E860" s="529" t="s">
        <v>129</v>
      </c>
      <c r="F860" s="529" t="s">
        <v>129</v>
      </c>
      <c r="G860" s="529" t="s">
        <v>129</v>
      </c>
      <c r="H860" s="529" t="s">
        <v>129</v>
      </c>
      <c r="I860" s="529" t="s">
        <v>129</v>
      </c>
      <c r="J860" s="529" t="s">
        <v>129</v>
      </c>
      <c r="K860" s="529" t="s">
        <v>129</v>
      </c>
      <c r="L860" s="1048" t="s">
        <v>129</v>
      </c>
      <c r="M860" s="3"/>
      <c r="N860" s="3"/>
      <c r="O860" s="3"/>
      <c r="P860" s="3"/>
      <c r="Q860" s="3"/>
      <c r="R860" s="3"/>
      <c r="S860" s="3"/>
      <c r="T860" s="3"/>
      <c r="U860" s="3"/>
      <c r="V860" s="3"/>
      <c r="W860" s="3"/>
      <c r="X860" s="3"/>
      <c r="Y860" s="3"/>
      <c r="Z860" s="3"/>
      <c r="AA860" s="3"/>
      <c r="AB860" s="3"/>
      <c r="AC860" s="3"/>
    </row>
    <row r="861" spans="1:29" hidden="1" outlineLevel="1" x14ac:dyDescent="0.2">
      <c r="A861" s="3"/>
      <c r="B861" s="1047" t="s">
        <v>129</v>
      </c>
      <c r="C861" s="529" t="s">
        <v>129</v>
      </c>
      <c r="D861" s="529" t="s">
        <v>129</v>
      </c>
      <c r="E861" s="529" t="s">
        <v>129</v>
      </c>
      <c r="F861" s="529" t="s">
        <v>129</v>
      </c>
      <c r="G861" s="529" t="s">
        <v>129</v>
      </c>
      <c r="H861" s="529" t="s">
        <v>129</v>
      </c>
      <c r="I861" s="529" t="s">
        <v>129</v>
      </c>
      <c r="J861" s="529" t="s">
        <v>129</v>
      </c>
      <c r="K861" s="529" t="s">
        <v>129</v>
      </c>
      <c r="L861" s="1048" t="s">
        <v>129</v>
      </c>
      <c r="M861" s="3"/>
      <c r="N861" s="3"/>
      <c r="O861" s="3"/>
      <c r="P861" s="3"/>
      <c r="Q861" s="3"/>
      <c r="R861" s="3"/>
      <c r="S861" s="3"/>
      <c r="T861" s="3"/>
      <c r="U861" s="3"/>
      <c r="V861" s="3"/>
      <c r="W861" s="3"/>
      <c r="X861" s="3"/>
      <c r="Y861" s="3"/>
      <c r="Z861" s="3"/>
      <c r="AA861" s="3"/>
      <c r="AB861" s="3"/>
      <c r="AC861" s="3"/>
    </row>
    <row r="862" spans="1:29" hidden="1" outlineLevel="1" x14ac:dyDescent="0.2">
      <c r="A862" s="3"/>
      <c r="B862" s="1047" t="s">
        <v>129</v>
      </c>
      <c r="C862" s="529" t="s">
        <v>129</v>
      </c>
      <c r="D862" s="529" t="s">
        <v>129</v>
      </c>
      <c r="E862" s="529" t="s">
        <v>129</v>
      </c>
      <c r="F862" s="529" t="s">
        <v>129</v>
      </c>
      <c r="G862" s="529" t="s">
        <v>129</v>
      </c>
      <c r="H862" s="529" t="s">
        <v>129</v>
      </c>
      <c r="I862" s="529" t="s">
        <v>129</v>
      </c>
      <c r="J862" s="529" t="s">
        <v>129</v>
      </c>
      <c r="K862" s="529" t="s">
        <v>129</v>
      </c>
      <c r="L862" s="1048" t="s">
        <v>129</v>
      </c>
      <c r="M862" s="3"/>
      <c r="N862" s="3"/>
      <c r="O862" s="3"/>
      <c r="P862" s="3"/>
      <c r="Q862" s="3"/>
      <c r="R862" s="3"/>
      <c r="S862" s="3"/>
      <c r="T862" s="3"/>
      <c r="U862" s="3"/>
      <c r="V862" s="3"/>
      <c r="W862" s="3"/>
      <c r="X862" s="3"/>
      <c r="Y862" s="3"/>
      <c r="Z862" s="3"/>
      <c r="AA862" s="3"/>
      <c r="AB862" s="3"/>
      <c r="AC862" s="3"/>
    </row>
    <row r="863" spans="1:29" hidden="1" outlineLevel="1" x14ac:dyDescent="0.2">
      <c r="A863" s="3"/>
      <c r="B863" s="1047" t="s">
        <v>129</v>
      </c>
      <c r="C863" s="529" t="s">
        <v>129</v>
      </c>
      <c r="D863" s="529" t="s">
        <v>129</v>
      </c>
      <c r="E863" s="529" t="s">
        <v>129</v>
      </c>
      <c r="F863" s="529" t="s">
        <v>129</v>
      </c>
      <c r="G863" s="529" t="s">
        <v>129</v>
      </c>
      <c r="H863" s="529" t="s">
        <v>129</v>
      </c>
      <c r="I863" s="529" t="s">
        <v>129</v>
      </c>
      <c r="J863" s="529" t="s">
        <v>129</v>
      </c>
      <c r="K863" s="529" t="s">
        <v>129</v>
      </c>
      <c r="L863" s="1048" t="s">
        <v>129</v>
      </c>
      <c r="M863" s="3"/>
      <c r="N863" s="3"/>
      <c r="O863" s="3"/>
      <c r="P863" s="3"/>
      <c r="Q863" s="3"/>
      <c r="R863" s="3"/>
      <c r="S863" s="3"/>
      <c r="T863" s="3"/>
      <c r="U863" s="3"/>
      <c r="V863" s="3"/>
      <c r="W863" s="3"/>
      <c r="X863" s="3"/>
      <c r="Y863" s="3"/>
      <c r="Z863" s="3"/>
      <c r="AA863" s="3"/>
      <c r="AB863" s="3"/>
      <c r="AC863" s="3"/>
    </row>
    <row r="864" spans="1:29" hidden="1" outlineLevel="1" x14ac:dyDescent="0.2">
      <c r="A864" s="3"/>
      <c r="B864" s="1047" t="s">
        <v>129</v>
      </c>
      <c r="C864" s="529" t="s">
        <v>129</v>
      </c>
      <c r="D864" s="529" t="s">
        <v>129</v>
      </c>
      <c r="E864" s="529" t="s">
        <v>129</v>
      </c>
      <c r="F864" s="529" t="s">
        <v>129</v>
      </c>
      <c r="G864" s="529" t="s">
        <v>129</v>
      </c>
      <c r="H864" s="529" t="s">
        <v>129</v>
      </c>
      <c r="I864" s="529" t="s">
        <v>129</v>
      </c>
      <c r="J864" s="529" t="s">
        <v>129</v>
      </c>
      <c r="K864" s="529" t="s">
        <v>129</v>
      </c>
      <c r="L864" s="1048" t="s">
        <v>129</v>
      </c>
      <c r="M864" s="3"/>
      <c r="N864" s="3"/>
      <c r="O864" s="3"/>
      <c r="P864" s="3"/>
      <c r="Q864" s="3"/>
      <c r="R864" s="3"/>
      <c r="S864" s="3"/>
      <c r="T864" s="3"/>
      <c r="U864" s="3"/>
      <c r="V864" s="3"/>
      <c r="W864" s="3"/>
      <c r="X864" s="3"/>
      <c r="Y864" s="3"/>
      <c r="Z864" s="3"/>
      <c r="AA864" s="3"/>
      <c r="AB864" s="3"/>
      <c r="AC864" s="3"/>
    </row>
    <row r="865" spans="1:29" hidden="1" outlineLevel="1" x14ac:dyDescent="0.2">
      <c r="A865" s="3"/>
      <c r="B865" s="1047" t="s">
        <v>129</v>
      </c>
      <c r="C865" s="529" t="s">
        <v>129</v>
      </c>
      <c r="D865" s="529" t="s">
        <v>129</v>
      </c>
      <c r="E865" s="529" t="s">
        <v>129</v>
      </c>
      <c r="F865" s="529" t="s">
        <v>129</v>
      </c>
      <c r="G865" s="529" t="s">
        <v>129</v>
      </c>
      <c r="H865" s="529" t="s">
        <v>129</v>
      </c>
      <c r="I865" s="529" t="s">
        <v>129</v>
      </c>
      <c r="J865" s="529" t="s">
        <v>129</v>
      </c>
      <c r="K865" s="529" t="s">
        <v>129</v>
      </c>
      <c r="L865" s="1048" t="s">
        <v>129</v>
      </c>
      <c r="M865" s="3"/>
      <c r="N865" s="3"/>
      <c r="O865" s="3"/>
      <c r="P865" s="3"/>
      <c r="Q865" s="3"/>
      <c r="R865" s="3"/>
      <c r="S865" s="3"/>
      <c r="T865" s="3"/>
      <c r="U865" s="3"/>
      <c r="V865" s="3"/>
      <c r="W865" s="3"/>
      <c r="X865" s="3"/>
      <c r="Y865" s="3"/>
      <c r="Z865" s="3"/>
      <c r="AA865" s="3"/>
      <c r="AB865" s="3"/>
      <c r="AC865" s="3"/>
    </row>
    <row r="866" spans="1:29" hidden="1" outlineLevel="1" x14ac:dyDescent="0.2">
      <c r="A866" s="3"/>
      <c r="B866" s="1047" t="s">
        <v>129</v>
      </c>
      <c r="C866" s="529" t="s">
        <v>129</v>
      </c>
      <c r="D866" s="529" t="s">
        <v>129</v>
      </c>
      <c r="E866" s="529" t="s">
        <v>129</v>
      </c>
      <c r="F866" s="529" t="s">
        <v>129</v>
      </c>
      <c r="G866" s="529" t="s">
        <v>129</v>
      </c>
      <c r="H866" s="529" t="s">
        <v>129</v>
      </c>
      <c r="I866" s="529" t="s">
        <v>129</v>
      </c>
      <c r="J866" s="529" t="s">
        <v>129</v>
      </c>
      <c r="K866" s="529" t="s">
        <v>129</v>
      </c>
      <c r="L866" s="1048" t="s">
        <v>129</v>
      </c>
      <c r="M866" s="3"/>
      <c r="N866" s="3"/>
      <c r="O866" s="3"/>
      <c r="P866" s="3"/>
      <c r="Q866" s="3"/>
      <c r="R866" s="3"/>
      <c r="S866" s="3"/>
      <c r="T866" s="3"/>
      <c r="U866" s="3"/>
      <c r="V866" s="3"/>
      <c r="W866" s="3"/>
      <c r="X866" s="3"/>
      <c r="Y866" s="3"/>
      <c r="Z866" s="3"/>
      <c r="AA866" s="3"/>
      <c r="AB866" s="3"/>
      <c r="AC866" s="3"/>
    </row>
    <row r="867" spans="1:29" hidden="1" outlineLevel="1" x14ac:dyDescent="0.2">
      <c r="A867" s="3"/>
      <c r="B867" s="1047" t="s">
        <v>129</v>
      </c>
      <c r="C867" s="529" t="s">
        <v>129</v>
      </c>
      <c r="D867" s="529" t="s">
        <v>129</v>
      </c>
      <c r="E867" s="529" t="s">
        <v>129</v>
      </c>
      <c r="F867" s="529" t="s">
        <v>129</v>
      </c>
      <c r="G867" s="529" t="s">
        <v>129</v>
      </c>
      <c r="H867" s="529" t="s">
        <v>129</v>
      </c>
      <c r="I867" s="529" t="s">
        <v>129</v>
      </c>
      <c r="J867" s="529" t="s">
        <v>129</v>
      </c>
      <c r="K867" s="529" t="s">
        <v>129</v>
      </c>
      <c r="L867" s="1048" t="s">
        <v>129</v>
      </c>
      <c r="M867" s="3"/>
      <c r="N867" s="3"/>
      <c r="O867" s="3"/>
      <c r="P867" s="3"/>
      <c r="Q867" s="3"/>
      <c r="R867" s="3"/>
      <c r="S867" s="3"/>
      <c r="T867" s="3"/>
      <c r="U867" s="3"/>
      <c r="V867" s="3"/>
      <c r="W867" s="3"/>
      <c r="X867" s="3"/>
      <c r="Y867" s="3"/>
      <c r="Z867" s="3"/>
      <c r="AA867" s="3"/>
      <c r="AB867" s="3"/>
      <c r="AC867" s="3"/>
    </row>
    <row r="868" spans="1:29" hidden="1" outlineLevel="1" x14ac:dyDescent="0.2">
      <c r="A868" s="3"/>
      <c r="B868" s="1047" t="s">
        <v>129</v>
      </c>
      <c r="C868" s="529" t="s">
        <v>129</v>
      </c>
      <c r="D868" s="529" t="s">
        <v>129</v>
      </c>
      <c r="E868" s="529" t="s">
        <v>129</v>
      </c>
      <c r="F868" s="529" t="s">
        <v>129</v>
      </c>
      <c r="G868" s="529" t="s">
        <v>129</v>
      </c>
      <c r="H868" s="529" t="s">
        <v>129</v>
      </c>
      <c r="I868" s="529" t="s">
        <v>129</v>
      </c>
      <c r="J868" s="529" t="s">
        <v>129</v>
      </c>
      <c r="K868" s="529" t="s">
        <v>129</v>
      </c>
      <c r="L868" s="1048" t="s">
        <v>129</v>
      </c>
      <c r="M868" s="3"/>
      <c r="N868" s="3"/>
      <c r="O868" s="3"/>
      <c r="P868" s="3"/>
      <c r="Q868" s="3"/>
      <c r="R868" s="3"/>
      <c r="S868" s="3"/>
      <c r="T868" s="3"/>
      <c r="U868" s="3"/>
      <c r="V868" s="3"/>
      <c r="W868" s="3"/>
      <c r="X868" s="3"/>
      <c r="Y868" s="3"/>
      <c r="Z868" s="3"/>
      <c r="AA868" s="3"/>
      <c r="AB868" s="3"/>
      <c r="AC868" s="3"/>
    </row>
    <row r="869" spans="1:29" hidden="1" outlineLevel="1" x14ac:dyDescent="0.2">
      <c r="A869" s="3"/>
      <c r="B869" s="1047" t="s">
        <v>129</v>
      </c>
      <c r="C869" s="529" t="s">
        <v>129</v>
      </c>
      <c r="D869" s="529" t="s">
        <v>129</v>
      </c>
      <c r="E869" s="529" t="s">
        <v>129</v>
      </c>
      <c r="F869" s="529" t="s">
        <v>129</v>
      </c>
      <c r="G869" s="529" t="s">
        <v>129</v>
      </c>
      <c r="H869" s="529" t="s">
        <v>129</v>
      </c>
      <c r="I869" s="529" t="s">
        <v>129</v>
      </c>
      <c r="J869" s="529" t="s">
        <v>129</v>
      </c>
      <c r="K869" s="529" t="s">
        <v>129</v>
      </c>
      <c r="L869" s="1048" t="s">
        <v>129</v>
      </c>
      <c r="M869" s="3"/>
      <c r="N869" s="3"/>
      <c r="O869" s="3"/>
      <c r="P869" s="3"/>
      <c r="Q869" s="3"/>
      <c r="R869" s="3"/>
      <c r="S869" s="3"/>
      <c r="T869" s="3"/>
      <c r="U869" s="3"/>
      <c r="V869" s="3"/>
      <c r="W869" s="3"/>
      <c r="X869" s="3"/>
      <c r="Y869" s="3"/>
      <c r="Z869" s="3"/>
      <c r="AA869" s="3"/>
      <c r="AB869" s="3"/>
      <c r="AC869" s="3"/>
    </row>
    <row r="870" spans="1:29" hidden="1" outlineLevel="1" x14ac:dyDescent="0.2">
      <c r="A870" s="3"/>
      <c r="B870" s="1047" t="s">
        <v>129</v>
      </c>
      <c r="C870" s="529" t="s">
        <v>129</v>
      </c>
      <c r="D870" s="529" t="s">
        <v>129</v>
      </c>
      <c r="E870" s="529" t="s">
        <v>129</v>
      </c>
      <c r="F870" s="529" t="s">
        <v>129</v>
      </c>
      <c r="G870" s="529" t="s">
        <v>129</v>
      </c>
      <c r="H870" s="529" t="s">
        <v>129</v>
      </c>
      <c r="I870" s="529" t="s">
        <v>129</v>
      </c>
      <c r="J870" s="529" t="s">
        <v>129</v>
      </c>
      <c r="K870" s="529" t="s">
        <v>129</v>
      </c>
      <c r="L870" s="1048" t="s">
        <v>129</v>
      </c>
      <c r="M870" s="3"/>
      <c r="N870" s="3"/>
      <c r="O870" s="3"/>
      <c r="P870" s="3"/>
      <c r="Q870" s="3"/>
      <c r="R870" s="3"/>
      <c r="S870" s="3"/>
      <c r="T870" s="3"/>
      <c r="U870" s="3"/>
      <c r="V870" s="3"/>
      <c r="W870" s="3"/>
      <c r="X870" s="3"/>
      <c r="Y870" s="3"/>
      <c r="Z870" s="3"/>
      <c r="AA870" s="3"/>
      <c r="AB870" s="3"/>
      <c r="AC870" s="3"/>
    </row>
    <row r="871" spans="1:29" hidden="1" outlineLevel="1" x14ac:dyDescent="0.2">
      <c r="A871" s="3"/>
      <c r="B871" s="1047" t="s">
        <v>129</v>
      </c>
      <c r="C871" s="529" t="s">
        <v>129</v>
      </c>
      <c r="D871" s="529" t="s">
        <v>129</v>
      </c>
      <c r="E871" s="529" t="s">
        <v>129</v>
      </c>
      <c r="F871" s="529" t="s">
        <v>129</v>
      </c>
      <c r="G871" s="529" t="s">
        <v>129</v>
      </c>
      <c r="H871" s="529" t="s">
        <v>129</v>
      </c>
      <c r="I871" s="529" t="s">
        <v>129</v>
      </c>
      <c r="J871" s="529" t="s">
        <v>129</v>
      </c>
      <c r="K871" s="529" t="s">
        <v>129</v>
      </c>
      <c r="L871" s="1048" t="s">
        <v>129</v>
      </c>
      <c r="M871" s="3"/>
      <c r="N871" s="3"/>
      <c r="O871" s="3"/>
      <c r="P871" s="3"/>
      <c r="Q871" s="3"/>
      <c r="R871" s="3"/>
      <c r="S871" s="3"/>
      <c r="T871" s="3"/>
      <c r="U871" s="3"/>
      <c r="V871" s="3"/>
      <c r="W871" s="3"/>
      <c r="X871" s="3"/>
      <c r="Y871" s="3"/>
      <c r="Z871" s="3"/>
      <c r="AA871" s="3"/>
      <c r="AB871" s="3"/>
      <c r="AC871" s="3"/>
    </row>
    <row r="872" spans="1:29" hidden="1" outlineLevel="1" x14ac:dyDescent="0.2">
      <c r="A872" s="3"/>
      <c r="B872" s="1047" t="s">
        <v>129</v>
      </c>
      <c r="C872" s="529" t="s">
        <v>129</v>
      </c>
      <c r="D872" s="529" t="s">
        <v>129</v>
      </c>
      <c r="E872" s="529" t="s">
        <v>129</v>
      </c>
      <c r="F872" s="529" t="s">
        <v>129</v>
      </c>
      <c r="G872" s="529" t="s">
        <v>129</v>
      </c>
      <c r="H872" s="529" t="s">
        <v>129</v>
      </c>
      <c r="I872" s="529" t="s">
        <v>129</v>
      </c>
      <c r="J872" s="529" t="s">
        <v>129</v>
      </c>
      <c r="K872" s="529" t="s">
        <v>129</v>
      </c>
      <c r="L872" s="1048" t="s">
        <v>129</v>
      </c>
      <c r="M872" s="3"/>
      <c r="N872" s="3"/>
      <c r="O872" s="3"/>
      <c r="P872" s="3"/>
      <c r="Q872" s="3"/>
      <c r="R872" s="3"/>
      <c r="S872" s="3"/>
      <c r="T872" s="3"/>
      <c r="U872" s="3"/>
      <c r="V872" s="3"/>
      <c r="W872" s="3"/>
      <c r="X872" s="3"/>
      <c r="Y872" s="3"/>
      <c r="Z872" s="3"/>
      <c r="AA872" s="3"/>
      <c r="AB872" s="3"/>
      <c r="AC872" s="3"/>
    </row>
    <row r="873" spans="1:29" hidden="1" outlineLevel="1" x14ac:dyDescent="0.2">
      <c r="A873" s="3"/>
      <c r="B873" s="1047" t="s">
        <v>129</v>
      </c>
      <c r="C873" s="529" t="s">
        <v>129</v>
      </c>
      <c r="D873" s="529" t="s">
        <v>129</v>
      </c>
      <c r="E873" s="529" t="s">
        <v>129</v>
      </c>
      <c r="F873" s="529" t="s">
        <v>129</v>
      </c>
      <c r="G873" s="529" t="s">
        <v>129</v>
      </c>
      <c r="H873" s="529" t="s">
        <v>129</v>
      </c>
      <c r="I873" s="529" t="s">
        <v>129</v>
      </c>
      <c r="J873" s="529" t="s">
        <v>129</v>
      </c>
      <c r="K873" s="529" t="s">
        <v>129</v>
      </c>
      <c r="L873" s="1048" t="s">
        <v>129</v>
      </c>
      <c r="M873" s="3"/>
      <c r="N873" s="3"/>
      <c r="O873" s="3"/>
      <c r="P873" s="3"/>
      <c r="Q873" s="3"/>
      <c r="R873" s="3"/>
      <c r="S873" s="3"/>
      <c r="T873" s="3"/>
      <c r="U873" s="3"/>
      <c r="V873" s="3"/>
      <c r="W873" s="3"/>
      <c r="X873" s="3"/>
      <c r="Y873" s="3"/>
      <c r="Z873" s="3"/>
      <c r="AA873" s="3"/>
      <c r="AB873" s="3"/>
      <c r="AC873" s="3"/>
    </row>
    <row r="874" spans="1:29" hidden="1" outlineLevel="1" x14ac:dyDescent="0.2">
      <c r="A874" s="3"/>
      <c r="B874" s="1047" t="s">
        <v>129</v>
      </c>
      <c r="C874" s="529" t="s">
        <v>129</v>
      </c>
      <c r="D874" s="529" t="s">
        <v>129</v>
      </c>
      <c r="E874" s="529" t="s">
        <v>129</v>
      </c>
      <c r="F874" s="529" t="s">
        <v>129</v>
      </c>
      <c r="G874" s="529" t="s">
        <v>129</v>
      </c>
      <c r="H874" s="529" t="s">
        <v>129</v>
      </c>
      <c r="I874" s="529" t="s">
        <v>129</v>
      </c>
      <c r="J874" s="529" t="s">
        <v>129</v>
      </c>
      <c r="K874" s="529" t="s">
        <v>129</v>
      </c>
      <c r="L874" s="1048" t="s">
        <v>129</v>
      </c>
      <c r="M874" s="3"/>
      <c r="N874" s="3"/>
      <c r="O874" s="3"/>
      <c r="P874" s="3"/>
      <c r="Q874" s="3"/>
      <c r="R874" s="3"/>
      <c r="S874" s="3"/>
      <c r="T874" s="3"/>
      <c r="U874" s="3"/>
      <c r="V874" s="3"/>
      <c r="W874" s="3"/>
      <c r="X874" s="3"/>
      <c r="Y874" s="3"/>
      <c r="Z874" s="3"/>
      <c r="AA874" s="3"/>
      <c r="AB874" s="3"/>
      <c r="AC874" s="3"/>
    </row>
    <row r="875" spans="1:29" hidden="1" outlineLevel="1" x14ac:dyDescent="0.2">
      <c r="A875" s="3"/>
      <c r="B875" s="1047" t="s">
        <v>129</v>
      </c>
      <c r="C875" s="529" t="s">
        <v>129</v>
      </c>
      <c r="D875" s="529" t="s">
        <v>129</v>
      </c>
      <c r="E875" s="529" t="s">
        <v>129</v>
      </c>
      <c r="F875" s="529" t="s">
        <v>129</v>
      </c>
      <c r="G875" s="529" t="s">
        <v>129</v>
      </c>
      <c r="H875" s="529" t="s">
        <v>129</v>
      </c>
      <c r="I875" s="529" t="s">
        <v>129</v>
      </c>
      <c r="J875" s="529" t="s">
        <v>129</v>
      </c>
      <c r="K875" s="529" t="s">
        <v>129</v>
      </c>
      <c r="L875" s="1048" t="s">
        <v>129</v>
      </c>
      <c r="M875" s="3"/>
      <c r="N875" s="3"/>
      <c r="O875" s="3"/>
      <c r="P875" s="3"/>
      <c r="Q875" s="3"/>
      <c r="R875" s="3"/>
      <c r="S875" s="3"/>
      <c r="T875" s="3"/>
      <c r="U875" s="3"/>
      <c r="V875" s="3"/>
      <c r="W875" s="3"/>
      <c r="X875" s="3"/>
      <c r="Y875" s="3"/>
      <c r="Z875" s="3"/>
      <c r="AA875" s="3"/>
      <c r="AB875" s="3"/>
      <c r="AC875" s="3"/>
    </row>
    <row r="876" spans="1:29" hidden="1" outlineLevel="1" x14ac:dyDescent="0.2">
      <c r="A876" s="3"/>
      <c r="B876" s="1047" t="s">
        <v>129</v>
      </c>
      <c r="C876" s="529" t="s">
        <v>129</v>
      </c>
      <c r="D876" s="529" t="s">
        <v>129</v>
      </c>
      <c r="E876" s="529" t="s">
        <v>129</v>
      </c>
      <c r="F876" s="529" t="s">
        <v>129</v>
      </c>
      <c r="G876" s="529" t="s">
        <v>129</v>
      </c>
      <c r="H876" s="529" t="s">
        <v>129</v>
      </c>
      <c r="I876" s="529" t="s">
        <v>129</v>
      </c>
      <c r="J876" s="529" t="s">
        <v>129</v>
      </c>
      <c r="K876" s="529" t="s">
        <v>129</v>
      </c>
      <c r="L876" s="1048" t="s">
        <v>129</v>
      </c>
      <c r="M876" s="3"/>
      <c r="N876" s="3"/>
      <c r="O876" s="3"/>
      <c r="P876" s="3"/>
      <c r="Q876" s="3"/>
      <c r="R876" s="3"/>
      <c r="S876" s="3"/>
      <c r="T876" s="3"/>
      <c r="U876" s="3"/>
      <c r="V876" s="3"/>
      <c r="W876" s="3"/>
      <c r="X876" s="3"/>
      <c r="Y876" s="3"/>
      <c r="Z876" s="3"/>
      <c r="AA876" s="3"/>
      <c r="AB876" s="3"/>
      <c r="AC876" s="3"/>
    </row>
    <row r="877" spans="1:29" hidden="1" outlineLevel="1" x14ac:dyDescent="0.2">
      <c r="A877" s="3"/>
      <c r="B877" s="1047" t="s">
        <v>129</v>
      </c>
      <c r="C877" s="529" t="s">
        <v>129</v>
      </c>
      <c r="D877" s="529" t="s">
        <v>129</v>
      </c>
      <c r="E877" s="529" t="s">
        <v>129</v>
      </c>
      <c r="F877" s="529" t="s">
        <v>129</v>
      </c>
      <c r="G877" s="529" t="s">
        <v>129</v>
      </c>
      <c r="H877" s="529" t="s">
        <v>129</v>
      </c>
      <c r="I877" s="529" t="s">
        <v>129</v>
      </c>
      <c r="J877" s="529" t="s">
        <v>129</v>
      </c>
      <c r="K877" s="529" t="s">
        <v>129</v>
      </c>
      <c r="L877" s="1048" t="s">
        <v>129</v>
      </c>
      <c r="M877" s="3"/>
      <c r="N877" s="3"/>
      <c r="O877" s="3"/>
      <c r="P877" s="3"/>
      <c r="Q877" s="3"/>
      <c r="R877" s="3"/>
      <c r="S877" s="3"/>
      <c r="T877" s="3"/>
      <c r="U877" s="3"/>
      <c r="V877" s="3"/>
      <c r="W877" s="3"/>
      <c r="X877" s="3"/>
      <c r="Y877" s="3"/>
      <c r="Z877" s="3"/>
      <c r="AA877" s="3"/>
      <c r="AB877" s="3"/>
      <c r="AC877" s="3"/>
    </row>
    <row r="878" spans="1:29" hidden="1" outlineLevel="1" x14ac:dyDescent="0.2">
      <c r="A878" s="3"/>
      <c r="B878" s="1047" t="s">
        <v>129</v>
      </c>
      <c r="C878" s="529" t="s">
        <v>129</v>
      </c>
      <c r="D878" s="529" t="s">
        <v>129</v>
      </c>
      <c r="E878" s="529" t="s">
        <v>129</v>
      </c>
      <c r="F878" s="529" t="s">
        <v>129</v>
      </c>
      <c r="G878" s="529" t="s">
        <v>129</v>
      </c>
      <c r="H878" s="529" t="s">
        <v>129</v>
      </c>
      <c r="I878" s="529" t="s">
        <v>129</v>
      </c>
      <c r="J878" s="529" t="s">
        <v>129</v>
      </c>
      <c r="K878" s="529" t="s">
        <v>129</v>
      </c>
      <c r="L878" s="1048" t="s">
        <v>129</v>
      </c>
      <c r="M878" s="3"/>
      <c r="N878" s="3"/>
      <c r="O878" s="3"/>
      <c r="P878" s="3"/>
      <c r="Q878" s="3"/>
      <c r="R878" s="3"/>
      <c r="S878" s="3"/>
      <c r="T878" s="3"/>
      <c r="U878" s="3"/>
      <c r="V878" s="3"/>
      <c r="W878" s="3"/>
      <c r="X878" s="3"/>
      <c r="Y878" s="3"/>
      <c r="Z878" s="3"/>
      <c r="AA878" s="3"/>
      <c r="AB878" s="3"/>
      <c r="AC878" s="3"/>
    </row>
    <row r="879" spans="1:29" hidden="1" outlineLevel="1" x14ac:dyDescent="0.2">
      <c r="A879" s="3"/>
      <c r="B879" s="1047" t="s">
        <v>129</v>
      </c>
      <c r="C879" s="529" t="s">
        <v>129</v>
      </c>
      <c r="D879" s="529" t="s">
        <v>129</v>
      </c>
      <c r="E879" s="529" t="s">
        <v>129</v>
      </c>
      <c r="F879" s="529" t="s">
        <v>129</v>
      </c>
      <c r="G879" s="529" t="s">
        <v>129</v>
      </c>
      <c r="H879" s="529" t="s">
        <v>129</v>
      </c>
      <c r="I879" s="529" t="s">
        <v>129</v>
      </c>
      <c r="J879" s="529" t="s">
        <v>129</v>
      </c>
      <c r="K879" s="529" t="s">
        <v>129</v>
      </c>
      <c r="L879" s="1048" t="s">
        <v>129</v>
      </c>
      <c r="M879" s="3"/>
      <c r="N879" s="3"/>
      <c r="O879" s="3"/>
      <c r="P879" s="3"/>
      <c r="Q879" s="3"/>
      <c r="R879" s="3"/>
      <c r="S879" s="3"/>
      <c r="T879" s="3"/>
      <c r="U879" s="3"/>
      <c r="V879" s="3"/>
      <c r="W879" s="3"/>
      <c r="X879" s="3"/>
      <c r="Y879" s="3"/>
      <c r="Z879" s="3"/>
      <c r="AA879" s="3"/>
      <c r="AB879" s="3"/>
      <c r="AC879" s="3"/>
    </row>
    <row r="880" spans="1:29" hidden="1" outlineLevel="1" x14ac:dyDescent="0.2">
      <c r="A880" s="3"/>
      <c r="B880" s="1047" t="s">
        <v>129</v>
      </c>
      <c r="C880" s="529" t="s">
        <v>129</v>
      </c>
      <c r="D880" s="529" t="s">
        <v>129</v>
      </c>
      <c r="E880" s="529" t="s">
        <v>129</v>
      </c>
      <c r="F880" s="529" t="s">
        <v>129</v>
      </c>
      <c r="G880" s="529" t="s">
        <v>129</v>
      </c>
      <c r="H880" s="529" t="s">
        <v>129</v>
      </c>
      <c r="I880" s="529" t="s">
        <v>129</v>
      </c>
      <c r="J880" s="529" t="s">
        <v>129</v>
      </c>
      <c r="K880" s="529" t="s">
        <v>129</v>
      </c>
      <c r="L880" s="1048" t="s">
        <v>129</v>
      </c>
      <c r="M880" s="3"/>
      <c r="N880" s="3"/>
      <c r="O880" s="3"/>
      <c r="P880" s="3"/>
      <c r="Q880" s="3"/>
      <c r="R880" s="3"/>
      <c r="S880" s="3"/>
      <c r="T880" s="3"/>
      <c r="U880" s="3"/>
      <c r="V880" s="3"/>
      <c r="W880" s="3"/>
      <c r="X880" s="3"/>
      <c r="Y880" s="3"/>
      <c r="Z880" s="3"/>
      <c r="AA880" s="3"/>
      <c r="AB880" s="3"/>
      <c r="AC880" s="3"/>
    </row>
    <row r="881" spans="1:29" hidden="1" outlineLevel="1" x14ac:dyDescent="0.2">
      <c r="A881" s="3"/>
      <c r="B881" s="1047" t="s">
        <v>129</v>
      </c>
      <c r="C881" s="529" t="s">
        <v>129</v>
      </c>
      <c r="D881" s="529" t="s">
        <v>129</v>
      </c>
      <c r="E881" s="529" t="s">
        <v>129</v>
      </c>
      <c r="F881" s="529" t="s">
        <v>129</v>
      </c>
      <c r="G881" s="529" t="s">
        <v>129</v>
      </c>
      <c r="H881" s="529" t="s">
        <v>129</v>
      </c>
      <c r="I881" s="529" t="s">
        <v>129</v>
      </c>
      <c r="J881" s="529" t="s">
        <v>129</v>
      </c>
      <c r="K881" s="529" t="s">
        <v>129</v>
      </c>
      <c r="L881" s="1048" t="s">
        <v>129</v>
      </c>
      <c r="M881" s="3"/>
      <c r="N881" s="3"/>
      <c r="O881" s="3"/>
      <c r="P881" s="3"/>
      <c r="Q881" s="3"/>
      <c r="R881" s="3"/>
      <c r="S881" s="3"/>
      <c r="T881" s="3"/>
      <c r="U881" s="3"/>
      <c r="V881" s="3"/>
      <c r="W881" s="3"/>
      <c r="X881" s="3"/>
      <c r="Y881" s="3"/>
      <c r="Z881" s="3"/>
      <c r="AA881" s="3"/>
      <c r="AB881" s="3"/>
      <c r="AC881" s="3"/>
    </row>
    <row r="882" spans="1:29" hidden="1" outlineLevel="1" x14ac:dyDescent="0.2">
      <c r="A882" s="3"/>
      <c r="B882" s="1047" t="s">
        <v>129</v>
      </c>
      <c r="C882" s="529" t="s">
        <v>129</v>
      </c>
      <c r="D882" s="529" t="s">
        <v>129</v>
      </c>
      <c r="E882" s="529" t="s">
        <v>129</v>
      </c>
      <c r="F882" s="529" t="s">
        <v>129</v>
      </c>
      <c r="G882" s="529" t="s">
        <v>129</v>
      </c>
      <c r="H882" s="529" t="s">
        <v>129</v>
      </c>
      <c r="I882" s="529" t="s">
        <v>129</v>
      </c>
      <c r="J882" s="529" t="s">
        <v>129</v>
      </c>
      <c r="K882" s="529" t="s">
        <v>129</v>
      </c>
      <c r="L882" s="1048" t="s">
        <v>129</v>
      </c>
      <c r="M882" s="3"/>
      <c r="N882" s="3"/>
      <c r="O882" s="3"/>
      <c r="P882" s="3"/>
      <c r="Q882" s="3"/>
      <c r="R882" s="3"/>
      <c r="S882" s="3"/>
      <c r="T882" s="3"/>
      <c r="U882" s="3"/>
      <c r="V882" s="3"/>
      <c r="W882" s="3"/>
      <c r="X882" s="3"/>
      <c r="Y882" s="3"/>
      <c r="Z882" s="3"/>
      <c r="AA882" s="3"/>
      <c r="AB882" s="3"/>
      <c r="AC882" s="3"/>
    </row>
    <row r="883" spans="1:29" hidden="1" outlineLevel="1" x14ac:dyDescent="0.2">
      <c r="A883" s="3"/>
      <c r="B883" s="1047" t="s">
        <v>129</v>
      </c>
      <c r="C883" s="529" t="s">
        <v>129</v>
      </c>
      <c r="D883" s="529" t="s">
        <v>129</v>
      </c>
      <c r="E883" s="529" t="s">
        <v>129</v>
      </c>
      <c r="F883" s="529" t="s">
        <v>129</v>
      </c>
      <c r="G883" s="529" t="s">
        <v>129</v>
      </c>
      <c r="H883" s="529" t="s">
        <v>129</v>
      </c>
      <c r="I883" s="529" t="s">
        <v>129</v>
      </c>
      <c r="J883" s="529" t="s">
        <v>129</v>
      </c>
      <c r="K883" s="529" t="s">
        <v>129</v>
      </c>
      <c r="L883" s="1048" t="s">
        <v>129</v>
      </c>
      <c r="M883" s="3"/>
      <c r="N883" s="3"/>
      <c r="O883" s="3"/>
      <c r="P883" s="3"/>
      <c r="Q883" s="3"/>
      <c r="R883" s="3"/>
      <c r="S883" s="3"/>
      <c r="T883" s="3"/>
      <c r="U883" s="3"/>
      <c r="V883" s="3"/>
      <c r="W883" s="3"/>
      <c r="X883" s="3"/>
      <c r="Y883" s="3"/>
      <c r="Z883" s="3"/>
      <c r="AA883" s="3"/>
      <c r="AB883" s="3"/>
      <c r="AC883" s="3"/>
    </row>
    <row r="884" spans="1:29" hidden="1" outlineLevel="1" x14ac:dyDescent="0.2">
      <c r="A884" s="3"/>
      <c r="B884" s="1047" t="s">
        <v>129</v>
      </c>
      <c r="C884" s="529" t="s">
        <v>129</v>
      </c>
      <c r="D884" s="529" t="s">
        <v>129</v>
      </c>
      <c r="E884" s="529" t="s">
        <v>129</v>
      </c>
      <c r="F884" s="529" t="s">
        <v>129</v>
      </c>
      <c r="G884" s="529" t="s">
        <v>129</v>
      </c>
      <c r="H884" s="529" t="s">
        <v>129</v>
      </c>
      <c r="I884" s="529" t="s">
        <v>129</v>
      </c>
      <c r="J884" s="529" t="s">
        <v>129</v>
      </c>
      <c r="K884" s="529" t="s">
        <v>129</v>
      </c>
      <c r="L884" s="1048" t="s">
        <v>129</v>
      </c>
      <c r="M884" s="3"/>
      <c r="N884" s="3"/>
      <c r="O884" s="3"/>
      <c r="P884" s="3"/>
      <c r="Q884" s="3"/>
      <c r="R884" s="3"/>
      <c r="S884" s="3"/>
      <c r="T884" s="3"/>
      <c r="U884" s="3"/>
      <c r="V884" s="3"/>
      <c r="W884" s="3"/>
      <c r="X884" s="3"/>
      <c r="Y884" s="3"/>
      <c r="Z884" s="3"/>
      <c r="AA884" s="3"/>
      <c r="AB884" s="3"/>
      <c r="AC884" s="3"/>
    </row>
    <row r="885" spans="1:29" hidden="1" outlineLevel="1" x14ac:dyDescent="0.2">
      <c r="A885" s="3"/>
      <c r="B885" s="1047" t="s">
        <v>129</v>
      </c>
      <c r="C885" s="529" t="s">
        <v>129</v>
      </c>
      <c r="D885" s="529" t="s">
        <v>129</v>
      </c>
      <c r="E885" s="529" t="s">
        <v>129</v>
      </c>
      <c r="F885" s="529" t="s">
        <v>129</v>
      </c>
      <c r="G885" s="529" t="s">
        <v>129</v>
      </c>
      <c r="H885" s="529" t="s">
        <v>129</v>
      </c>
      <c r="I885" s="529" t="s">
        <v>129</v>
      </c>
      <c r="J885" s="529" t="s">
        <v>129</v>
      </c>
      <c r="K885" s="529" t="s">
        <v>129</v>
      </c>
      <c r="L885" s="1048" t="s">
        <v>129</v>
      </c>
      <c r="M885" s="3"/>
      <c r="N885" s="3"/>
      <c r="O885" s="3"/>
      <c r="P885" s="3"/>
      <c r="Q885" s="3"/>
      <c r="R885" s="3"/>
      <c r="S885" s="3"/>
      <c r="T885" s="3"/>
      <c r="U885" s="3"/>
      <c r="V885" s="3"/>
      <c r="W885" s="3"/>
      <c r="X885" s="3"/>
      <c r="Y885" s="3"/>
      <c r="Z885" s="3"/>
      <c r="AA885" s="3"/>
      <c r="AB885" s="3"/>
      <c r="AC885" s="3"/>
    </row>
    <row r="886" spans="1:29" hidden="1" outlineLevel="1" x14ac:dyDescent="0.2">
      <c r="A886" s="3"/>
      <c r="B886" s="1047" t="s">
        <v>129</v>
      </c>
      <c r="C886" s="529" t="s">
        <v>129</v>
      </c>
      <c r="D886" s="529" t="s">
        <v>129</v>
      </c>
      <c r="E886" s="529" t="s">
        <v>129</v>
      </c>
      <c r="F886" s="529" t="s">
        <v>129</v>
      </c>
      <c r="G886" s="529" t="s">
        <v>129</v>
      </c>
      <c r="H886" s="529" t="s">
        <v>129</v>
      </c>
      <c r="I886" s="529" t="s">
        <v>129</v>
      </c>
      <c r="J886" s="529" t="s">
        <v>129</v>
      </c>
      <c r="K886" s="529" t="s">
        <v>129</v>
      </c>
      <c r="L886" s="1048" t="s">
        <v>129</v>
      </c>
      <c r="M886" s="3"/>
      <c r="N886" s="3"/>
      <c r="O886" s="3"/>
      <c r="P886" s="3"/>
      <c r="Q886" s="3"/>
      <c r="R886" s="3"/>
      <c r="S886" s="3"/>
      <c r="T886" s="3"/>
      <c r="U886" s="3"/>
      <c r="V886" s="3"/>
      <c r="W886" s="3"/>
      <c r="X886" s="3"/>
      <c r="Y886" s="3"/>
      <c r="Z886" s="3"/>
      <c r="AA886" s="3"/>
      <c r="AB886" s="3"/>
      <c r="AC886" s="3"/>
    </row>
    <row r="887" spans="1:29" hidden="1" outlineLevel="1" x14ac:dyDescent="0.2">
      <c r="A887" s="3"/>
      <c r="B887" s="1047" t="s">
        <v>129</v>
      </c>
      <c r="C887" s="529" t="s">
        <v>129</v>
      </c>
      <c r="D887" s="529" t="s">
        <v>129</v>
      </c>
      <c r="E887" s="529" t="s">
        <v>129</v>
      </c>
      <c r="F887" s="529" t="s">
        <v>129</v>
      </c>
      <c r="G887" s="529" t="s">
        <v>129</v>
      </c>
      <c r="H887" s="529" t="s">
        <v>129</v>
      </c>
      <c r="I887" s="529" t="s">
        <v>129</v>
      </c>
      <c r="J887" s="529" t="s">
        <v>129</v>
      </c>
      <c r="K887" s="529" t="s">
        <v>129</v>
      </c>
      <c r="L887" s="1048" t="s">
        <v>129</v>
      </c>
      <c r="M887" s="3"/>
      <c r="N887" s="3"/>
      <c r="O887" s="3"/>
      <c r="P887" s="3"/>
      <c r="Q887" s="3"/>
      <c r="R887" s="3"/>
      <c r="S887" s="3"/>
      <c r="T887" s="3"/>
      <c r="U887" s="3"/>
      <c r="V887" s="3"/>
      <c r="W887" s="3"/>
      <c r="X887" s="3"/>
      <c r="Y887" s="3"/>
      <c r="Z887" s="3"/>
      <c r="AA887" s="3"/>
      <c r="AB887" s="3"/>
      <c r="AC887" s="3"/>
    </row>
    <row r="888" spans="1:29" hidden="1" outlineLevel="1" x14ac:dyDescent="0.2">
      <c r="A888" s="3"/>
      <c r="B888" s="1047" t="s">
        <v>129</v>
      </c>
      <c r="C888" s="529" t="s">
        <v>129</v>
      </c>
      <c r="D888" s="529" t="s">
        <v>129</v>
      </c>
      <c r="E888" s="529" t="s">
        <v>129</v>
      </c>
      <c r="F888" s="529" t="s">
        <v>129</v>
      </c>
      <c r="G888" s="529" t="s">
        <v>129</v>
      </c>
      <c r="H888" s="529" t="s">
        <v>129</v>
      </c>
      <c r="I888" s="529" t="s">
        <v>129</v>
      </c>
      <c r="J888" s="529" t="s">
        <v>129</v>
      </c>
      <c r="K888" s="529" t="s">
        <v>129</v>
      </c>
      <c r="L888" s="1048" t="s">
        <v>129</v>
      </c>
      <c r="M888" s="3"/>
      <c r="N888" s="3"/>
      <c r="O888" s="3"/>
      <c r="P888" s="3"/>
      <c r="Q888" s="3"/>
      <c r="R888" s="3"/>
      <c r="S888" s="3"/>
      <c r="T888" s="3"/>
      <c r="U888" s="3"/>
      <c r="V888" s="3"/>
      <c r="W888" s="3"/>
      <c r="X888" s="3"/>
      <c r="Y888" s="3"/>
      <c r="Z888" s="3"/>
      <c r="AA888" s="3"/>
      <c r="AB888" s="3"/>
      <c r="AC888" s="3"/>
    </row>
    <row r="889" spans="1:29" hidden="1" outlineLevel="1" x14ac:dyDescent="0.2">
      <c r="A889" s="3"/>
      <c r="B889" s="1047" t="s">
        <v>129</v>
      </c>
      <c r="C889" s="529" t="s">
        <v>129</v>
      </c>
      <c r="D889" s="529" t="s">
        <v>129</v>
      </c>
      <c r="E889" s="529" t="s">
        <v>129</v>
      </c>
      <c r="F889" s="529" t="s">
        <v>129</v>
      </c>
      <c r="G889" s="529" t="s">
        <v>129</v>
      </c>
      <c r="H889" s="529" t="s">
        <v>129</v>
      </c>
      <c r="I889" s="529" t="s">
        <v>129</v>
      </c>
      <c r="J889" s="529" t="s">
        <v>129</v>
      </c>
      <c r="K889" s="529" t="s">
        <v>129</v>
      </c>
      <c r="L889" s="1048" t="s">
        <v>129</v>
      </c>
      <c r="M889" s="3"/>
      <c r="N889" s="3"/>
      <c r="O889" s="3"/>
      <c r="P889" s="3"/>
      <c r="Q889" s="3"/>
      <c r="R889" s="3"/>
      <c r="S889" s="3"/>
      <c r="T889" s="3"/>
      <c r="U889" s="3"/>
      <c r="V889" s="3"/>
      <c r="W889" s="3"/>
      <c r="X889" s="3"/>
      <c r="Y889" s="3"/>
      <c r="Z889" s="3"/>
      <c r="AA889" s="3"/>
      <c r="AB889" s="3"/>
      <c r="AC889" s="3"/>
    </row>
    <row r="890" spans="1:29" hidden="1" outlineLevel="1" x14ac:dyDescent="0.2">
      <c r="A890" s="3"/>
      <c r="B890" s="1047" t="s">
        <v>129</v>
      </c>
      <c r="C890" s="529" t="s">
        <v>129</v>
      </c>
      <c r="D890" s="529" t="s">
        <v>129</v>
      </c>
      <c r="E890" s="529" t="s">
        <v>129</v>
      </c>
      <c r="F890" s="529" t="s">
        <v>129</v>
      </c>
      <c r="G890" s="529" t="s">
        <v>129</v>
      </c>
      <c r="H890" s="529" t="s">
        <v>129</v>
      </c>
      <c r="I890" s="529" t="s">
        <v>129</v>
      </c>
      <c r="J890" s="529" t="s">
        <v>129</v>
      </c>
      <c r="K890" s="529" t="s">
        <v>129</v>
      </c>
      <c r="L890" s="1048" t="s">
        <v>129</v>
      </c>
      <c r="M890" s="3"/>
      <c r="N890" s="3"/>
      <c r="O890" s="3"/>
      <c r="P890" s="3"/>
      <c r="Q890" s="3"/>
      <c r="R890" s="3"/>
      <c r="S890" s="3"/>
      <c r="T890" s="3"/>
      <c r="U890" s="3"/>
      <c r="V890" s="3"/>
      <c r="W890" s="3"/>
      <c r="X890" s="3"/>
      <c r="Y890" s="3"/>
      <c r="Z890" s="3"/>
      <c r="AA890" s="3"/>
      <c r="AB890" s="3"/>
      <c r="AC890" s="3"/>
    </row>
    <row r="891" spans="1:29" hidden="1" outlineLevel="1" x14ac:dyDescent="0.2">
      <c r="A891" s="3"/>
      <c r="B891" s="1047" t="s">
        <v>129</v>
      </c>
      <c r="C891" s="529" t="s">
        <v>129</v>
      </c>
      <c r="D891" s="529" t="s">
        <v>129</v>
      </c>
      <c r="E891" s="529" t="s">
        <v>129</v>
      </c>
      <c r="F891" s="529" t="s">
        <v>129</v>
      </c>
      <c r="G891" s="529" t="s">
        <v>129</v>
      </c>
      <c r="H891" s="529" t="s">
        <v>129</v>
      </c>
      <c r="I891" s="529" t="s">
        <v>129</v>
      </c>
      <c r="J891" s="529" t="s">
        <v>129</v>
      </c>
      <c r="K891" s="529" t="s">
        <v>129</v>
      </c>
      <c r="L891" s="1048" t="s">
        <v>129</v>
      </c>
      <c r="M891" s="3"/>
      <c r="N891" s="3"/>
      <c r="O891" s="3"/>
      <c r="P891" s="3"/>
      <c r="Q891" s="3"/>
      <c r="R891" s="3"/>
      <c r="S891" s="3"/>
      <c r="T891" s="3"/>
      <c r="U891" s="3"/>
      <c r="V891" s="3"/>
      <c r="W891" s="3"/>
      <c r="X891" s="3"/>
      <c r="Y891" s="3"/>
      <c r="Z891" s="3"/>
      <c r="AA891" s="3"/>
      <c r="AB891" s="3"/>
      <c r="AC891" s="3"/>
    </row>
    <row r="892" spans="1:29" hidden="1" outlineLevel="1" x14ac:dyDescent="0.2">
      <c r="A892" s="3"/>
      <c r="B892" s="1047" t="s">
        <v>129</v>
      </c>
      <c r="C892" s="529" t="s">
        <v>129</v>
      </c>
      <c r="D892" s="529" t="s">
        <v>129</v>
      </c>
      <c r="E892" s="529" t="s">
        <v>129</v>
      </c>
      <c r="F892" s="529" t="s">
        <v>129</v>
      </c>
      <c r="G892" s="529" t="s">
        <v>129</v>
      </c>
      <c r="H892" s="529" t="s">
        <v>129</v>
      </c>
      <c r="I892" s="529" t="s">
        <v>129</v>
      </c>
      <c r="J892" s="529" t="s">
        <v>129</v>
      </c>
      <c r="K892" s="529" t="s">
        <v>129</v>
      </c>
      <c r="L892" s="1048" t="s">
        <v>129</v>
      </c>
      <c r="M892" s="3"/>
      <c r="N892" s="3"/>
      <c r="O892" s="3"/>
      <c r="P892" s="3"/>
      <c r="Q892" s="3"/>
      <c r="R892" s="3"/>
      <c r="S892" s="3"/>
      <c r="T892" s="3"/>
      <c r="U892" s="3"/>
      <c r="V892" s="3"/>
      <c r="W892" s="3"/>
      <c r="X892" s="3"/>
      <c r="Y892" s="3"/>
      <c r="Z892" s="3"/>
      <c r="AA892" s="3"/>
      <c r="AB892" s="3"/>
      <c r="AC892" s="3"/>
    </row>
    <row r="893" spans="1:29" hidden="1" outlineLevel="1" x14ac:dyDescent="0.2">
      <c r="A893" s="3"/>
      <c r="B893" s="1047" t="s">
        <v>129</v>
      </c>
      <c r="C893" s="529" t="s">
        <v>129</v>
      </c>
      <c r="D893" s="529" t="s">
        <v>129</v>
      </c>
      <c r="E893" s="529" t="s">
        <v>129</v>
      </c>
      <c r="F893" s="529" t="s">
        <v>129</v>
      </c>
      <c r="G893" s="529" t="s">
        <v>129</v>
      </c>
      <c r="H893" s="529" t="s">
        <v>129</v>
      </c>
      <c r="I893" s="529" t="s">
        <v>129</v>
      </c>
      <c r="J893" s="529" t="s">
        <v>129</v>
      </c>
      <c r="K893" s="529" t="s">
        <v>129</v>
      </c>
      <c r="L893" s="1048" t="s">
        <v>129</v>
      </c>
      <c r="M893" s="3"/>
      <c r="N893" s="3"/>
      <c r="O893" s="3"/>
      <c r="P893" s="3"/>
      <c r="Q893" s="3"/>
      <c r="R893" s="3"/>
      <c r="S893" s="3"/>
      <c r="T893" s="3"/>
      <c r="U893" s="3"/>
      <c r="V893" s="3"/>
      <c r="W893" s="3"/>
      <c r="X893" s="3"/>
      <c r="Y893" s="3"/>
      <c r="Z893" s="3"/>
      <c r="AA893" s="3"/>
      <c r="AB893" s="3"/>
      <c r="AC893" s="3"/>
    </row>
    <row r="894" spans="1:29" hidden="1" outlineLevel="1" x14ac:dyDescent="0.2">
      <c r="A894" s="3"/>
      <c r="B894" s="1047" t="s">
        <v>129</v>
      </c>
      <c r="C894" s="529" t="s">
        <v>129</v>
      </c>
      <c r="D894" s="529" t="s">
        <v>129</v>
      </c>
      <c r="E894" s="529" t="s">
        <v>129</v>
      </c>
      <c r="F894" s="529" t="s">
        <v>129</v>
      </c>
      <c r="G894" s="529" t="s">
        <v>129</v>
      </c>
      <c r="H894" s="529" t="s">
        <v>129</v>
      </c>
      <c r="I894" s="529" t="s">
        <v>129</v>
      </c>
      <c r="J894" s="529" t="s">
        <v>129</v>
      </c>
      <c r="K894" s="529" t="s">
        <v>129</v>
      </c>
      <c r="L894" s="1048" t="s">
        <v>129</v>
      </c>
      <c r="M894" s="3"/>
      <c r="N894" s="3"/>
      <c r="O894" s="3"/>
      <c r="P894" s="3"/>
      <c r="Q894" s="3"/>
      <c r="R894" s="3"/>
      <c r="S894" s="3"/>
      <c r="T894" s="3"/>
      <c r="U894" s="3"/>
      <c r="V894" s="3"/>
      <c r="W894" s="3"/>
      <c r="X894" s="3"/>
      <c r="Y894" s="3"/>
      <c r="Z894" s="3"/>
      <c r="AA894" s="3"/>
      <c r="AB894" s="3"/>
      <c r="AC894" s="3"/>
    </row>
    <row r="895" spans="1:29" hidden="1" outlineLevel="1" x14ac:dyDescent="0.2">
      <c r="A895" s="3"/>
      <c r="B895" s="1047" t="s">
        <v>129</v>
      </c>
      <c r="C895" s="529" t="s">
        <v>129</v>
      </c>
      <c r="D895" s="529" t="s">
        <v>129</v>
      </c>
      <c r="E895" s="529" t="s">
        <v>129</v>
      </c>
      <c r="F895" s="529" t="s">
        <v>129</v>
      </c>
      <c r="G895" s="529" t="s">
        <v>129</v>
      </c>
      <c r="H895" s="529" t="s">
        <v>129</v>
      </c>
      <c r="I895" s="529" t="s">
        <v>129</v>
      </c>
      <c r="J895" s="529" t="s">
        <v>129</v>
      </c>
      <c r="K895" s="529" t="s">
        <v>129</v>
      </c>
      <c r="L895" s="1048" t="s">
        <v>129</v>
      </c>
      <c r="M895" s="3"/>
      <c r="N895" s="3"/>
      <c r="O895" s="3"/>
      <c r="P895" s="3"/>
      <c r="Q895" s="3"/>
      <c r="R895" s="3"/>
      <c r="S895" s="3"/>
      <c r="T895" s="3"/>
      <c r="U895" s="3"/>
      <c r="V895" s="3"/>
      <c r="W895" s="3"/>
      <c r="X895" s="3"/>
      <c r="Y895" s="3"/>
      <c r="Z895" s="3"/>
      <c r="AA895" s="3"/>
      <c r="AB895" s="3"/>
      <c r="AC895" s="3"/>
    </row>
    <row r="896" spans="1:29" hidden="1" outlineLevel="1" x14ac:dyDescent="0.2">
      <c r="A896" s="3"/>
      <c r="B896" s="1047" t="s">
        <v>129</v>
      </c>
      <c r="C896" s="529" t="s">
        <v>129</v>
      </c>
      <c r="D896" s="529" t="s">
        <v>129</v>
      </c>
      <c r="E896" s="529" t="s">
        <v>129</v>
      </c>
      <c r="F896" s="529" t="s">
        <v>129</v>
      </c>
      <c r="G896" s="529" t="s">
        <v>129</v>
      </c>
      <c r="H896" s="529" t="s">
        <v>129</v>
      </c>
      <c r="I896" s="529" t="s">
        <v>129</v>
      </c>
      <c r="J896" s="529" t="s">
        <v>129</v>
      </c>
      <c r="K896" s="529" t="s">
        <v>129</v>
      </c>
      <c r="L896" s="1048" t="s">
        <v>129</v>
      </c>
      <c r="M896" s="3"/>
      <c r="N896" s="3"/>
      <c r="O896" s="3"/>
      <c r="P896" s="3"/>
      <c r="Q896" s="3"/>
      <c r="R896" s="3"/>
      <c r="S896" s="3"/>
      <c r="T896" s="3"/>
      <c r="U896" s="3"/>
      <c r="V896" s="3"/>
      <c r="W896" s="3"/>
      <c r="X896" s="3"/>
      <c r="Y896" s="3"/>
      <c r="Z896" s="3"/>
      <c r="AA896" s="3"/>
      <c r="AB896" s="3"/>
      <c r="AC896" s="3"/>
    </row>
    <row r="897" spans="1:29" hidden="1" outlineLevel="1" x14ac:dyDescent="0.2">
      <c r="A897" s="3"/>
      <c r="B897" s="1047" t="s">
        <v>129</v>
      </c>
      <c r="C897" s="529" t="s">
        <v>129</v>
      </c>
      <c r="D897" s="529" t="s">
        <v>129</v>
      </c>
      <c r="E897" s="529" t="s">
        <v>129</v>
      </c>
      <c r="F897" s="529" t="s">
        <v>129</v>
      </c>
      <c r="G897" s="529" t="s">
        <v>129</v>
      </c>
      <c r="H897" s="529" t="s">
        <v>129</v>
      </c>
      <c r="I897" s="529" t="s">
        <v>129</v>
      </c>
      <c r="J897" s="529" t="s">
        <v>129</v>
      </c>
      <c r="K897" s="529" t="s">
        <v>129</v>
      </c>
      <c r="L897" s="1048" t="s">
        <v>129</v>
      </c>
      <c r="M897" s="3"/>
      <c r="N897" s="3"/>
      <c r="O897" s="3"/>
      <c r="P897" s="3"/>
      <c r="Q897" s="3"/>
      <c r="R897" s="3"/>
      <c r="S897" s="3"/>
      <c r="T897" s="3"/>
      <c r="U897" s="3"/>
      <c r="V897" s="3"/>
      <c r="W897" s="3"/>
      <c r="X897" s="3"/>
      <c r="Y897" s="3"/>
      <c r="Z897" s="3"/>
      <c r="AA897" s="3"/>
      <c r="AB897" s="3"/>
      <c r="AC897" s="3"/>
    </row>
    <row r="898" spans="1:29" hidden="1" outlineLevel="1" x14ac:dyDescent="0.2">
      <c r="A898" s="3"/>
      <c r="B898" s="1047" t="s">
        <v>129</v>
      </c>
      <c r="C898" s="529" t="s">
        <v>129</v>
      </c>
      <c r="D898" s="529" t="s">
        <v>129</v>
      </c>
      <c r="E898" s="529" t="s">
        <v>129</v>
      </c>
      <c r="F898" s="529" t="s">
        <v>129</v>
      </c>
      <c r="G898" s="529" t="s">
        <v>129</v>
      </c>
      <c r="H898" s="529" t="s">
        <v>129</v>
      </c>
      <c r="I898" s="529" t="s">
        <v>129</v>
      </c>
      <c r="J898" s="529" t="s">
        <v>129</v>
      </c>
      <c r="K898" s="529" t="s">
        <v>129</v>
      </c>
      <c r="L898" s="1048" t="s">
        <v>129</v>
      </c>
      <c r="M898" s="3"/>
      <c r="N898" s="3"/>
      <c r="O898" s="3"/>
      <c r="P898" s="3"/>
      <c r="Q898" s="3"/>
      <c r="R898" s="3"/>
      <c r="S898" s="3"/>
      <c r="T898" s="3"/>
      <c r="U898" s="3"/>
      <c r="V898" s="3"/>
      <c r="W898" s="3"/>
      <c r="X898" s="3"/>
      <c r="Y898" s="3"/>
      <c r="Z898" s="3"/>
      <c r="AA898" s="3"/>
      <c r="AB898" s="3"/>
      <c r="AC898" s="3"/>
    </row>
    <row r="899" spans="1:29" hidden="1" outlineLevel="1" x14ac:dyDescent="0.2">
      <c r="A899" s="3"/>
      <c r="B899" s="1047" t="s">
        <v>129</v>
      </c>
      <c r="C899" s="529" t="s">
        <v>129</v>
      </c>
      <c r="D899" s="529" t="s">
        <v>129</v>
      </c>
      <c r="E899" s="529" t="s">
        <v>129</v>
      </c>
      <c r="F899" s="529" t="s">
        <v>129</v>
      </c>
      <c r="G899" s="529" t="s">
        <v>129</v>
      </c>
      <c r="H899" s="529" t="s">
        <v>129</v>
      </c>
      <c r="I899" s="529" t="s">
        <v>129</v>
      </c>
      <c r="J899" s="529" t="s">
        <v>129</v>
      </c>
      <c r="K899" s="529" t="s">
        <v>129</v>
      </c>
      <c r="L899" s="1048" t="s">
        <v>129</v>
      </c>
      <c r="M899" s="3"/>
      <c r="N899" s="3"/>
      <c r="O899" s="3"/>
      <c r="P899" s="3"/>
      <c r="Q899" s="3"/>
      <c r="R899" s="3"/>
      <c r="S899" s="3"/>
      <c r="T899" s="3"/>
      <c r="U899" s="3"/>
      <c r="V899" s="3"/>
      <c r="W899" s="3"/>
      <c r="X899" s="3"/>
      <c r="Y899" s="3"/>
      <c r="Z899" s="3"/>
      <c r="AA899" s="3"/>
      <c r="AB899" s="3"/>
      <c r="AC899" s="3"/>
    </row>
    <row r="900" spans="1:29" hidden="1" outlineLevel="1" x14ac:dyDescent="0.2">
      <c r="A900" s="3"/>
      <c r="B900" s="1047" t="s">
        <v>129</v>
      </c>
      <c r="C900" s="529" t="s">
        <v>129</v>
      </c>
      <c r="D900" s="529" t="s">
        <v>129</v>
      </c>
      <c r="E900" s="529" t="s">
        <v>129</v>
      </c>
      <c r="F900" s="529" t="s">
        <v>129</v>
      </c>
      <c r="G900" s="529" t="s">
        <v>129</v>
      </c>
      <c r="H900" s="529" t="s">
        <v>129</v>
      </c>
      <c r="I900" s="529" t="s">
        <v>129</v>
      </c>
      <c r="J900" s="529" t="s">
        <v>129</v>
      </c>
      <c r="K900" s="529" t="s">
        <v>129</v>
      </c>
      <c r="L900" s="1048" t="s">
        <v>129</v>
      </c>
      <c r="M900" s="3"/>
      <c r="N900" s="3"/>
      <c r="O900" s="3"/>
      <c r="P900" s="3"/>
      <c r="Q900" s="3"/>
      <c r="R900" s="3"/>
      <c r="S900" s="3"/>
      <c r="T900" s="3"/>
      <c r="U900" s="3"/>
      <c r="V900" s="3"/>
      <c r="W900" s="3"/>
      <c r="X900" s="3"/>
      <c r="Y900" s="3"/>
      <c r="Z900" s="3"/>
      <c r="AA900" s="3"/>
      <c r="AB900" s="3"/>
      <c r="AC900" s="3"/>
    </row>
    <row r="901" spans="1:29" hidden="1" outlineLevel="1" x14ac:dyDescent="0.2">
      <c r="A901" s="3"/>
      <c r="B901" s="1047" t="s">
        <v>129</v>
      </c>
      <c r="C901" s="529" t="s">
        <v>129</v>
      </c>
      <c r="D901" s="529" t="s">
        <v>129</v>
      </c>
      <c r="E901" s="529" t="s">
        <v>129</v>
      </c>
      <c r="F901" s="529" t="s">
        <v>129</v>
      </c>
      <c r="G901" s="529" t="s">
        <v>129</v>
      </c>
      <c r="H901" s="529" t="s">
        <v>129</v>
      </c>
      <c r="I901" s="529" t="s">
        <v>129</v>
      </c>
      <c r="J901" s="529" t="s">
        <v>129</v>
      </c>
      <c r="K901" s="529" t="s">
        <v>129</v>
      </c>
      <c r="L901" s="1048" t="s">
        <v>129</v>
      </c>
      <c r="M901" s="3"/>
      <c r="N901" s="3"/>
      <c r="O901" s="3"/>
      <c r="P901" s="3"/>
      <c r="Q901" s="3"/>
      <c r="R901" s="3"/>
      <c r="S901" s="3"/>
      <c r="T901" s="3"/>
      <c r="U901" s="3"/>
      <c r="V901" s="3"/>
      <c r="W901" s="3"/>
      <c r="X901" s="3"/>
      <c r="Y901" s="3"/>
      <c r="Z901" s="3"/>
      <c r="AA901" s="3"/>
      <c r="AB901" s="3"/>
      <c r="AC901" s="3"/>
    </row>
    <row r="902" spans="1:29" hidden="1" outlineLevel="1" x14ac:dyDescent="0.2">
      <c r="A902" s="3"/>
      <c r="B902" s="1047" t="s">
        <v>129</v>
      </c>
      <c r="C902" s="529" t="s">
        <v>129</v>
      </c>
      <c r="D902" s="529" t="s">
        <v>129</v>
      </c>
      <c r="E902" s="529" t="s">
        <v>129</v>
      </c>
      <c r="F902" s="529" t="s">
        <v>129</v>
      </c>
      <c r="G902" s="529" t="s">
        <v>129</v>
      </c>
      <c r="H902" s="529" t="s">
        <v>129</v>
      </c>
      <c r="I902" s="529" t="s">
        <v>129</v>
      </c>
      <c r="J902" s="529" t="s">
        <v>129</v>
      </c>
      <c r="K902" s="529" t="s">
        <v>129</v>
      </c>
      <c r="L902" s="1048" t="s">
        <v>129</v>
      </c>
      <c r="M902" s="3"/>
      <c r="N902" s="3"/>
      <c r="O902" s="3"/>
      <c r="P902" s="3"/>
      <c r="Q902" s="3"/>
      <c r="R902" s="3"/>
      <c r="S902" s="3"/>
      <c r="T902" s="3"/>
      <c r="U902" s="3"/>
      <c r="V902" s="3"/>
      <c r="W902" s="3"/>
      <c r="X902" s="3"/>
      <c r="Y902" s="3"/>
      <c r="Z902" s="3"/>
      <c r="AA902" s="3"/>
      <c r="AB902" s="3"/>
      <c r="AC902" s="3"/>
    </row>
    <row r="903" spans="1:29" hidden="1" outlineLevel="1" x14ac:dyDescent="0.2">
      <c r="A903" s="3"/>
      <c r="B903" s="1047" t="s">
        <v>129</v>
      </c>
      <c r="C903" s="529" t="s">
        <v>129</v>
      </c>
      <c r="D903" s="529" t="s">
        <v>129</v>
      </c>
      <c r="E903" s="529" t="s">
        <v>129</v>
      </c>
      <c r="F903" s="529" t="s">
        <v>129</v>
      </c>
      <c r="G903" s="529" t="s">
        <v>129</v>
      </c>
      <c r="H903" s="529" t="s">
        <v>129</v>
      </c>
      <c r="I903" s="529" t="s">
        <v>129</v>
      </c>
      <c r="J903" s="529" t="s">
        <v>129</v>
      </c>
      <c r="K903" s="529" t="s">
        <v>129</v>
      </c>
      <c r="L903" s="1048" t="s">
        <v>129</v>
      </c>
      <c r="M903" s="3"/>
      <c r="N903" s="3"/>
      <c r="O903" s="3"/>
      <c r="P903" s="3"/>
      <c r="Q903" s="3"/>
      <c r="R903" s="3"/>
      <c r="S903" s="3"/>
      <c r="T903" s="3"/>
      <c r="U903" s="3"/>
      <c r="V903" s="3"/>
      <c r="W903" s="3"/>
      <c r="X903" s="3"/>
      <c r="Y903" s="3"/>
      <c r="Z903" s="3"/>
      <c r="AA903" s="3"/>
      <c r="AB903" s="3"/>
      <c r="AC903" s="3"/>
    </row>
    <row r="904" spans="1:29" hidden="1" outlineLevel="1" x14ac:dyDescent="0.2">
      <c r="A904" s="3"/>
      <c r="B904" s="1047" t="s">
        <v>129</v>
      </c>
      <c r="C904" s="529" t="s">
        <v>129</v>
      </c>
      <c r="D904" s="529" t="s">
        <v>129</v>
      </c>
      <c r="E904" s="529" t="s">
        <v>129</v>
      </c>
      <c r="F904" s="529" t="s">
        <v>129</v>
      </c>
      <c r="G904" s="529" t="s">
        <v>129</v>
      </c>
      <c r="H904" s="529" t="s">
        <v>129</v>
      </c>
      <c r="I904" s="529" t="s">
        <v>129</v>
      </c>
      <c r="J904" s="529" t="s">
        <v>129</v>
      </c>
      <c r="K904" s="529" t="s">
        <v>129</v>
      </c>
      <c r="L904" s="1048" t="s">
        <v>129</v>
      </c>
      <c r="M904" s="3"/>
      <c r="N904" s="3"/>
      <c r="O904" s="3"/>
      <c r="P904" s="3"/>
      <c r="Q904" s="3"/>
      <c r="R904" s="3"/>
      <c r="S904" s="3"/>
      <c r="T904" s="3"/>
      <c r="U904" s="3"/>
      <c r="V904" s="3"/>
      <c r="W904" s="3"/>
      <c r="X904" s="3"/>
      <c r="Y904" s="3"/>
      <c r="Z904" s="3"/>
      <c r="AA904" s="3"/>
      <c r="AB904" s="3"/>
      <c r="AC904" s="3"/>
    </row>
    <row r="905" spans="1:29" hidden="1" outlineLevel="1" x14ac:dyDescent="0.2">
      <c r="A905" s="3"/>
      <c r="B905" s="1047" t="s">
        <v>129</v>
      </c>
      <c r="C905" s="529" t="s">
        <v>129</v>
      </c>
      <c r="D905" s="529" t="s">
        <v>129</v>
      </c>
      <c r="E905" s="529" t="s">
        <v>129</v>
      </c>
      <c r="F905" s="529" t="s">
        <v>129</v>
      </c>
      <c r="G905" s="529" t="s">
        <v>129</v>
      </c>
      <c r="H905" s="529" t="s">
        <v>129</v>
      </c>
      <c r="I905" s="529" t="s">
        <v>129</v>
      </c>
      <c r="J905" s="529" t="s">
        <v>129</v>
      </c>
      <c r="K905" s="529" t="s">
        <v>129</v>
      </c>
      <c r="L905" s="1048" t="s">
        <v>129</v>
      </c>
      <c r="M905" s="3"/>
      <c r="N905" s="3"/>
      <c r="O905" s="3"/>
      <c r="P905" s="3"/>
      <c r="Q905" s="3"/>
      <c r="R905" s="3"/>
      <c r="S905" s="3"/>
      <c r="T905" s="3"/>
      <c r="U905" s="3"/>
      <c r="V905" s="3"/>
      <c r="W905" s="3"/>
      <c r="X905" s="3"/>
      <c r="Y905" s="3"/>
      <c r="Z905" s="3"/>
      <c r="AA905" s="3"/>
      <c r="AB905" s="3"/>
      <c r="AC905" s="3"/>
    </row>
    <row r="906" spans="1:29" hidden="1" outlineLevel="1" x14ac:dyDescent="0.2">
      <c r="A906" s="3"/>
      <c r="B906" s="1047" t="s">
        <v>129</v>
      </c>
      <c r="C906" s="529" t="s">
        <v>129</v>
      </c>
      <c r="D906" s="529" t="s">
        <v>129</v>
      </c>
      <c r="E906" s="529" t="s">
        <v>129</v>
      </c>
      <c r="F906" s="529" t="s">
        <v>129</v>
      </c>
      <c r="G906" s="529" t="s">
        <v>129</v>
      </c>
      <c r="H906" s="529" t="s">
        <v>129</v>
      </c>
      <c r="I906" s="529" t="s">
        <v>129</v>
      </c>
      <c r="J906" s="529" t="s">
        <v>129</v>
      </c>
      <c r="K906" s="529" t="s">
        <v>129</v>
      </c>
      <c r="L906" s="1048" t="s">
        <v>129</v>
      </c>
      <c r="M906" s="3"/>
      <c r="N906" s="3"/>
      <c r="O906" s="3"/>
      <c r="P906" s="3"/>
      <c r="Q906" s="3"/>
      <c r="R906" s="3"/>
      <c r="S906" s="3"/>
      <c r="T906" s="3"/>
      <c r="U906" s="3"/>
      <c r="V906" s="3"/>
      <c r="W906" s="3"/>
      <c r="X906" s="3"/>
      <c r="Y906" s="3"/>
      <c r="Z906" s="3"/>
      <c r="AA906" s="3"/>
      <c r="AB906" s="3"/>
      <c r="AC906" s="3"/>
    </row>
    <row r="907" spans="1:29" hidden="1" outlineLevel="1" x14ac:dyDescent="0.2">
      <c r="A907" s="3"/>
      <c r="B907" s="1047" t="s">
        <v>129</v>
      </c>
      <c r="C907" s="529" t="s">
        <v>129</v>
      </c>
      <c r="D907" s="529" t="s">
        <v>129</v>
      </c>
      <c r="E907" s="529" t="s">
        <v>129</v>
      </c>
      <c r="F907" s="529" t="s">
        <v>129</v>
      </c>
      <c r="G907" s="529" t="s">
        <v>129</v>
      </c>
      <c r="H907" s="529" t="s">
        <v>129</v>
      </c>
      <c r="I907" s="529" t="s">
        <v>129</v>
      </c>
      <c r="J907" s="529" t="s">
        <v>129</v>
      </c>
      <c r="K907" s="529" t="s">
        <v>129</v>
      </c>
      <c r="L907" s="1048" t="s">
        <v>129</v>
      </c>
      <c r="M907" s="3"/>
      <c r="N907" s="3"/>
      <c r="O907" s="3"/>
      <c r="P907" s="3"/>
      <c r="Q907" s="3"/>
      <c r="R907" s="3"/>
      <c r="S907" s="3"/>
      <c r="T907" s="3"/>
      <c r="U907" s="3"/>
      <c r="V907" s="3"/>
      <c r="W907" s="3"/>
      <c r="X907" s="3"/>
      <c r="Y907" s="3"/>
      <c r="Z907" s="3"/>
      <c r="AA907" s="3"/>
      <c r="AB907" s="3"/>
      <c r="AC907" s="3"/>
    </row>
    <row r="908" spans="1:29" hidden="1" outlineLevel="1" x14ac:dyDescent="0.2">
      <c r="A908" s="3"/>
      <c r="B908" s="1047" t="s">
        <v>129</v>
      </c>
      <c r="C908" s="529" t="s">
        <v>129</v>
      </c>
      <c r="D908" s="529" t="s">
        <v>129</v>
      </c>
      <c r="E908" s="529" t="s">
        <v>129</v>
      </c>
      <c r="F908" s="529" t="s">
        <v>129</v>
      </c>
      <c r="G908" s="529" t="s">
        <v>129</v>
      </c>
      <c r="H908" s="529" t="s">
        <v>129</v>
      </c>
      <c r="I908" s="529" t="s">
        <v>129</v>
      </c>
      <c r="J908" s="529" t="s">
        <v>129</v>
      </c>
      <c r="K908" s="529" t="s">
        <v>129</v>
      </c>
      <c r="L908" s="1048" t="s">
        <v>129</v>
      </c>
      <c r="M908" s="3"/>
      <c r="N908" s="3"/>
      <c r="O908" s="3"/>
      <c r="P908" s="3"/>
      <c r="Q908" s="3"/>
      <c r="R908" s="3"/>
      <c r="S908" s="3"/>
      <c r="T908" s="3"/>
      <c r="U908" s="3"/>
      <c r="V908" s="3"/>
      <c r="W908" s="3"/>
      <c r="X908" s="3"/>
      <c r="Y908" s="3"/>
      <c r="Z908" s="3"/>
      <c r="AA908" s="3"/>
      <c r="AB908" s="3"/>
      <c r="AC908" s="3"/>
    </row>
    <row r="909" spans="1:29" hidden="1" outlineLevel="1" x14ac:dyDescent="0.2">
      <c r="A909" s="3"/>
      <c r="B909" s="1047" t="s">
        <v>129</v>
      </c>
      <c r="C909" s="529" t="s">
        <v>129</v>
      </c>
      <c r="D909" s="529" t="s">
        <v>129</v>
      </c>
      <c r="E909" s="529" t="s">
        <v>129</v>
      </c>
      <c r="F909" s="529" t="s">
        <v>129</v>
      </c>
      <c r="G909" s="529" t="s">
        <v>129</v>
      </c>
      <c r="H909" s="529" t="s">
        <v>129</v>
      </c>
      <c r="I909" s="529" t="s">
        <v>129</v>
      </c>
      <c r="J909" s="529" t="s">
        <v>129</v>
      </c>
      <c r="K909" s="529" t="s">
        <v>129</v>
      </c>
      <c r="L909" s="1048" t="s">
        <v>129</v>
      </c>
      <c r="M909" s="3"/>
      <c r="N909" s="3"/>
      <c r="O909" s="3"/>
      <c r="P909" s="3"/>
      <c r="Q909" s="3"/>
      <c r="R909" s="3"/>
      <c r="S909" s="3"/>
      <c r="T909" s="3"/>
      <c r="U909" s="3"/>
      <c r="V909" s="3"/>
      <c r="W909" s="3"/>
      <c r="X909" s="3"/>
      <c r="Y909" s="3"/>
      <c r="Z909" s="3"/>
      <c r="AA909" s="3"/>
      <c r="AB909" s="3"/>
      <c r="AC909" s="3"/>
    </row>
    <row r="910" spans="1:29" hidden="1" outlineLevel="1" x14ac:dyDescent="0.2">
      <c r="A910" s="3"/>
      <c r="B910" s="1047" t="s">
        <v>129</v>
      </c>
      <c r="C910" s="529" t="s">
        <v>129</v>
      </c>
      <c r="D910" s="529" t="s">
        <v>129</v>
      </c>
      <c r="E910" s="529" t="s">
        <v>129</v>
      </c>
      <c r="F910" s="529" t="s">
        <v>129</v>
      </c>
      <c r="G910" s="529" t="s">
        <v>129</v>
      </c>
      <c r="H910" s="529" t="s">
        <v>129</v>
      </c>
      <c r="I910" s="529" t="s">
        <v>129</v>
      </c>
      <c r="J910" s="529" t="s">
        <v>129</v>
      </c>
      <c r="K910" s="529" t="s">
        <v>129</v>
      </c>
      <c r="L910" s="1048" t="s">
        <v>129</v>
      </c>
      <c r="M910" s="3"/>
      <c r="N910" s="3"/>
      <c r="O910" s="3"/>
      <c r="P910" s="3"/>
      <c r="Q910" s="3"/>
      <c r="R910" s="3"/>
      <c r="S910" s="3"/>
      <c r="T910" s="3"/>
      <c r="U910" s="3"/>
      <c r="V910" s="3"/>
      <c r="W910" s="3"/>
      <c r="X910" s="3"/>
      <c r="Y910" s="3"/>
      <c r="Z910" s="3"/>
      <c r="AA910" s="3"/>
      <c r="AB910" s="3"/>
      <c r="AC910" s="3"/>
    </row>
    <row r="911" spans="1:29" hidden="1" outlineLevel="1" x14ac:dyDescent="0.2">
      <c r="A911" s="3"/>
      <c r="B911" s="1047" t="s">
        <v>129</v>
      </c>
      <c r="C911" s="529" t="s">
        <v>129</v>
      </c>
      <c r="D911" s="529" t="s">
        <v>129</v>
      </c>
      <c r="E911" s="529" t="s">
        <v>129</v>
      </c>
      <c r="F911" s="529" t="s">
        <v>129</v>
      </c>
      <c r="G911" s="529" t="s">
        <v>129</v>
      </c>
      <c r="H911" s="529" t="s">
        <v>129</v>
      </c>
      <c r="I911" s="529" t="s">
        <v>129</v>
      </c>
      <c r="J911" s="529" t="s">
        <v>129</v>
      </c>
      <c r="K911" s="529" t="s">
        <v>129</v>
      </c>
      <c r="L911" s="1048" t="s">
        <v>129</v>
      </c>
      <c r="M911" s="3"/>
      <c r="N911" s="3"/>
      <c r="O911" s="3"/>
      <c r="P911" s="3"/>
      <c r="Q911" s="3"/>
      <c r="R911" s="3"/>
      <c r="S911" s="3"/>
      <c r="T911" s="3"/>
      <c r="U911" s="3"/>
      <c r="V911" s="3"/>
      <c r="W911" s="3"/>
      <c r="X911" s="3"/>
      <c r="Y911" s="3"/>
      <c r="Z911" s="3"/>
      <c r="AA911" s="3"/>
      <c r="AB911" s="3"/>
      <c r="AC911" s="3"/>
    </row>
    <row r="912" spans="1:29" hidden="1" outlineLevel="1" x14ac:dyDescent="0.2">
      <c r="A912" s="3"/>
      <c r="B912" s="1047" t="s">
        <v>129</v>
      </c>
      <c r="C912" s="529" t="s">
        <v>129</v>
      </c>
      <c r="D912" s="529" t="s">
        <v>129</v>
      </c>
      <c r="E912" s="529" t="s">
        <v>129</v>
      </c>
      <c r="F912" s="529" t="s">
        <v>129</v>
      </c>
      <c r="G912" s="529" t="s">
        <v>129</v>
      </c>
      <c r="H912" s="529" t="s">
        <v>129</v>
      </c>
      <c r="I912" s="529" t="s">
        <v>129</v>
      </c>
      <c r="J912" s="529" t="s">
        <v>129</v>
      </c>
      <c r="K912" s="529" t="s">
        <v>129</v>
      </c>
      <c r="L912" s="1048" t="s">
        <v>129</v>
      </c>
      <c r="M912" s="3"/>
      <c r="N912" s="3"/>
      <c r="O912" s="3"/>
      <c r="P912" s="3"/>
      <c r="Q912" s="3"/>
      <c r="R912" s="3"/>
      <c r="S912" s="3"/>
      <c r="T912" s="3"/>
      <c r="U912" s="3"/>
      <c r="V912" s="3"/>
      <c r="W912" s="3"/>
      <c r="X912" s="3"/>
      <c r="Y912" s="3"/>
      <c r="Z912" s="3"/>
      <c r="AA912" s="3"/>
      <c r="AB912" s="3"/>
      <c r="AC912" s="3"/>
    </row>
    <row r="913" spans="1:29" hidden="1" outlineLevel="1" x14ac:dyDescent="0.2">
      <c r="A913" s="3"/>
      <c r="B913" s="1047" t="s">
        <v>129</v>
      </c>
      <c r="C913" s="529" t="s">
        <v>129</v>
      </c>
      <c r="D913" s="529" t="s">
        <v>129</v>
      </c>
      <c r="E913" s="529" t="s">
        <v>129</v>
      </c>
      <c r="F913" s="529" t="s">
        <v>129</v>
      </c>
      <c r="G913" s="529" t="s">
        <v>129</v>
      </c>
      <c r="H913" s="529" t="s">
        <v>129</v>
      </c>
      <c r="I913" s="529" t="s">
        <v>129</v>
      </c>
      <c r="J913" s="529" t="s">
        <v>129</v>
      </c>
      <c r="K913" s="529" t="s">
        <v>129</v>
      </c>
      <c r="L913" s="1048" t="s">
        <v>129</v>
      </c>
      <c r="M913" s="3"/>
      <c r="N913" s="3"/>
      <c r="O913" s="3"/>
      <c r="P913" s="3"/>
      <c r="Q913" s="3"/>
      <c r="R913" s="3"/>
      <c r="S913" s="3"/>
      <c r="T913" s="3"/>
      <c r="U913" s="3"/>
      <c r="V913" s="3"/>
      <c r="W913" s="3"/>
      <c r="X913" s="3"/>
      <c r="Y913" s="3"/>
      <c r="Z913" s="3"/>
      <c r="AA913" s="3"/>
      <c r="AB913" s="3"/>
      <c r="AC913" s="3"/>
    </row>
    <row r="914" spans="1:29" hidden="1" outlineLevel="1" x14ac:dyDescent="0.2">
      <c r="A914" s="3"/>
      <c r="B914" s="1047" t="s">
        <v>129</v>
      </c>
      <c r="C914" s="529" t="s">
        <v>129</v>
      </c>
      <c r="D914" s="529" t="s">
        <v>129</v>
      </c>
      <c r="E914" s="529" t="s">
        <v>129</v>
      </c>
      <c r="F914" s="529" t="s">
        <v>129</v>
      </c>
      <c r="G914" s="529" t="s">
        <v>129</v>
      </c>
      <c r="H914" s="529" t="s">
        <v>129</v>
      </c>
      <c r="I914" s="529" t="s">
        <v>129</v>
      </c>
      <c r="J914" s="529" t="s">
        <v>129</v>
      </c>
      <c r="K914" s="529" t="s">
        <v>129</v>
      </c>
      <c r="L914" s="1048" t="s">
        <v>129</v>
      </c>
      <c r="M914" s="3"/>
      <c r="N914" s="3"/>
      <c r="O914" s="3"/>
      <c r="P914" s="3"/>
      <c r="Q914" s="3"/>
      <c r="R914" s="3"/>
      <c r="S914" s="3"/>
      <c r="T914" s="3"/>
      <c r="U914" s="3"/>
      <c r="V914" s="3"/>
      <c r="W914" s="3"/>
      <c r="X914" s="3"/>
      <c r="Y914" s="3"/>
      <c r="Z914" s="3"/>
      <c r="AA914" s="3"/>
      <c r="AB914" s="3"/>
      <c r="AC914" s="3"/>
    </row>
    <row r="915" spans="1:29" hidden="1" outlineLevel="1" x14ac:dyDescent="0.2">
      <c r="A915" s="3"/>
      <c r="B915" s="1047" t="s">
        <v>129</v>
      </c>
      <c r="C915" s="529" t="s">
        <v>129</v>
      </c>
      <c r="D915" s="529" t="s">
        <v>129</v>
      </c>
      <c r="E915" s="529" t="s">
        <v>129</v>
      </c>
      <c r="F915" s="529" t="s">
        <v>129</v>
      </c>
      <c r="G915" s="529" t="s">
        <v>129</v>
      </c>
      <c r="H915" s="529" t="s">
        <v>129</v>
      </c>
      <c r="I915" s="529" t="s">
        <v>129</v>
      </c>
      <c r="J915" s="529" t="s">
        <v>129</v>
      </c>
      <c r="K915" s="529" t="s">
        <v>129</v>
      </c>
      <c r="L915" s="1048" t="s">
        <v>129</v>
      </c>
      <c r="M915" s="3"/>
      <c r="N915" s="3"/>
      <c r="O915" s="3"/>
      <c r="P915" s="3"/>
      <c r="Q915" s="3"/>
      <c r="R915" s="3"/>
      <c r="S915" s="3"/>
      <c r="T915" s="3"/>
      <c r="U915" s="3"/>
      <c r="V915" s="3"/>
      <c r="W915" s="3"/>
      <c r="X915" s="3"/>
      <c r="Y915" s="3"/>
      <c r="Z915" s="3"/>
      <c r="AA915" s="3"/>
      <c r="AB915" s="3"/>
      <c r="AC915" s="3"/>
    </row>
    <row r="916" spans="1:29" hidden="1" outlineLevel="1" x14ac:dyDescent="0.2">
      <c r="A916" s="3"/>
      <c r="B916" s="1047" t="s">
        <v>129</v>
      </c>
      <c r="C916" s="529" t="s">
        <v>129</v>
      </c>
      <c r="D916" s="529" t="s">
        <v>129</v>
      </c>
      <c r="E916" s="529" t="s">
        <v>129</v>
      </c>
      <c r="F916" s="529" t="s">
        <v>129</v>
      </c>
      <c r="G916" s="529" t="s">
        <v>129</v>
      </c>
      <c r="H916" s="529" t="s">
        <v>129</v>
      </c>
      <c r="I916" s="529" t="s">
        <v>129</v>
      </c>
      <c r="J916" s="529" t="s">
        <v>129</v>
      </c>
      <c r="K916" s="529" t="s">
        <v>129</v>
      </c>
      <c r="L916" s="1048" t="s">
        <v>129</v>
      </c>
      <c r="M916" s="3"/>
      <c r="N916" s="3"/>
      <c r="O916" s="3"/>
      <c r="P916" s="3"/>
      <c r="Q916" s="3"/>
      <c r="R916" s="3"/>
      <c r="S916" s="3"/>
      <c r="T916" s="3"/>
      <c r="U916" s="3"/>
      <c r="V916" s="3"/>
      <c r="W916" s="3"/>
      <c r="X916" s="3"/>
      <c r="Y916" s="3"/>
      <c r="Z916" s="3"/>
      <c r="AA916" s="3"/>
      <c r="AB916" s="3"/>
      <c r="AC916" s="3"/>
    </row>
    <row r="917" spans="1:29" hidden="1" outlineLevel="1" x14ac:dyDescent="0.2">
      <c r="A917" s="3"/>
      <c r="B917" s="1047" t="s">
        <v>129</v>
      </c>
      <c r="C917" s="529" t="s">
        <v>129</v>
      </c>
      <c r="D917" s="529" t="s">
        <v>129</v>
      </c>
      <c r="E917" s="529" t="s">
        <v>129</v>
      </c>
      <c r="F917" s="529" t="s">
        <v>129</v>
      </c>
      <c r="G917" s="529" t="s">
        <v>129</v>
      </c>
      <c r="H917" s="529" t="s">
        <v>129</v>
      </c>
      <c r="I917" s="529" t="s">
        <v>129</v>
      </c>
      <c r="J917" s="529" t="s">
        <v>129</v>
      </c>
      <c r="K917" s="529" t="s">
        <v>129</v>
      </c>
      <c r="L917" s="1048" t="s">
        <v>129</v>
      </c>
      <c r="M917" s="3"/>
      <c r="N917" s="3"/>
      <c r="O917" s="3"/>
      <c r="P917" s="3"/>
      <c r="Q917" s="3"/>
      <c r="R917" s="3"/>
      <c r="S917" s="3"/>
      <c r="T917" s="3"/>
      <c r="U917" s="3"/>
      <c r="V917" s="3"/>
      <c r="W917" s="3"/>
      <c r="X917" s="3"/>
      <c r="Y917" s="3"/>
      <c r="Z917" s="3"/>
      <c r="AA917" s="3"/>
      <c r="AB917" s="3"/>
      <c r="AC917" s="3"/>
    </row>
    <row r="918" spans="1:29" hidden="1" outlineLevel="1" x14ac:dyDescent="0.2">
      <c r="A918" s="3"/>
      <c r="B918" s="1047" t="s">
        <v>129</v>
      </c>
      <c r="C918" s="529" t="s">
        <v>129</v>
      </c>
      <c r="D918" s="529" t="s">
        <v>129</v>
      </c>
      <c r="E918" s="529" t="s">
        <v>129</v>
      </c>
      <c r="F918" s="529" t="s">
        <v>129</v>
      </c>
      <c r="G918" s="529" t="s">
        <v>129</v>
      </c>
      <c r="H918" s="529" t="s">
        <v>129</v>
      </c>
      <c r="I918" s="529" t="s">
        <v>129</v>
      </c>
      <c r="J918" s="529" t="s">
        <v>129</v>
      </c>
      <c r="K918" s="529" t="s">
        <v>129</v>
      </c>
      <c r="L918" s="1048" t="s">
        <v>129</v>
      </c>
      <c r="M918" s="3"/>
      <c r="N918" s="3"/>
      <c r="O918" s="3"/>
      <c r="P918" s="3"/>
      <c r="Q918" s="3"/>
      <c r="R918" s="3"/>
      <c r="S918" s="3"/>
      <c r="T918" s="3"/>
      <c r="U918" s="3"/>
      <c r="V918" s="3"/>
      <c r="W918" s="3"/>
      <c r="X918" s="3"/>
      <c r="Y918" s="3"/>
      <c r="Z918" s="3"/>
      <c r="AA918" s="3"/>
      <c r="AB918" s="3"/>
      <c r="AC918" s="3"/>
    </row>
    <row r="919" spans="1:29" hidden="1" outlineLevel="1" x14ac:dyDescent="0.2">
      <c r="A919" s="3"/>
      <c r="B919" s="1047" t="s">
        <v>129</v>
      </c>
      <c r="C919" s="529" t="s">
        <v>129</v>
      </c>
      <c r="D919" s="529" t="s">
        <v>129</v>
      </c>
      <c r="E919" s="529" t="s">
        <v>129</v>
      </c>
      <c r="F919" s="529" t="s">
        <v>129</v>
      </c>
      <c r="G919" s="529" t="s">
        <v>129</v>
      </c>
      <c r="H919" s="529" t="s">
        <v>129</v>
      </c>
      <c r="I919" s="529" t="s">
        <v>129</v>
      </c>
      <c r="J919" s="529" t="s">
        <v>129</v>
      </c>
      <c r="K919" s="529" t="s">
        <v>129</v>
      </c>
      <c r="L919" s="1048" t="s">
        <v>129</v>
      </c>
      <c r="M919" s="3"/>
      <c r="N919" s="3"/>
      <c r="O919" s="3"/>
      <c r="P919" s="3"/>
      <c r="Q919" s="3"/>
      <c r="R919" s="3"/>
      <c r="S919" s="3"/>
      <c r="T919" s="3"/>
      <c r="U919" s="3"/>
      <c r="V919" s="3"/>
      <c r="W919" s="3"/>
      <c r="X919" s="3"/>
      <c r="Y919" s="3"/>
      <c r="Z919" s="3"/>
      <c r="AA919" s="3"/>
      <c r="AB919" s="3"/>
      <c r="AC919" s="3"/>
    </row>
    <row r="920" spans="1:29" hidden="1" outlineLevel="1" x14ac:dyDescent="0.2">
      <c r="A920" s="3"/>
      <c r="B920" s="1047" t="s">
        <v>129</v>
      </c>
      <c r="C920" s="529" t="s">
        <v>129</v>
      </c>
      <c r="D920" s="529" t="s">
        <v>129</v>
      </c>
      <c r="E920" s="529" t="s">
        <v>129</v>
      </c>
      <c r="F920" s="529" t="s">
        <v>129</v>
      </c>
      <c r="G920" s="529" t="s">
        <v>129</v>
      </c>
      <c r="H920" s="529" t="s">
        <v>129</v>
      </c>
      <c r="I920" s="529" t="s">
        <v>129</v>
      </c>
      <c r="J920" s="529" t="s">
        <v>129</v>
      </c>
      <c r="K920" s="529" t="s">
        <v>129</v>
      </c>
      <c r="L920" s="1048" t="s">
        <v>129</v>
      </c>
      <c r="M920" s="3"/>
      <c r="N920" s="3"/>
      <c r="O920" s="3"/>
      <c r="P920" s="3"/>
      <c r="Q920" s="3"/>
      <c r="R920" s="3"/>
      <c r="S920" s="3"/>
      <c r="T920" s="3"/>
      <c r="U920" s="3"/>
      <c r="V920" s="3"/>
      <c r="W920" s="3"/>
      <c r="X920" s="3"/>
      <c r="Y920" s="3"/>
      <c r="Z920" s="3"/>
      <c r="AA920" s="3"/>
      <c r="AB920" s="3"/>
      <c r="AC920" s="3"/>
    </row>
    <row r="921" spans="1:29" hidden="1" outlineLevel="1" x14ac:dyDescent="0.2">
      <c r="A921" s="3"/>
      <c r="B921" s="1047" t="s">
        <v>129</v>
      </c>
      <c r="C921" s="529" t="s">
        <v>129</v>
      </c>
      <c r="D921" s="529" t="s">
        <v>129</v>
      </c>
      <c r="E921" s="529" t="s">
        <v>129</v>
      </c>
      <c r="F921" s="529" t="s">
        <v>129</v>
      </c>
      <c r="G921" s="529" t="s">
        <v>129</v>
      </c>
      <c r="H921" s="529" t="s">
        <v>129</v>
      </c>
      <c r="I921" s="529" t="s">
        <v>129</v>
      </c>
      <c r="J921" s="529" t="s">
        <v>129</v>
      </c>
      <c r="K921" s="529" t="s">
        <v>129</v>
      </c>
      <c r="L921" s="1048" t="s">
        <v>129</v>
      </c>
      <c r="M921" s="3"/>
      <c r="N921" s="3"/>
      <c r="O921" s="3"/>
      <c r="P921" s="3"/>
      <c r="Q921" s="3"/>
      <c r="R921" s="3"/>
      <c r="S921" s="3"/>
      <c r="T921" s="3"/>
      <c r="U921" s="3"/>
      <c r="V921" s="3"/>
      <c r="W921" s="3"/>
      <c r="X921" s="3"/>
      <c r="Y921" s="3"/>
      <c r="Z921" s="3"/>
      <c r="AA921" s="3"/>
      <c r="AB921" s="3"/>
      <c r="AC921" s="3"/>
    </row>
    <row r="922" spans="1:29" hidden="1" outlineLevel="1" x14ac:dyDescent="0.2">
      <c r="A922" s="3"/>
      <c r="B922" s="1047" t="s">
        <v>129</v>
      </c>
      <c r="C922" s="529" t="s">
        <v>129</v>
      </c>
      <c r="D922" s="529" t="s">
        <v>129</v>
      </c>
      <c r="E922" s="529" t="s">
        <v>129</v>
      </c>
      <c r="F922" s="529" t="s">
        <v>129</v>
      </c>
      <c r="G922" s="529" t="s">
        <v>129</v>
      </c>
      <c r="H922" s="529" t="s">
        <v>129</v>
      </c>
      <c r="I922" s="529" t="s">
        <v>129</v>
      </c>
      <c r="J922" s="529" t="s">
        <v>129</v>
      </c>
      <c r="K922" s="529" t="s">
        <v>129</v>
      </c>
      <c r="L922" s="1048" t="s">
        <v>129</v>
      </c>
      <c r="M922" s="3"/>
      <c r="N922" s="3"/>
      <c r="O922" s="3"/>
      <c r="P922" s="3"/>
      <c r="Q922" s="3"/>
      <c r="R922" s="3"/>
      <c r="S922" s="3"/>
      <c r="T922" s="3"/>
      <c r="U922" s="3"/>
      <c r="V922" s="3"/>
      <c r="W922" s="3"/>
      <c r="X922" s="3"/>
      <c r="Y922" s="3"/>
      <c r="Z922" s="3"/>
      <c r="AA922" s="3"/>
      <c r="AB922" s="3"/>
      <c r="AC922" s="3"/>
    </row>
    <row r="923" spans="1:29" hidden="1" outlineLevel="1" x14ac:dyDescent="0.2">
      <c r="A923" s="3"/>
      <c r="B923" s="1047" t="s">
        <v>129</v>
      </c>
      <c r="C923" s="529" t="s">
        <v>129</v>
      </c>
      <c r="D923" s="529" t="s">
        <v>129</v>
      </c>
      <c r="E923" s="529" t="s">
        <v>129</v>
      </c>
      <c r="F923" s="529" t="s">
        <v>129</v>
      </c>
      <c r="G923" s="529" t="s">
        <v>129</v>
      </c>
      <c r="H923" s="529" t="s">
        <v>129</v>
      </c>
      <c r="I923" s="529" t="s">
        <v>129</v>
      </c>
      <c r="J923" s="529" t="s">
        <v>129</v>
      </c>
      <c r="K923" s="529" t="s">
        <v>129</v>
      </c>
      <c r="L923" s="1048" t="s">
        <v>129</v>
      </c>
      <c r="M923" s="3"/>
      <c r="N923" s="3"/>
      <c r="O923" s="3"/>
      <c r="P923" s="3"/>
      <c r="Q923" s="3"/>
      <c r="R923" s="3"/>
      <c r="S923" s="3"/>
      <c r="T923" s="3"/>
      <c r="U923" s="3"/>
      <c r="V923" s="3"/>
      <c r="W923" s="3"/>
      <c r="X923" s="3"/>
      <c r="Y923" s="3"/>
      <c r="Z923" s="3"/>
      <c r="AA923" s="3"/>
      <c r="AB923" s="3"/>
      <c r="AC923" s="3"/>
    </row>
    <row r="924" spans="1:29" hidden="1" outlineLevel="1" x14ac:dyDescent="0.2">
      <c r="A924" s="3"/>
      <c r="B924" s="1047" t="s">
        <v>129</v>
      </c>
      <c r="C924" s="529" t="s">
        <v>129</v>
      </c>
      <c r="D924" s="529" t="s">
        <v>129</v>
      </c>
      <c r="E924" s="529" t="s">
        <v>129</v>
      </c>
      <c r="F924" s="529" t="s">
        <v>129</v>
      </c>
      <c r="G924" s="529" t="s">
        <v>129</v>
      </c>
      <c r="H924" s="529" t="s">
        <v>129</v>
      </c>
      <c r="I924" s="529" t="s">
        <v>129</v>
      </c>
      <c r="J924" s="529" t="s">
        <v>129</v>
      </c>
      <c r="K924" s="529" t="s">
        <v>129</v>
      </c>
      <c r="L924" s="1048" t="s">
        <v>129</v>
      </c>
      <c r="M924" s="3"/>
      <c r="N924" s="3"/>
      <c r="O924" s="3"/>
      <c r="P924" s="3"/>
      <c r="Q924" s="3"/>
      <c r="R924" s="3"/>
      <c r="S924" s="3"/>
      <c r="T924" s="3"/>
      <c r="U924" s="3"/>
      <c r="V924" s="3"/>
      <c r="W924" s="3"/>
      <c r="X924" s="3"/>
      <c r="Y924" s="3"/>
      <c r="Z924" s="3"/>
      <c r="AA924" s="3"/>
      <c r="AB924" s="3"/>
      <c r="AC924" s="3"/>
    </row>
    <row r="925" spans="1:29" hidden="1" outlineLevel="1" x14ac:dyDescent="0.2">
      <c r="A925" s="3"/>
      <c r="B925" s="1047" t="s">
        <v>129</v>
      </c>
      <c r="C925" s="529" t="s">
        <v>129</v>
      </c>
      <c r="D925" s="529" t="s">
        <v>129</v>
      </c>
      <c r="E925" s="529" t="s">
        <v>129</v>
      </c>
      <c r="F925" s="529" t="s">
        <v>129</v>
      </c>
      <c r="G925" s="529" t="s">
        <v>129</v>
      </c>
      <c r="H925" s="529" t="s">
        <v>129</v>
      </c>
      <c r="I925" s="529" t="s">
        <v>129</v>
      </c>
      <c r="J925" s="529" t="s">
        <v>129</v>
      </c>
      <c r="K925" s="529" t="s">
        <v>129</v>
      </c>
      <c r="L925" s="1048" t="s">
        <v>129</v>
      </c>
      <c r="M925" s="3"/>
      <c r="N925" s="3"/>
      <c r="O925" s="3"/>
      <c r="P925" s="3"/>
      <c r="Q925" s="3"/>
      <c r="R925" s="3"/>
      <c r="S925" s="3"/>
      <c r="T925" s="3"/>
      <c r="U925" s="3"/>
      <c r="V925" s="3"/>
      <c r="W925" s="3"/>
      <c r="X925" s="3"/>
      <c r="Y925" s="3"/>
      <c r="Z925" s="3"/>
      <c r="AA925" s="3"/>
      <c r="AB925" s="3"/>
      <c r="AC925" s="3"/>
    </row>
    <row r="926" spans="1:29" hidden="1" outlineLevel="1" x14ac:dyDescent="0.2">
      <c r="A926" s="3"/>
      <c r="B926" s="1047" t="s">
        <v>129</v>
      </c>
      <c r="C926" s="529" t="s">
        <v>129</v>
      </c>
      <c r="D926" s="529" t="s">
        <v>129</v>
      </c>
      <c r="E926" s="529" t="s">
        <v>129</v>
      </c>
      <c r="F926" s="529" t="s">
        <v>129</v>
      </c>
      <c r="G926" s="529" t="s">
        <v>129</v>
      </c>
      <c r="H926" s="529" t="s">
        <v>129</v>
      </c>
      <c r="I926" s="529" t="s">
        <v>129</v>
      </c>
      <c r="J926" s="529" t="s">
        <v>129</v>
      </c>
      <c r="K926" s="529" t="s">
        <v>129</v>
      </c>
      <c r="L926" s="1048" t="s">
        <v>129</v>
      </c>
      <c r="M926" s="3"/>
      <c r="N926" s="3"/>
      <c r="O926" s="3"/>
      <c r="P926" s="3"/>
      <c r="Q926" s="3"/>
      <c r="R926" s="3"/>
      <c r="S926" s="3"/>
      <c r="T926" s="3"/>
      <c r="U926" s="3"/>
      <c r="V926" s="3"/>
      <c r="W926" s="3"/>
      <c r="X926" s="3"/>
      <c r="Y926" s="3"/>
      <c r="Z926" s="3"/>
      <c r="AA926" s="3"/>
      <c r="AB926" s="3"/>
      <c r="AC926" s="3"/>
    </row>
    <row r="927" spans="1:29" hidden="1" outlineLevel="1" x14ac:dyDescent="0.2">
      <c r="A927" s="3"/>
      <c r="B927" s="1047" t="s">
        <v>129</v>
      </c>
      <c r="C927" s="529" t="s">
        <v>129</v>
      </c>
      <c r="D927" s="529" t="s">
        <v>129</v>
      </c>
      <c r="E927" s="529" t="s">
        <v>129</v>
      </c>
      <c r="F927" s="529" t="s">
        <v>129</v>
      </c>
      <c r="G927" s="529" t="s">
        <v>129</v>
      </c>
      <c r="H927" s="529" t="s">
        <v>129</v>
      </c>
      <c r="I927" s="529" t="s">
        <v>129</v>
      </c>
      <c r="J927" s="529" t="s">
        <v>129</v>
      </c>
      <c r="K927" s="529" t="s">
        <v>129</v>
      </c>
      <c r="L927" s="1048" t="s">
        <v>129</v>
      </c>
      <c r="M927" s="3"/>
      <c r="N927" s="3"/>
      <c r="O927" s="3"/>
      <c r="P927" s="3"/>
      <c r="Q927" s="3"/>
      <c r="R927" s="3"/>
      <c r="S927" s="3"/>
      <c r="T927" s="3"/>
      <c r="U927" s="3"/>
      <c r="V927" s="3"/>
      <c r="W927" s="3"/>
      <c r="X927" s="3"/>
      <c r="Y927" s="3"/>
      <c r="Z927" s="3"/>
      <c r="AA927" s="3"/>
      <c r="AB927" s="3"/>
      <c r="AC927" s="3"/>
    </row>
    <row r="928" spans="1:29" hidden="1" outlineLevel="1" x14ac:dyDescent="0.2">
      <c r="A928" s="3"/>
      <c r="B928" s="1047" t="s">
        <v>129</v>
      </c>
      <c r="C928" s="529" t="s">
        <v>129</v>
      </c>
      <c r="D928" s="529" t="s">
        <v>129</v>
      </c>
      <c r="E928" s="529" t="s">
        <v>129</v>
      </c>
      <c r="F928" s="529" t="s">
        <v>129</v>
      </c>
      <c r="G928" s="529" t="s">
        <v>129</v>
      </c>
      <c r="H928" s="529" t="s">
        <v>129</v>
      </c>
      <c r="I928" s="529" t="s">
        <v>129</v>
      </c>
      <c r="J928" s="529" t="s">
        <v>129</v>
      </c>
      <c r="K928" s="529" t="s">
        <v>129</v>
      </c>
      <c r="L928" s="1048" t="s">
        <v>129</v>
      </c>
      <c r="M928" s="3"/>
      <c r="N928" s="3"/>
      <c r="O928" s="3"/>
      <c r="P928" s="3"/>
      <c r="Q928" s="3"/>
      <c r="R928" s="3"/>
      <c r="S928" s="3"/>
      <c r="T928" s="3"/>
      <c r="U928" s="3"/>
      <c r="V928" s="3"/>
      <c r="W928" s="3"/>
      <c r="X928" s="3"/>
      <c r="Y928" s="3"/>
      <c r="Z928" s="3"/>
      <c r="AA928" s="3"/>
      <c r="AB928" s="3"/>
      <c r="AC928" s="3"/>
    </row>
    <row r="929" spans="1:29" hidden="1" outlineLevel="1" x14ac:dyDescent="0.2">
      <c r="A929" s="3"/>
      <c r="B929" s="1047" t="s">
        <v>129</v>
      </c>
      <c r="C929" s="529" t="s">
        <v>129</v>
      </c>
      <c r="D929" s="529" t="s">
        <v>129</v>
      </c>
      <c r="E929" s="529" t="s">
        <v>129</v>
      </c>
      <c r="F929" s="529" t="s">
        <v>129</v>
      </c>
      <c r="G929" s="529" t="s">
        <v>129</v>
      </c>
      <c r="H929" s="529" t="s">
        <v>129</v>
      </c>
      <c r="I929" s="529" t="s">
        <v>129</v>
      </c>
      <c r="J929" s="529" t="s">
        <v>129</v>
      </c>
      <c r="K929" s="529" t="s">
        <v>129</v>
      </c>
      <c r="L929" s="1048" t="s">
        <v>129</v>
      </c>
      <c r="M929" s="3"/>
      <c r="N929" s="3"/>
      <c r="O929" s="3"/>
      <c r="P929" s="3"/>
      <c r="Q929" s="3"/>
      <c r="R929" s="3"/>
      <c r="S929" s="3"/>
      <c r="T929" s="3"/>
      <c r="U929" s="3"/>
      <c r="V929" s="3"/>
      <c r="W929" s="3"/>
      <c r="X929" s="3"/>
      <c r="Y929" s="3"/>
      <c r="Z929" s="3"/>
      <c r="AA929" s="3"/>
      <c r="AB929" s="3"/>
      <c r="AC929" s="3"/>
    </row>
    <row r="930" spans="1:29" hidden="1" outlineLevel="1" x14ac:dyDescent="0.2">
      <c r="A930" s="3"/>
      <c r="B930" s="1047" t="s">
        <v>129</v>
      </c>
      <c r="C930" s="529" t="s">
        <v>129</v>
      </c>
      <c r="D930" s="529" t="s">
        <v>129</v>
      </c>
      <c r="E930" s="529" t="s">
        <v>129</v>
      </c>
      <c r="F930" s="529" t="s">
        <v>129</v>
      </c>
      <c r="G930" s="529" t="s">
        <v>129</v>
      </c>
      <c r="H930" s="529" t="s">
        <v>129</v>
      </c>
      <c r="I930" s="529" t="s">
        <v>129</v>
      </c>
      <c r="J930" s="529" t="s">
        <v>129</v>
      </c>
      <c r="K930" s="529" t="s">
        <v>129</v>
      </c>
      <c r="L930" s="1048" t="s">
        <v>129</v>
      </c>
      <c r="M930" s="3"/>
      <c r="N930" s="3"/>
      <c r="O930" s="3"/>
      <c r="P930" s="3"/>
      <c r="Q930" s="3"/>
      <c r="R930" s="3"/>
      <c r="S930" s="3"/>
      <c r="T930" s="3"/>
      <c r="U930" s="3"/>
      <c r="V930" s="3"/>
      <c r="W930" s="3"/>
      <c r="X930" s="3"/>
      <c r="Y930" s="3"/>
      <c r="Z930" s="3"/>
      <c r="AA930" s="3"/>
      <c r="AB930" s="3"/>
      <c r="AC930" s="3"/>
    </row>
    <row r="931" spans="1:29" hidden="1" outlineLevel="1" x14ac:dyDescent="0.2">
      <c r="A931" s="3"/>
      <c r="B931" s="1047" t="s">
        <v>129</v>
      </c>
      <c r="C931" s="529" t="s">
        <v>129</v>
      </c>
      <c r="D931" s="529" t="s">
        <v>129</v>
      </c>
      <c r="E931" s="529" t="s">
        <v>129</v>
      </c>
      <c r="F931" s="529" t="s">
        <v>129</v>
      </c>
      <c r="G931" s="529" t="s">
        <v>129</v>
      </c>
      <c r="H931" s="529" t="s">
        <v>129</v>
      </c>
      <c r="I931" s="529" t="s">
        <v>129</v>
      </c>
      <c r="J931" s="529" t="s">
        <v>129</v>
      </c>
      <c r="K931" s="529" t="s">
        <v>129</v>
      </c>
      <c r="L931" s="1048" t="s">
        <v>129</v>
      </c>
      <c r="M931" s="3"/>
      <c r="N931" s="3"/>
      <c r="O931" s="3"/>
      <c r="P931" s="3"/>
      <c r="Q931" s="3"/>
      <c r="R931" s="3"/>
      <c r="S931" s="3"/>
      <c r="T931" s="3"/>
      <c r="U931" s="3"/>
      <c r="V931" s="3"/>
      <c r="W931" s="3"/>
      <c r="X931" s="3"/>
      <c r="Y931" s="3"/>
      <c r="Z931" s="3"/>
      <c r="AA931" s="3"/>
      <c r="AB931" s="3"/>
      <c r="AC931" s="3"/>
    </row>
    <row r="932" spans="1:29" hidden="1" outlineLevel="1" x14ac:dyDescent="0.2">
      <c r="A932" s="3"/>
      <c r="B932" s="1047" t="s">
        <v>129</v>
      </c>
      <c r="C932" s="529" t="s">
        <v>129</v>
      </c>
      <c r="D932" s="529" t="s">
        <v>129</v>
      </c>
      <c r="E932" s="529" t="s">
        <v>129</v>
      </c>
      <c r="F932" s="529" t="s">
        <v>129</v>
      </c>
      <c r="G932" s="529" t="s">
        <v>129</v>
      </c>
      <c r="H932" s="529" t="s">
        <v>129</v>
      </c>
      <c r="I932" s="529" t="s">
        <v>129</v>
      </c>
      <c r="J932" s="529" t="s">
        <v>129</v>
      </c>
      <c r="K932" s="529" t="s">
        <v>129</v>
      </c>
      <c r="L932" s="1048" t="s">
        <v>129</v>
      </c>
      <c r="M932" s="3"/>
      <c r="N932" s="3"/>
      <c r="O932" s="3"/>
      <c r="P932" s="3"/>
      <c r="Q932" s="3"/>
      <c r="R932" s="3"/>
      <c r="S932" s="3"/>
      <c r="T932" s="3"/>
      <c r="U932" s="3"/>
      <c r="V932" s="3"/>
      <c r="W932" s="3"/>
      <c r="X932" s="3"/>
      <c r="Y932" s="3"/>
      <c r="Z932" s="3"/>
      <c r="AA932" s="3"/>
      <c r="AB932" s="3"/>
      <c r="AC932" s="3"/>
    </row>
    <row r="933" spans="1:29" hidden="1" outlineLevel="1" x14ac:dyDescent="0.2">
      <c r="A933" s="3"/>
      <c r="B933" s="1047" t="s">
        <v>129</v>
      </c>
      <c r="C933" s="529" t="s">
        <v>129</v>
      </c>
      <c r="D933" s="529" t="s">
        <v>129</v>
      </c>
      <c r="E933" s="529" t="s">
        <v>129</v>
      </c>
      <c r="F933" s="529" t="s">
        <v>129</v>
      </c>
      <c r="G933" s="529" t="s">
        <v>129</v>
      </c>
      <c r="H933" s="529" t="s">
        <v>129</v>
      </c>
      <c r="I933" s="529" t="s">
        <v>129</v>
      </c>
      <c r="J933" s="529" t="s">
        <v>129</v>
      </c>
      <c r="K933" s="529" t="s">
        <v>129</v>
      </c>
      <c r="L933" s="1048" t="s">
        <v>129</v>
      </c>
      <c r="M933" s="3"/>
      <c r="N933" s="3"/>
      <c r="O933" s="3"/>
      <c r="P933" s="3"/>
      <c r="Q933" s="3"/>
      <c r="R933" s="3"/>
      <c r="S933" s="3"/>
      <c r="T933" s="3"/>
      <c r="U933" s="3"/>
      <c r="V933" s="3"/>
      <c r="W933" s="3"/>
      <c r="X933" s="3"/>
      <c r="Y933" s="3"/>
      <c r="Z933" s="3"/>
      <c r="AA933" s="3"/>
      <c r="AB933" s="3"/>
      <c r="AC933" s="3"/>
    </row>
    <row r="934" spans="1:29" hidden="1" outlineLevel="1" x14ac:dyDescent="0.2">
      <c r="A934" s="3"/>
      <c r="B934" s="1047" t="s">
        <v>129</v>
      </c>
      <c r="C934" s="529" t="s">
        <v>129</v>
      </c>
      <c r="D934" s="529" t="s">
        <v>129</v>
      </c>
      <c r="E934" s="529" t="s">
        <v>129</v>
      </c>
      <c r="F934" s="529" t="s">
        <v>129</v>
      </c>
      <c r="G934" s="529" t="s">
        <v>129</v>
      </c>
      <c r="H934" s="529" t="s">
        <v>129</v>
      </c>
      <c r="I934" s="529" t="s">
        <v>129</v>
      </c>
      <c r="J934" s="529" t="s">
        <v>129</v>
      </c>
      <c r="K934" s="529" t="s">
        <v>129</v>
      </c>
      <c r="L934" s="1048" t="s">
        <v>129</v>
      </c>
      <c r="M934" s="3"/>
      <c r="N934" s="3"/>
      <c r="O934" s="3"/>
      <c r="P934" s="3"/>
      <c r="Q934" s="3"/>
      <c r="R934" s="3"/>
      <c r="S934" s="3"/>
      <c r="T934" s="3"/>
      <c r="U934" s="3"/>
      <c r="V934" s="3"/>
      <c r="W934" s="3"/>
      <c r="X934" s="3"/>
      <c r="Y934" s="3"/>
      <c r="Z934" s="3"/>
      <c r="AA934" s="3"/>
      <c r="AB934" s="3"/>
      <c r="AC934" s="3"/>
    </row>
    <row r="935" spans="1:29" hidden="1" outlineLevel="1" x14ac:dyDescent="0.2">
      <c r="A935" s="3"/>
      <c r="B935" s="1047" t="s">
        <v>129</v>
      </c>
      <c r="C935" s="529" t="s">
        <v>129</v>
      </c>
      <c r="D935" s="529" t="s">
        <v>129</v>
      </c>
      <c r="E935" s="529" t="s">
        <v>129</v>
      </c>
      <c r="F935" s="529" t="s">
        <v>129</v>
      </c>
      <c r="G935" s="529" t="s">
        <v>129</v>
      </c>
      <c r="H935" s="529" t="s">
        <v>129</v>
      </c>
      <c r="I935" s="529" t="s">
        <v>129</v>
      </c>
      <c r="J935" s="529" t="s">
        <v>129</v>
      </c>
      <c r="K935" s="529" t="s">
        <v>129</v>
      </c>
      <c r="L935" s="1048" t="s">
        <v>129</v>
      </c>
      <c r="M935" s="3"/>
      <c r="N935" s="3"/>
      <c r="O935" s="3"/>
      <c r="P935" s="3"/>
      <c r="Q935" s="3"/>
      <c r="R935" s="3"/>
      <c r="S935" s="3"/>
      <c r="T935" s="3"/>
      <c r="U935" s="3"/>
      <c r="V935" s="3"/>
      <c r="W935" s="3"/>
      <c r="X935" s="3"/>
      <c r="Y935" s="3"/>
      <c r="Z935" s="3"/>
      <c r="AA935" s="3"/>
      <c r="AB935" s="3"/>
      <c r="AC935" s="3"/>
    </row>
    <row r="936" spans="1:29" hidden="1" outlineLevel="1" x14ac:dyDescent="0.2">
      <c r="A936" s="3"/>
      <c r="B936" s="1047" t="s">
        <v>129</v>
      </c>
      <c r="C936" s="529" t="s">
        <v>129</v>
      </c>
      <c r="D936" s="529" t="s">
        <v>129</v>
      </c>
      <c r="E936" s="529" t="s">
        <v>129</v>
      </c>
      <c r="F936" s="529" t="s">
        <v>129</v>
      </c>
      <c r="G936" s="529" t="s">
        <v>129</v>
      </c>
      <c r="H936" s="529" t="s">
        <v>129</v>
      </c>
      <c r="I936" s="529" t="s">
        <v>129</v>
      </c>
      <c r="J936" s="529" t="s">
        <v>129</v>
      </c>
      <c r="K936" s="529" t="s">
        <v>129</v>
      </c>
      <c r="L936" s="1048" t="s">
        <v>129</v>
      </c>
      <c r="M936" s="3"/>
      <c r="N936" s="3"/>
      <c r="O936" s="3"/>
      <c r="P936" s="3"/>
      <c r="Q936" s="3"/>
      <c r="R936" s="3"/>
      <c r="S936" s="3"/>
      <c r="T936" s="3"/>
      <c r="U936" s="3"/>
      <c r="V936" s="3"/>
      <c r="W936" s="3"/>
      <c r="X936" s="3"/>
      <c r="Y936" s="3"/>
      <c r="Z936" s="3"/>
      <c r="AA936" s="3"/>
      <c r="AB936" s="3"/>
      <c r="AC936" s="3"/>
    </row>
    <row r="937" spans="1:29" hidden="1" outlineLevel="1" x14ac:dyDescent="0.2">
      <c r="A937" s="3"/>
      <c r="B937" s="1047" t="s">
        <v>129</v>
      </c>
      <c r="C937" s="529" t="s">
        <v>129</v>
      </c>
      <c r="D937" s="529" t="s">
        <v>129</v>
      </c>
      <c r="E937" s="529" t="s">
        <v>129</v>
      </c>
      <c r="F937" s="529" t="s">
        <v>129</v>
      </c>
      <c r="G937" s="529" t="s">
        <v>129</v>
      </c>
      <c r="H937" s="529" t="s">
        <v>129</v>
      </c>
      <c r="I937" s="529" t="s">
        <v>129</v>
      </c>
      <c r="J937" s="529" t="s">
        <v>129</v>
      </c>
      <c r="K937" s="529" t="s">
        <v>129</v>
      </c>
      <c r="L937" s="1048" t="s">
        <v>129</v>
      </c>
      <c r="M937" s="3"/>
      <c r="N937" s="3"/>
      <c r="O937" s="3"/>
      <c r="P937" s="3"/>
      <c r="Q937" s="3"/>
      <c r="R937" s="3"/>
      <c r="S937" s="3"/>
      <c r="T937" s="3"/>
      <c r="U937" s="3"/>
      <c r="V937" s="3"/>
      <c r="W937" s="3"/>
      <c r="X937" s="3"/>
      <c r="Y937" s="3"/>
      <c r="Z937" s="3"/>
      <c r="AA937" s="3"/>
      <c r="AB937" s="3"/>
      <c r="AC937" s="3"/>
    </row>
    <row r="938" spans="1:29" hidden="1" outlineLevel="1" x14ac:dyDescent="0.2">
      <c r="A938" s="3"/>
      <c r="B938" s="1047" t="s">
        <v>129</v>
      </c>
      <c r="C938" s="529" t="s">
        <v>129</v>
      </c>
      <c r="D938" s="529" t="s">
        <v>129</v>
      </c>
      <c r="E938" s="529" t="s">
        <v>129</v>
      </c>
      <c r="F938" s="529" t="s">
        <v>129</v>
      </c>
      <c r="G938" s="529" t="s">
        <v>129</v>
      </c>
      <c r="H938" s="529" t="s">
        <v>129</v>
      </c>
      <c r="I938" s="529" t="s">
        <v>129</v>
      </c>
      <c r="J938" s="529" t="s">
        <v>129</v>
      </c>
      <c r="K938" s="529" t="s">
        <v>129</v>
      </c>
      <c r="L938" s="1048" t="s">
        <v>129</v>
      </c>
      <c r="M938" s="3"/>
      <c r="N938" s="3"/>
      <c r="O938" s="3"/>
      <c r="P938" s="3"/>
      <c r="Q938" s="3"/>
      <c r="R938" s="3"/>
      <c r="S938" s="3"/>
      <c r="T938" s="3"/>
      <c r="U938" s="3"/>
      <c r="V938" s="3"/>
      <c r="W938" s="3"/>
      <c r="X938" s="3"/>
      <c r="Y938" s="3"/>
      <c r="Z938" s="3"/>
      <c r="AA938" s="3"/>
      <c r="AB938" s="3"/>
      <c r="AC938" s="3"/>
    </row>
    <row r="939" spans="1:29" hidden="1" outlineLevel="1" x14ac:dyDescent="0.2">
      <c r="A939" s="3"/>
      <c r="B939" s="1047" t="s">
        <v>129</v>
      </c>
      <c r="C939" s="529" t="s">
        <v>129</v>
      </c>
      <c r="D939" s="529" t="s">
        <v>129</v>
      </c>
      <c r="E939" s="529" t="s">
        <v>129</v>
      </c>
      <c r="F939" s="529" t="s">
        <v>129</v>
      </c>
      <c r="G939" s="529" t="s">
        <v>129</v>
      </c>
      <c r="H939" s="529" t="s">
        <v>129</v>
      </c>
      <c r="I939" s="529" t="s">
        <v>129</v>
      </c>
      <c r="J939" s="529" t="s">
        <v>129</v>
      </c>
      <c r="K939" s="529" t="s">
        <v>129</v>
      </c>
      <c r="L939" s="1048" t="s">
        <v>129</v>
      </c>
      <c r="M939" s="3"/>
      <c r="N939" s="3"/>
      <c r="O939" s="3"/>
      <c r="P939" s="3"/>
      <c r="Q939" s="3"/>
      <c r="R939" s="3"/>
      <c r="S939" s="3"/>
      <c r="T939" s="3"/>
      <c r="U939" s="3"/>
      <c r="V939" s="3"/>
      <c r="W939" s="3"/>
      <c r="X939" s="3"/>
      <c r="Y939" s="3"/>
      <c r="Z939" s="3"/>
      <c r="AA939" s="3"/>
      <c r="AB939" s="3"/>
      <c r="AC939" s="3"/>
    </row>
    <row r="940" spans="1:29" hidden="1" outlineLevel="1" x14ac:dyDescent="0.2">
      <c r="A940" s="3"/>
      <c r="B940" s="1047" t="s">
        <v>129</v>
      </c>
      <c r="C940" s="529" t="s">
        <v>129</v>
      </c>
      <c r="D940" s="529" t="s">
        <v>129</v>
      </c>
      <c r="E940" s="529" t="s">
        <v>129</v>
      </c>
      <c r="F940" s="529" t="s">
        <v>129</v>
      </c>
      <c r="G940" s="529" t="s">
        <v>129</v>
      </c>
      <c r="H940" s="529" t="s">
        <v>129</v>
      </c>
      <c r="I940" s="529" t="s">
        <v>129</v>
      </c>
      <c r="J940" s="529" t="s">
        <v>129</v>
      </c>
      <c r="K940" s="529" t="s">
        <v>129</v>
      </c>
      <c r="L940" s="1048" t="s">
        <v>129</v>
      </c>
      <c r="M940" s="3"/>
      <c r="N940" s="3"/>
      <c r="O940" s="3"/>
      <c r="P940" s="3"/>
      <c r="Q940" s="3"/>
      <c r="R940" s="3"/>
      <c r="S940" s="3"/>
      <c r="T940" s="3"/>
      <c r="U940" s="3"/>
      <c r="V940" s="3"/>
      <c r="W940" s="3"/>
      <c r="X940" s="3"/>
      <c r="Y940" s="3"/>
      <c r="Z940" s="3"/>
      <c r="AA940" s="3"/>
      <c r="AB940" s="3"/>
      <c r="AC940" s="3"/>
    </row>
    <row r="941" spans="1:29" hidden="1" outlineLevel="1" x14ac:dyDescent="0.2">
      <c r="A941" s="3"/>
      <c r="B941" s="1047" t="s">
        <v>129</v>
      </c>
      <c r="C941" s="529" t="s">
        <v>129</v>
      </c>
      <c r="D941" s="529" t="s">
        <v>129</v>
      </c>
      <c r="E941" s="529" t="s">
        <v>129</v>
      </c>
      <c r="F941" s="529" t="s">
        <v>129</v>
      </c>
      <c r="G941" s="529" t="s">
        <v>129</v>
      </c>
      <c r="H941" s="529" t="s">
        <v>129</v>
      </c>
      <c r="I941" s="529" t="s">
        <v>129</v>
      </c>
      <c r="J941" s="529" t="s">
        <v>129</v>
      </c>
      <c r="K941" s="529" t="s">
        <v>129</v>
      </c>
      <c r="L941" s="1048" t="s">
        <v>129</v>
      </c>
      <c r="M941" s="3"/>
      <c r="N941" s="3"/>
      <c r="O941" s="3"/>
      <c r="P941" s="3"/>
      <c r="Q941" s="3"/>
      <c r="R941" s="3"/>
      <c r="S941" s="3"/>
      <c r="T941" s="3"/>
      <c r="U941" s="3"/>
      <c r="V941" s="3"/>
      <c r="W941" s="3"/>
      <c r="X941" s="3"/>
      <c r="Y941" s="3"/>
      <c r="Z941" s="3"/>
      <c r="AA941" s="3"/>
      <c r="AB941" s="3"/>
      <c r="AC941" s="3"/>
    </row>
    <row r="942" spans="1:29" hidden="1" outlineLevel="1" x14ac:dyDescent="0.2">
      <c r="A942" s="3"/>
      <c r="B942" s="1047" t="s">
        <v>129</v>
      </c>
      <c r="C942" s="529" t="s">
        <v>129</v>
      </c>
      <c r="D942" s="529" t="s">
        <v>129</v>
      </c>
      <c r="E942" s="529" t="s">
        <v>129</v>
      </c>
      <c r="F942" s="529" t="s">
        <v>129</v>
      </c>
      <c r="G942" s="529" t="s">
        <v>129</v>
      </c>
      <c r="H942" s="529" t="s">
        <v>129</v>
      </c>
      <c r="I942" s="529" t="s">
        <v>129</v>
      </c>
      <c r="J942" s="529" t="s">
        <v>129</v>
      </c>
      <c r="K942" s="529" t="s">
        <v>129</v>
      </c>
      <c r="L942" s="1048" t="s">
        <v>129</v>
      </c>
      <c r="M942" s="3"/>
      <c r="N942" s="3"/>
      <c r="O942" s="3"/>
      <c r="P942" s="3"/>
      <c r="Q942" s="3"/>
      <c r="R942" s="3"/>
      <c r="S942" s="3"/>
      <c r="T942" s="3"/>
      <c r="U942" s="3"/>
      <c r="V942" s="3"/>
      <c r="W942" s="3"/>
      <c r="X942" s="3"/>
      <c r="Y942" s="3"/>
      <c r="Z942" s="3"/>
      <c r="AA942" s="3"/>
      <c r="AB942" s="3"/>
      <c r="AC942" s="3"/>
    </row>
    <row r="943" spans="1:29" hidden="1" outlineLevel="1" x14ac:dyDescent="0.2">
      <c r="A943" s="3"/>
      <c r="B943" s="1047" t="s">
        <v>129</v>
      </c>
      <c r="C943" s="529" t="s">
        <v>129</v>
      </c>
      <c r="D943" s="529" t="s">
        <v>129</v>
      </c>
      <c r="E943" s="529" t="s">
        <v>129</v>
      </c>
      <c r="F943" s="529" t="s">
        <v>129</v>
      </c>
      <c r="G943" s="529" t="s">
        <v>129</v>
      </c>
      <c r="H943" s="529" t="s">
        <v>129</v>
      </c>
      <c r="I943" s="529" t="s">
        <v>129</v>
      </c>
      <c r="J943" s="529" t="s">
        <v>129</v>
      </c>
      <c r="K943" s="529" t="s">
        <v>129</v>
      </c>
      <c r="L943" s="1048" t="s">
        <v>129</v>
      </c>
      <c r="M943" s="3"/>
      <c r="N943" s="3"/>
      <c r="O943" s="3"/>
      <c r="P943" s="3"/>
      <c r="Q943" s="3"/>
      <c r="R943" s="3"/>
      <c r="S943" s="3"/>
      <c r="T943" s="3"/>
      <c r="U943" s="3"/>
      <c r="V943" s="3"/>
      <c r="W943" s="3"/>
      <c r="X943" s="3"/>
      <c r="Y943" s="3"/>
      <c r="Z943" s="3"/>
      <c r="AA943" s="3"/>
      <c r="AB943" s="3"/>
      <c r="AC943" s="3"/>
    </row>
    <row r="944" spans="1:29" hidden="1" outlineLevel="1" x14ac:dyDescent="0.2">
      <c r="A944" s="3"/>
      <c r="B944" s="1047" t="s">
        <v>129</v>
      </c>
      <c r="C944" s="529" t="s">
        <v>129</v>
      </c>
      <c r="D944" s="529" t="s">
        <v>129</v>
      </c>
      <c r="E944" s="529" t="s">
        <v>129</v>
      </c>
      <c r="F944" s="529" t="s">
        <v>129</v>
      </c>
      <c r="G944" s="529" t="s">
        <v>129</v>
      </c>
      <c r="H944" s="529" t="s">
        <v>129</v>
      </c>
      <c r="I944" s="529" t="s">
        <v>129</v>
      </c>
      <c r="J944" s="529" t="s">
        <v>129</v>
      </c>
      <c r="K944" s="529" t="s">
        <v>129</v>
      </c>
      <c r="L944" s="1048" t="s">
        <v>129</v>
      </c>
      <c r="M944" s="3"/>
      <c r="N944" s="3"/>
      <c r="O944" s="3"/>
      <c r="P944" s="3"/>
      <c r="Q944" s="3"/>
      <c r="R944" s="3"/>
      <c r="S944" s="3"/>
      <c r="T944" s="3"/>
      <c r="U944" s="3"/>
      <c r="V944" s="3"/>
      <c r="W944" s="3"/>
      <c r="X944" s="3"/>
      <c r="Y944" s="3"/>
      <c r="Z944" s="3"/>
      <c r="AA944" s="3"/>
      <c r="AB944" s="3"/>
      <c r="AC944" s="3"/>
    </row>
    <row r="945" spans="1:29" hidden="1" outlineLevel="1" x14ac:dyDescent="0.2">
      <c r="A945" s="3"/>
      <c r="B945" s="1047" t="s">
        <v>129</v>
      </c>
      <c r="C945" s="529" t="s">
        <v>129</v>
      </c>
      <c r="D945" s="529" t="s">
        <v>129</v>
      </c>
      <c r="E945" s="529" t="s">
        <v>129</v>
      </c>
      <c r="F945" s="529" t="s">
        <v>129</v>
      </c>
      <c r="G945" s="529" t="s">
        <v>129</v>
      </c>
      <c r="H945" s="529" t="s">
        <v>129</v>
      </c>
      <c r="I945" s="529" t="s">
        <v>129</v>
      </c>
      <c r="J945" s="529" t="s">
        <v>129</v>
      </c>
      <c r="K945" s="529" t="s">
        <v>129</v>
      </c>
      <c r="L945" s="1048" t="s">
        <v>129</v>
      </c>
      <c r="M945" s="3"/>
      <c r="N945" s="3"/>
      <c r="O945" s="3"/>
      <c r="P945" s="3"/>
      <c r="Q945" s="3"/>
      <c r="R945" s="3"/>
      <c r="S945" s="3"/>
      <c r="T945" s="3"/>
      <c r="U945" s="3"/>
      <c r="V945" s="3"/>
      <c r="W945" s="3"/>
      <c r="X945" s="3"/>
      <c r="Y945" s="3"/>
      <c r="Z945" s="3"/>
      <c r="AA945" s="3"/>
      <c r="AB945" s="3"/>
      <c r="AC945" s="3"/>
    </row>
    <row r="946" spans="1:29" hidden="1" outlineLevel="1" x14ac:dyDescent="0.2">
      <c r="A946" s="3"/>
      <c r="B946" s="1047" t="s">
        <v>129</v>
      </c>
      <c r="C946" s="529" t="s">
        <v>129</v>
      </c>
      <c r="D946" s="529" t="s">
        <v>129</v>
      </c>
      <c r="E946" s="529" t="s">
        <v>129</v>
      </c>
      <c r="F946" s="529" t="s">
        <v>129</v>
      </c>
      <c r="G946" s="529" t="s">
        <v>129</v>
      </c>
      <c r="H946" s="529" t="s">
        <v>129</v>
      </c>
      <c r="I946" s="529" t="s">
        <v>129</v>
      </c>
      <c r="J946" s="529" t="s">
        <v>129</v>
      </c>
      <c r="K946" s="529" t="s">
        <v>129</v>
      </c>
      <c r="L946" s="1048" t="s">
        <v>129</v>
      </c>
      <c r="M946" s="3"/>
      <c r="N946" s="3"/>
      <c r="O946" s="3"/>
      <c r="P946" s="3"/>
      <c r="Q946" s="3"/>
      <c r="R946" s="3"/>
      <c r="S946" s="3"/>
      <c r="T946" s="3"/>
      <c r="U946" s="3"/>
      <c r="V946" s="3"/>
      <c r="W946" s="3"/>
      <c r="X946" s="3"/>
      <c r="Y946" s="3"/>
      <c r="Z946" s="3"/>
      <c r="AA946" s="3"/>
      <c r="AB946" s="3"/>
      <c r="AC946" s="3"/>
    </row>
    <row r="947" spans="1:29" hidden="1" outlineLevel="1" x14ac:dyDescent="0.2">
      <c r="A947" s="3"/>
      <c r="B947" s="1047" t="s">
        <v>129</v>
      </c>
      <c r="C947" s="529" t="s">
        <v>129</v>
      </c>
      <c r="D947" s="529" t="s">
        <v>129</v>
      </c>
      <c r="E947" s="529" t="s">
        <v>129</v>
      </c>
      <c r="F947" s="529" t="s">
        <v>129</v>
      </c>
      <c r="G947" s="529" t="s">
        <v>129</v>
      </c>
      <c r="H947" s="529" t="s">
        <v>129</v>
      </c>
      <c r="I947" s="529" t="s">
        <v>129</v>
      </c>
      <c r="J947" s="529" t="s">
        <v>129</v>
      </c>
      <c r="K947" s="529" t="s">
        <v>129</v>
      </c>
      <c r="L947" s="1048" t="s">
        <v>129</v>
      </c>
      <c r="M947" s="3"/>
      <c r="N947" s="3"/>
      <c r="O947" s="3"/>
      <c r="P947" s="3"/>
      <c r="Q947" s="3"/>
      <c r="R947" s="3"/>
      <c r="S947" s="3"/>
      <c r="T947" s="3"/>
      <c r="U947" s="3"/>
      <c r="V947" s="3"/>
      <c r="W947" s="3"/>
      <c r="X947" s="3"/>
      <c r="Y947" s="3"/>
      <c r="Z947" s="3"/>
      <c r="AA947" s="3"/>
      <c r="AB947" s="3"/>
      <c r="AC947" s="3"/>
    </row>
    <row r="948" spans="1:29" hidden="1" outlineLevel="1" x14ac:dyDescent="0.2">
      <c r="A948" s="3"/>
      <c r="B948" s="1047" t="s">
        <v>129</v>
      </c>
      <c r="C948" s="529" t="s">
        <v>129</v>
      </c>
      <c r="D948" s="529" t="s">
        <v>129</v>
      </c>
      <c r="E948" s="529" t="s">
        <v>129</v>
      </c>
      <c r="F948" s="529" t="s">
        <v>129</v>
      </c>
      <c r="G948" s="529" t="s">
        <v>129</v>
      </c>
      <c r="H948" s="529" t="s">
        <v>129</v>
      </c>
      <c r="I948" s="529" t="s">
        <v>129</v>
      </c>
      <c r="J948" s="529" t="s">
        <v>129</v>
      </c>
      <c r="K948" s="529" t="s">
        <v>129</v>
      </c>
      <c r="L948" s="1048" t="s">
        <v>129</v>
      </c>
      <c r="M948" s="3"/>
      <c r="N948" s="3"/>
      <c r="O948" s="3"/>
      <c r="P948" s="3"/>
      <c r="Q948" s="3"/>
      <c r="R948" s="3"/>
      <c r="S948" s="3"/>
      <c r="T948" s="3"/>
      <c r="U948" s="3"/>
      <c r="V948" s="3"/>
      <c r="W948" s="3"/>
      <c r="X948" s="3"/>
      <c r="Y948" s="3"/>
      <c r="Z948" s="3"/>
      <c r="AA948" s="3"/>
      <c r="AB948" s="3"/>
      <c r="AC948" s="3"/>
    </row>
    <row r="949" spans="1:29" hidden="1" outlineLevel="1" x14ac:dyDescent="0.2">
      <c r="A949" s="3"/>
      <c r="B949" s="1047" t="s">
        <v>129</v>
      </c>
      <c r="C949" s="529" t="s">
        <v>129</v>
      </c>
      <c r="D949" s="529" t="s">
        <v>129</v>
      </c>
      <c r="E949" s="529" t="s">
        <v>129</v>
      </c>
      <c r="F949" s="529" t="s">
        <v>129</v>
      </c>
      <c r="G949" s="529" t="s">
        <v>129</v>
      </c>
      <c r="H949" s="529" t="s">
        <v>129</v>
      </c>
      <c r="I949" s="529" t="s">
        <v>129</v>
      </c>
      <c r="J949" s="529" t="s">
        <v>129</v>
      </c>
      <c r="K949" s="529" t="s">
        <v>129</v>
      </c>
      <c r="L949" s="1048" t="s">
        <v>129</v>
      </c>
      <c r="M949" s="3"/>
      <c r="N949" s="3"/>
      <c r="O949" s="3"/>
      <c r="P949" s="3"/>
      <c r="Q949" s="3"/>
      <c r="R949" s="3"/>
      <c r="S949" s="3"/>
      <c r="T949" s="3"/>
      <c r="U949" s="3"/>
      <c r="V949" s="3"/>
      <c r="W949" s="3"/>
      <c r="X949" s="3"/>
      <c r="Y949" s="3"/>
      <c r="Z949" s="3"/>
      <c r="AA949" s="3"/>
      <c r="AB949" s="3"/>
      <c r="AC949" s="3"/>
    </row>
    <row r="950" spans="1:29" hidden="1" outlineLevel="1" x14ac:dyDescent="0.2">
      <c r="A950" s="3"/>
      <c r="B950" s="1047" t="s">
        <v>129</v>
      </c>
      <c r="C950" s="529" t="s">
        <v>129</v>
      </c>
      <c r="D950" s="529" t="s">
        <v>129</v>
      </c>
      <c r="E950" s="529" t="s">
        <v>129</v>
      </c>
      <c r="F950" s="529" t="s">
        <v>129</v>
      </c>
      <c r="G950" s="529" t="s">
        <v>129</v>
      </c>
      <c r="H950" s="529" t="s">
        <v>129</v>
      </c>
      <c r="I950" s="529" t="s">
        <v>129</v>
      </c>
      <c r="J950" s="529" t="s">
        <v>129</v>
      </c>
      <c r="K950" s="529" t="s">
        <v>129</v>
      </c>
      <c r="L950" s="1048" t="s">
        <v>129</v>
      </c>
      <c r="M950" s="3"/>
      <c r="N950" s="3"/>
      <c r="O950" s="3"/>
      <c r="P950" s="3"/>
      <c r="Q950" s="3"/>
      <c r="R950" s="3"/>
      <c r="S950" s="3"/>
      <c r="T950" s="3"/>
      <c r="U950" s="3"/>
      <c r="V950" s="3"/>
      <c r="W950" s="3"/>
      <c r="X950" s="3"/>
      <c r="Y950" s="3"/>
      <c r="Z950" s="3"/>
      <c r="AA950" s="3"/>
      <c r="AB950" s="3"/>
      <c r="AC950" s="3"/>
    </row>
    <row r="951" spans="1:29" hidden="1" outlineLevel="1" x14ac:dyDescent="0.2">
      <c r="A951" s="3"/>
      <c r="B951" s="1047" t="s">
        <v>129</v>
      </c>
      <c r="C951" s="529" t="s">
        <v>129</v>
      </c>
      <c r="D951" s="529" t="s">
        <v>129</v>
      </c>
      <c r="E951" s="529" t="s">
        <v>129</v>
      </c>
      <c r="F951" s="529" t="s">
        <v>129</v>
      </c>
      <c r="G951" s="529" t="s">
        <v>129</v>
      </c>
      <c r="H951" s="529" t="s">
        <v>129</v>
      </c>
      <c r="I951" s="529" t="s">
        <v>129</v>
      </c>
      <c r="J951" s="529" t="s">
        <v>129</v>
      </c>
      <c r="K951" s="529" t="s">
        <v>129</v>
      </c>
      <c r="L951" s="1048" t="s">
        <v>129</v>
      </c>
      <c r="M951" s="3"/>
      <c r="N951" s="3"/>
      <c r="O951" s="3"/>
      <c r="P951" s="3"/>
      <c r="Q951" s="3"/>
      <c r="R951" s="3"/>
      <c r="S951" s="3"/>
      <c r="T951" s="3"/>
      <c r="U951" s="3"/>
      <c r="V951" s="3"/>
      <c r="W951" s="3"/>
      <c r="X951" s="3"/>
      <c r="Y951" s="3"/>
      <c r="Z951" s="3"/>
      <c r="AA951" s="3"/>
      <c r="AB951" s="3"/>
      <c r="AC951" s="3"/>
    </row>
    <row r="952" spans="1:29" hidden="1" outlineLevel="1" x14ac:dyDescent="0.2">
      <c r="A952" s="3"/>
      <c r="B952" s="1047" t="s">
        <v>129</v>
      </c>
      <c r="C952" s="529" t="s">
        <v>129</v>
      </c>
      <c r="D952" s="529" t="s">
        <v>129</v>
      </c>
      <c r="E952" s="529" t="s">
        <v>129</v>
      </c>
      <c r="F952" s="529" t="s">
        <v>129</v>
      </c>
      <c r="G952" s="529" t="s">
        <v>129</v>
      </c>
      <c r="H952" s="529" t="s">
        <v>129</v>
      </c>
      <c r="I952" s="529" t="s">
        <v>129</v>
      </c>
      <c r="J952" s="529" t="s">
        <v>129</v>
      </c>
      <c r="K952" s="529" t="s">
        <v>129</v>
      </c>
      <c r="L952" s="1048" t="s">
        <v>129</v>
      </c>
      <c r="M952" s="3"/>
      <c r="N952" s="3"/>
      <c r="O952" s="3"/>
      <c r="P952" s="3"/>
      <c r="Q952" s="3"/>
      <c r="R952" s="3"/>
      <c r="S952" s="3"/>
      <c r="T952" s="3"/>
      <c r="U952" s="3"/>
      <c r="V952" s="3"/>
      <c r="W952" s="3"/>
      <c r="X952" s="3"/>
      <c r="Y952" s="3"/>
      <c r="Z952" s="3"/>
      <c r="AA952" s="3"/>
      <c r="AB952" s="3"/>
      <c r="AC952" s="3"/>
    </row>
    <row r="953" spans="1:29" hidden="1" outlineLevel="1" x14ac:dyDescent="0.2">
      <c r="A953" s="3"/>
      <c r="B953" s="1047" t="s">
        <v>129</v>
      </c>
      <c r="C953" s="529" t="s">
        <v>129</v>
      </c>
      <c r="D953" s="529" t="s">
        <v>129</v>
      </c>
      <c r="E953" s="529" t="s">
        <v>129</v>
      </c>
      <c r="F953" s="529" t="s">
        <v>129</v>
      </c>
      <c r="G953" s="529" t="s">
        <v>129</v>
      </c>
      <c r="H953" s="529" t="s">
        <v>129</v>
      </c>
      <c r="I953" s="529" t="s">
        <v>129</v>
      </c>
      <c r="J953" s="529" t="s">
        <v>129</v>
      </c>
      <c r="K953" s="529" t="s">
        <v>129</v>
      </c>
      <c r="L953" s="1048" t="s">
        <v>129</v>
      </c>
      <c r="M953" s="3"/>
      <c r="N953" s="3"/>
      <c r="O953" s="3"/>
      <c r="P953" s="3"/>
      <c r="Q953" s="3"/>
      <c r="R953" s="3"/>
      <c r="S953" s="3"/>
      <c r="T953" s="3"/>
      <c r="U953" s="3"/>
      <c r="V953" s="3"/>
      <c r="W953" s="3"/>
      <c r="X953" s="3"/>
      <c r="Y953" s="3"/>
      <c r="Z953" s="3"/>
      <c r="AA953" s="3"/>
      <c r="AB953" s="3"/>
      <c r="AC953" s="3"/>
    </row>
    <row r="954" spans="1:29" hidden="1" outlineLevel="1" x14ac:dyDescent="0.2">
      <c r="A954" s="3"/>
      <c r="B954" s="1047" t="s">
        <v>129</v>
      </c>
      <c r="C954" s="529" t="s">
        <v>129</v>
      </c>
      <c r="D954" s="529" t="s">
        <v>129</v>
      </c>
      <c r="E954" s="529" t="s">
        <v>129</v>
      </c>
      <c r="F954" s="529" t="s">
        <v>129</v>
      </c>
      <c r="G954" s="529" t="s">
        <v>129</v>
      </c>
      <c r="H954" s="529" t="s">
        <v>129</v>
      </c>
      <c r="I954" s="529" t="s">
        <v>129</v>
      </c>
      <c r="J954" s="529" t="s">
        <v>129</v>
      </c>
      <c r="K954" s="529" t="s">
        <v>129</v>
      </c>
      <c r="L954" s="1048" t="s">
        <v>129</v>
      </c>
      <c r="M954" s="3"/>
      <c r="N954" s="3"/>
      <c r="O954" s="3"/>
      <c r="P954" s="3"/>
      <c r="Q954" s="3"/>
      <c r="R954" s="3"/>
      <c r="S954" s="3"/>
      <c r="T954" s="3"/>
      <c r="U954" s="3"/>
      <c r="V954" s="3"/>
      <c r="W954" s="3"/>
      <c r="X954" s="3"/>
      <c r="Y954" s="3"/>
      <c r="Z954" s="3"/>
      <c r="AA954" s="3"/>
      <c r="AB954" s="3"/>
      <c r="AC954" s="3"/>
    </row>
    <row r="955" spans="1:29" hidden="1" outlineLevel="1" x14ac:dyDescent="0.2">
      <c r="A955" s="3"/>
      <c r="B955" s="1047" t="s">
        <v>129</v>
      </c>
      <c r="C955" s="529" t="s">
        <v>129</v>
      </c>
      <c r="D955" s="529" t="s">
        <v>129</v>
      </c>
      <c r="E955" s="529" t="s">
        <v>129</v>
      </c>
      <c r="F955" s="529" t="s">
        <v>129</v>
      </c>
      <c r="G955" s="529" t="s">
        <v>129</v>
      </c>
      <c r="H955" s="529" t="s">
        <v>129</v>
      </c>
      <c r="I955" s="529" t="s">
        <v>129</v>
      </c>
      <c r="J955" s="529" t="s">
        <v>129</v>
      </c>
      <c r="K955" s="529" t="s">
        <v>129</v>
      </c>
      <c r="L955" s="1048" t="s">
        <v>129</v>
      </c>
      <c r="M955" s="3"/>
      <c r="N955" s="3"/>
      <c r="O955" s="3"/>
      <c r="P955" s="3"/>
      <c r="Q955" s="3"/>
      <c r="R955" s="3"/>
      <c r="S955" s="3"/>
      <c r="T955" s="3"/>
      <c r="U955" s="3"/>
      <c r="V955" s="3"/>
      <c r="W955" s="3"/>
      <c r="X955" s="3"/>
      <c r="Y955" s="3"/>
      <c r="Z955" s="3"/>
      <c r="AA955" s="3"/>
      <c r="AB955" s="3"/>
      <c r="AC955" s="3"/>
    </row>
    <row r="956" spans="1:29" hidden="1" outlineLevel="1" x14ac:dyDescent="0.2">
      <c r="A956" s="3"/>
      <c r="B956" s="1047" t="s">
        <v>129</v>
      </c>
      <c r="C956" s="529" t="s">
        <v>129</v>
      </c>
      <c r="D956" s="529" t="s">
        <v>129</v>
      </c>
      <c r="E956" s="529" t="s">
        <v>129</v>
      </c>
      <c r="F956" s="529" t="s">
        <v>129</v>
      </c>
      <c r="G956" s="529" t="s">
        <v>129</v>
      </c>
      <c r="H956" s="529" t="s">
        <v>129</v>
      </c>
      <c r="I956" s="529" t="s">
        <v>129</v>
      </c>
      <c r="J956" s="529" t="s">
        <v>129</v>
      </c>
      <c r="K956" s="529" t="s">
        <v>129</v>
      </c>
      <c r="L956" s="1048" t="s">
        <v>129</v>
      </c>
      <c r="M956" s="3"/>
      <c r="N956" s="3"/>
      <c r="O956" s="3"/>
      <c r="P956" s="3"/>
      <c r="Q956" s="3"/>
      <c r="R956" s="3"/>
      <c r="S956" s="3"/>
      <c r="T956" s="3"/>
      <c r="U956" s="3"/>
      <c r="V956" s="3"/>
      <c r="W956" s="3"/>
      <c r="X956" s="3"/>
      <c r="Y956" s="3"/>
      <c r="Z956" s="3"/>
      <c r="AA956" s="3"/>
      <c r="AB956" s="3"/>
      <c r="AC956" s="3"/>
    </row>
    <row r="957" spans="1:29" hidden="1" outlineLevel="1" x14ac:dyDescent="0.2">
      <c r="A957" s="3"/>
      <c r="B957" s="1047" t="s">
        <v>129</v>
      </c>
      <c r="C957" s="529" t="s">
        <v>129</v>
      </c>
      <c r="D957" s="529" t="s">
        <v>129</v>
      </c>
      <c r="E957" s="529" t="s">
        <v>129</v>
      </c>
      <c r="F957" s="529" t="s">
        <v>129</v>
      </c>
      <c r="G957" s="529" t="s">
        <v>129</v>
      </c>
      <c r="H957" s="529" t="s">
        <v>129</v>
      </c>
      <c r="I957" s="529" t="s">
        <v>129</v>
      </c>
      <c r="J957" s="529" t="s">
        <v>129</v>
      </c>
      <c r="K957" s="529" t="s">
        <v>129</v>
      </c>
      <c r="L957" s="1048" t="s">
        <v>129</v>
      </c>
      <c r="M957" s="3"/>
      <c r="N957" s="3"/>
      <c r="O957" s="3"/>
      <c r="P957" s="3"/>
      <c r="Q957" s="3"/>
      <c r="R957" s="3"/>
      <c r="S957" s="3"/>
      <c r="T957" s="3"/>
      <c r="U957" s="3"/>
      <c r="V957" s="3"/>
      <c r="W957" s="3"/>
      <c r="X957" s="3"/>
      <c r="Y957" s="3"/>
      <c r="Z957" s="3"/>
      <c r="AA957" s="3"/>
      <c r="AB957" s="3"/>
      <c r="AC957" s="3"/>
    </row>
    <row r="958" spans="1:29" hidden="1" outlineLevel="1" x14ac:dyDescent="0.2">
      <c r="A958" s="3"/>
      <c r="B958" s="1047" t="s">
        <v>129</v>
      </c>
      <c r="C958" s="529" t="s">
        <v>129</v>
      </c>
      <c r="D958" s="529" t="s">
        <v>129</v>
      </c>
      <c r="E958" s="529" t="s">
        <v>129</v>
      </c>
      <c r="F958" s="529" t="s">
        <v>129</v>
      </c>
      <c r="G958" s="529" t="s">
        <v>129</v>
      </c>
      <c r="H958" s="529" t="s">
        <v>129</v>
      </c>
      <c r="I958" s="529" t="s">
        <v>129</v>
      </c>
      <c r="J958" s="529" t="s">
        <v>129</v>
      </c>
      <c r="K958" s="529" t="s">
        <v>129</v>
      </c>
      <c r="L958" s="1048" t="s">
        <v>129</v>
      </c>
      <c r="M958" s="3"/>
      <c r="N958" s="3"/>
      <c r="O958" s="3"/>
      <c r="P958" s="3"/>
      <c r="Q958" s="3"/>
      <c r="R958" s="3"/>
      <c r="S958" s="3"/>
      <c r="T958" s="3"/>
      <c r="U958" s="3"/>
      <c r="V958" s="3"/>
      <c r="W958" s="3"/>
      <c r="X958" s="3"/>
      <c r="Y958" s="3"/>
      <c r="Z958" s="3"/>
      <c r="AA958" s="3"/>
      <c r="AB958" s="3"/>
      <c r="AC958" s="3"/>
    </row>
    <row r="959" spans="1:29" hidden="1" outlineLevel="1" x14ac:dyDescent="0.2">
      <c r="A959" s="3"/>
      <c r="B959" s="1047" t="s">
        <v>129</v>
      </c>
      <c r="C959" s="529" t="s">
        <v>129</v>
      </c>
      <c r="D959" s="529" t="s">
        <v>129</v>
      </c>
      <c r="E959" s="529" t="s">
        <v>129</v>
      </c>
      <c r="F959" s="529" t="s">
        <v>129</v>
      </c>
      <c r="G959" s="529" t="s">
        <v>129</v>
      </c>
      <c r="H959" s="529" t="s">
        <v>129</v>
      </c>
      <c r="I959" s="529" t="s">
        <v>129</v>
      </c>
      <c r="J959" s="529" t="s">
        <v>129</v>
      </c>
      <c r="K959" s="529" t="s">
        <v>129</v>
      </c>
      <c r="L959" s="1048" t="s">
        <v>129</v>
      </c>
      <c r="M959" s="3"/>
      <c r="N959" s="3"/>
      <c r="O959" s="3"/>
      <c r="P959" s="3"/>
      <c r="Q959" s="3"/>
      <c r="R959" s="3"/>
      <c r="S959" s="3"/>
      <c r="T959" s="3"/>
      <c r="U959" s="3"/>
      <c r="V959" s="3"/>
      <c r="W959" s="3"/>
      <c r="X959" s="3"/>
      <c r="Y959" s="3"/>
      <c r="Z959" s="3"/>
      <c r="AA959" s="3"/>
      <c r="AB959" s="3"/>
      <c r="AC959" s="3"/>
    </row>
    <row r="960" spans="1:29" hidden="1" outlineLevel="1" x14ac:dyDescent="0.2">
      <c r="A960" s="3"/>
      <c r="B960" s="1047" t="s">
        <v>129</v>
      </c>
      <c r="C960" s="529" t="s">
        <v>129</v>
      </c>
      <c r="D960" s="529" t="s">
        <v>129</v>
      </c>
      <c r="E960" s="529" t="s">
        <v>129</v>
      </c>
      <c r="F960" s="529" t="s">
        <v>129</v>
      </c>
      <c r="G960" s="529" t="s">
        <v>129</v>
      </c>
      <c r="H960" s="529" t="s">
        <v>129</v>
      </c>
      <c r="I960" s="529" t="s">
        <v>129</v>
      </c>
      <c r="J960" s="529" t="s">
        <v>129</v>
      </c>
      <c r="K960" s="529" t="s">
        <v>129</v>
      </c>
      <c r="L960" s="1048" t="s">
        <v>129</v>
      </c>
      <c r="M960" s="3"/>
      <c r="N960" s="3"/>
      <c r="O960" s="3"/>
      <c r="P960" s="3"/>
      <c r="Q960" s="3"/>
      <c r="R960" s="3"/>
      <c r="S960" s="3"/>
      <c r="T960" s="3"/>
      <c r="U960" s="3"/>
      <c r="V960" s="3"/>
      <c r="W960" s="3"/>
      <c r="X960" s="3"/>
      <c r="Y960" s="3"/>
      <c r="Z960" s="3"/>
      <c r="AA960" s="3"/>
      <c r="AB960" s="3"/>
      <c r="AC960" s="3"/>
    </row>
    <row r="961" spans="1:29" hidden="1" outlineLevel="1" x14ac:dyDescent="0.2">
      <c r="A961" s="3"/>
      <c r="B961" s="1047" t="s">
        <v>129</v>
      </c>
      <c r="C961" s="529" t="s">
        <v>129</v>
      </c>
      <c r="D961" s="529" t="s">
        <v>129</v>
      </c>
      <c r="E961" s="529" t="s">
        <v>129</v>
      </c>
      <c r="F961" s="529" t="s">
        <v>129</v>
      </c>
      <c r="G961" s="529" t="s">
        <v>129</v>
      </c>
      <c r="H961" s="529" t="s">
        <v>129</v>
      </c>
      <c r="I961" s="529" t="s">
        <v>129</v>
      </c>
      <c r="J961" s="529" t="s">
        <v>129</v>
      </c>
      <c r="K961" s="529" t="s">
        <v>129</v>
      </c>
      <c r="L961" s="1048" t="s">
        <v>129</v>
      </c>
      <c r="M961" s="3"/>
      <c r="N961" s="3"/>
      <c r="O961" s="3"/>
      <c r="P961" s="3"/>
      <c r="Q961" s="3"/>
      <c r="R961" s="3"/>
      <c r="S961" s="3"/>
      <c r="T961" s="3"/>
      <c r="U961" s="3"/>
      <c r="V961" s="3"/>
      <c r="W961" s="3"/>
      <c r="X961" s="3"/>
      <c r="Y961" s="3"/>
      <c r="Z961" s="3"/>
      <c r="AA961" s="3"/>
      <c r="AB961" s="3"/>
      <c r="AC961" s="3"/>
    </row>
    <row r="962" spans="1:29" hidden="1" outlineLevel="1" x14ac:dyDescent="0.2">
      <c r="A962" s="3"/>
      <c r="B962" s="1047" t="s">
        <v>129</v>
      </c>
      <c r="C962" s="529" t="s">
        <v>129</v>
      </c>
      <c r="D962" s="529" t="s">
        <v>129</v>
      </c>
      <c r="E962" s="529" t="s">
        <v>129</v>
      </c>
      <c r="F962" s="529" t="s">
        <v>129</v>
      </c>
      <c r="G962" s="529" t="s">
        <v>129</v>
      </c>
      <c r="H962" s="529" t="s">
        <v>129</v>
      </c>
      <c r="I962" s="529" t="s">
        <v>129</v>
      </c>
      <c r="J962" s="529" t="s">
        <v>129</v>
      </c>
      <c r="K962" s="529" t="s">
        <v>129</v>
      </c>
      <c r="L962" s="1048" t="s">
        <v>129</v>
      </c>
      <c r="M962" s="3"/>
      <c r="N962" s="3"/>
      <c r="O962" s="3"/>
      <c r="P962" s="3"/>
      <c r="Q962" s="3"/>
      <c r="R962" s="3"/>
      <c r="S962" s="3"/>
      <c r="T962" s="3"/>
      <c r="U962" s="3"/>
      <c r="V962" s="3"/>
      <c r="W962" s="3"/>
      <c r="X962" s="3"/>
      <c r="Y962" s="3"/>
      <c r="Z962" s="3"/>
      <c r="AA962" s="3"/>
      <c r="AB962" s="3"/>
      <c r="AC962" s="3"/>
    </row>
    <row r="963" spans="1:29" hidden="1" outlineLevel="1" x14ac:dyDescent="0.2">
      <c r="A963" s="3"/>
      <c r="B963" s="1047" t="s">
        <v>129</v>
      </c>
      <c r="C963" s="529" t="s">
        <v>129</v>
      </c>
      <c r="D963" s="529" t="s">
        <v>129</v>
      </c>
      <c r="E963" s="529" t="s">
        <v>129</v>
      </c>
      <c r="F963" s="529" t="s">
        <v>129</v>
      </c>
      <c r="G963" s="529" t="s">
        <v>129</v>
      </c>
      <c r="H963" s="529" t="s">
        <v>129</v>
      </c>
      <c r="I963" s="529" t="s">
        <v>129</v>
      </c>
      <c r="J963" s="529" t="s">
        <v>129</v>
      </c>
      <c r="K963" s="529" t="s">
        <v>129</v>
      </c>
      <c r="L963" s="1048" t="s">
        <v>129</v>
      </c>
      <c r="M963" s="3"/>
      <c r="N963" s="3"/>
      <c r="O963" s="3"/>
      <c r="P963" s="3"/>
      <c r="Q963" s="3"/>
      <c r="R963" s="3"/>
      <c r="S963" s="3"/>
      <c r="T963" s="3"/>
      <c r="U963" s="3"/>
      <c r="V963" s="3"/>
      <c r="W963" s="3"/>
      <c r="X963" s="3"/>
      <c r="Y963" s="3"/>
      <c r="Z963" s="3"/>
      <c r="AA963" s="3"/>
      <c r="AB963" s="3"/>
      <c r="AC963" s="3"/>
    </row>
    <row r="964" spans="1:29" hidden="1" outlineLevel="1" x14ac:dyDescent="0.2">
      <c r="A964" s="3"/>
      <c r="B964" s="1047" t="s">
        <v>129</v>
      </c>
      <c r="C964" s="529" t="s">
        <v>129</v>
      </c>
      <c r="D964" s="529" t="s">
        <v>129</v>
      </c>
      <c r="E964" s="529" t="s">
        <v>129</v>
      </c>
      <c r="F964" s="529" t="s">
        <v>129</v>
      </c>
      <c r="G964" s="529" t="s">
        <v>129</v>
      </c>
      <c r="H964" s="529" t="s">
        <v>129</v>
      </c>
      <c r="I964" s="529" t="s">
        <v>129</v>
      </c>
      <c r="J964" s="529" t="s">
        <v>129</v>
      </c>
      <c r="K964" s="529" t="s">
        <v>129</v>
      </c>
      <c r="L964" s="1048" t="s">
        <v>129</v>
      </c>
      <c r="M964" s="3"/>
      <c r="N964" s="3"/>
      <c r="O964" s="3"/>
      <c r="P964" s="3"/>
      <c r="Q964" s="3"/>
      <c r="R964" s="3"/>
      <c r="S964" s="3"/>
      <c r="T964" s="3"/>
      <c r="U964" s="3"/>
      <c r="V964" s="3"/>
      <c r="W964" s="3"/>
      <c r="X964" s="3"/>
      <c r="Y964" s="3"/>
      <c r="Z964" s="3"/>
      <c r="AA964" s="3"/>
      <c r="AB964" s="3"/>
      <c r="AC964" s="3"/>
    </row>
    <row r="965" spans="1:29" hidden="1" outlineLevel="1" x14ac:dyDescent="0.2">
      <c r="A965" s="3"/>
      <c r="B965" s="1047" t="s">
        <v>129</v>
      </c>
      <c r="C965" s="529" t="s">
        <v>129</v>
      </c>
      <c r="D965" s="529" t="s">
        <v>129</v>
      </c>
      <c r="E965" s="529" t="s">
        <v>129</v>
      </c>
      <c r="F965" s="529" t="s">
        <v>129</v>
      </c>
      <c r="G965" s="529" t="s">
        <v>129</v>
      </c>
      <c r="H965" s="529" t="s">
        <v>129</v>
      </c>
      <c r="I965" s="529" t="s">
        <v>129</v>
      </c>
      <c r="J965" s="529" t="s">
        <v>129</v>
      </c>
      <c r="K965" s="529" t="s">
        <v>129</v>
      </c>
      <c r="L965" s="1048" t="s">
        <v>129</v>
      </c>
      <c r="M965" s="3"/>
      <c r="N965" s="3"/>
      <c r="O965" s="3"/>
      <c r="P965" s="3"/>
      <c r="Q965" s="3"/>
      <c r="R965" s="3"/>
      <c r="S965" s="3"/>
      <c r="T965" s="3"/>
      <c r="U965" s="3"/>
      <c r="V965" s="3"/>
      <c r="W965" s="3"/>
      <c r="X965" s="3"/>
      <c r="Y965" s="3"/>
      <c r="Z965" s="3"/>
      <c r="AA965" s="3"/>
      <c r="AB965" s="3"/>
      <c r="AC965" s="3"/>
    </row>
    <row r="966" spans="1:29" hidden="1" outlineLevel="1" x14ac:dyDescent="0.2">
      <c r="A966" s="3"/>
      <c r="B966" s="1047" t="s">
        <v>129</v>
      </c>
      <c r="C966" s="529" t="s">
        <v>129</v>
      </c>
      <c r="D966" s="529" t="s">
        <v>129</v>
      </c>
      <c r="E966" s="529" t="s">
        <v>129</v>
      </c>
      <c r="F966" s="529" t="s">
        <v>129</v>
      </c>
      <c r="G966" s="529" t="s">
        <v>129</v>
      </c>
      <c r="H966" s="529" t="s">
        <v>129</v>
      </c>
      <c r="I966" s="529" t="s">
        <v>129</v>
      </c>
      <c r="J966" s="529" t="s">
        <v>129</v>
      </c>
      <c r="K966" s="529" t="s">
        <v>129</v>
      </c>
      <c r="L966" s="1048" t="s">
        <v>129</v>
      </c>
      <c r="M966" s="3"/>
      <c r="N966" s="3"/>
      <c r="O966" s="3"/>
      <c r="P966" s="3"/>
      <c r="Q966" s="3"/>
      <c r="R966" s="3"/>
      <c r="S966" s="3"/>
      <c r="T966" s="3"/>
      <c r="U966" s="3"/>
      <c r="V966" s="3"/>
      <c r="W966" s="3"/>
      <c r="X966" s="3"/>
      <c r="Y966" s="3"/>
      <c r="Z966" s="3"/>
      <c r="AA966" s="3"/>
      <c r="AB966" s="3"/>
      <c r="AC966" s="3"/>
    </row>
    <row r="967" spans="1:29" hidden="1" outlineLevel="1" x14ac:dyDescent="0.2">
      <c r="A967" s="3"/>
      <c r="B967" s="1047" t="s">
        <v>129</v>
      </c>
      <c r="C967" s="529" t="s">
        <v>129</v>
      </c>
      <c r="D967" s="529" t="s">
        <v>129</v>
      </c>
      <c r="E967" s="529" t="s">
        <v>129</v>
      </c>
      <c r="F967" s="529" t="s">
        <v>129</v>
      </c>
      <c r="G967" s="529" t="s">
        <v>129</v>
      </c>
      <c r="H967" s="529" t="s">
        <v>129</v>
      </c>
      <c r="I967" s="529" t="s">
        <v>129</v>
      </c>
      <c r="J967" s="529" t="s">
        <v>129</v>
      </c>
      <c r="K967" s="529" t="s">
        <v>129</v>
      </c>
      <c r="L967" s="1048" t="s">
        <v>129</v>
      </c>
      <c r="M967" s="3"/>
      <c r="N967" s="3"/>
      <c r="O967" s="3"/>
      <c r="P967" s="3"/>
      <c r="Q967" s="3"/>
      <c r="R967" s="3"/>
      <c r="S967" s="3"/>
      <c r="T967" s="3"/>
      <c r="U967" s="3"/>
      <c r="V967" s="3"/>
      <c r="W967" s="3"/>
      <c r="X967" s="3"/>
      <c r="Y967" s="3"/>
      <c r="Z967" s="3"/>
      <c r="AA967" s="3"/>
      <c r="AB967" s="3"/>
      <c r="AC967" s="3"/>
    </row>
    <row r="968" spans="1:29" hidden="1" outlineLevel="1" x14ac:dyDescent="0.2">
      <c r="A968" s="3"/>
      <c r="B968" s="1047" t="s">
        <v>129</v>
      </c>
      <c r="C968" s="529" t="s">
        <v>129</v>
      </c>
      <c r="D968" s="529" t="s">
        <v>129</v>
      </c>
      <c r="E968" s="529" t="s">
        <v>129</v>
      </c>
      <c r="F968" s="529" t="s">
        <v>129</v>
      </c>
      <c r="G968" s="529" t="s">
        <v>129</v>
      </c>
      <c r="H968" s="529" t="s">
        <v>129</v>
      </c>
      <c r="I968" s="529" t="s">
        <v>129</v>
      </c>
      <c r="J968" s="529" t="s">
        <v>129</v>
      </c>
      <c r="K968" s="529" t="s">
        <v>129</v>
      </c>
      <c r="L968" s="1048" t="s">
        <v>129</v>
      </c>
      <c r="M968" s="3"/>
      <c r="N968" s="3"/>
      <c r="O968" s="3"/>
      <c r="P968" s="3"/>
      <c r="Q968" s="3"/>
      <c r="R968" s="3"/>
      <c r="S968" s="3"/>
      <c r="T968" s="3"/>
      <c r="U968" s="3"/>
      <c r="V968" s="3"/>
      <c r="W968" s="3"/>
      <c r="X968" s="3"/>
      <c r="Y968" s="3"/>
      <c r="Z968" s="3"/>
      <c r="AA968" s="3"/>
      <c r="AB968" s="3"/>
      <c r="AC968" s="3"/>
    </row>
    <row r="969" spans="1:29" hidden="1" outlineLevel="1" x14ac:dyDescent="0.2">
      <c r="A969" s="3"/>
      <c r="B969" s="1047" t="s">
        <v>129</v>
      </c>
      <c r="C969" s="529" t="s">
        <v>129</v>
      </c>
      <c r="D969" s="529" t="s">
        <v>129</v>
      </c>
      <c r="E969" s="529" t="s">
        <v>129</v>
      </c>
      <c r="F969" s="529" t="s">
        <v>129</v>
      </c>
      <c r="G969" s="529" t="s">
        <v>129</v>
      </c>
      <c r="H969" s="529" t="s">
        <v>129</v>
      </c>
      <c r="I969" s="529" t="s">
        <v>129</v>
      </c>
      <c r="J969" s="529" t="s">
        <v>129</v>
      </c>
      <c r="K969" s="529" t="s">
        <v>129</v>
      </c>
      <c r="L969" s="1048" t="s">
        <v>129</v>
      </c>
      <c r="M969" s="3"/>
      <c r="N969" s="3"/>
      <c r="O969" s="3"/>
      <c r="P969" s="3"/>
      <c r="Q969" s="3"/>
      <c r="R969" s="3"/>
      <c r="S969" s="3"/>
      <c r="T969" s="3"/>
      <c r="U969" s="3"/>
      <c r="V969" s="3"/>
      <c r="W969" s="3"/>
      <c r="X969" s="3"/>
      <c r="Y969" s="3"/>
      <c r="Z969" s="3"/>
      <c r="AA969" s="3"/>
      <c r="AB969" s="3"/>
      <c r="AC969" s="3"/>
    </row>
    <row r="970" spans="1:29" hidden="1" outlineLevel="1" x14ac:dyDescent="0.2">
      <c r="A970" s="3"/>
      <c r="B970" s="1047" t="s">
        <v>129</v>
      </c>
      <c r="C970" s="529" t="s">
        <v>129</v>
      </c>
      <c r="D970" s="529" t="s">
        <v>129</v>
      </c>
      <c r="E970" s="529" t="s">
        <v>129</v>
      </c>
      <c r="F970" s="529" t="s">
        <v>129</v>
      </c>
      <c r="G970" s="529" t="s">
        <v>129</v>
      </c>
      <c r="H970" s="529" t="s">
        <v>129</v>
      </c>
      <c r="I970" s="529" t="s">
        <v>129</v>
      </c>
      <c r="J970" s="529" t="s">
        <v>129</v>
      </c>
      <c r="K970" s="529" t="s">
        <v>129</v>
      </c>
      <c r="L970" s="1048" t="s">
        <v>129</v>
      </c>
      <c r="M970" s="3"/>
      <c r="N970" s="3"/>
      <c r="O970" s="3"/>
      <c r="P970" s="3"/>
      <c r="Q970" s="3"/>
      <c r="R970" s="3"/>
      <c r="S970" s="3"/>
      <c r="T970" s="3"/>
      <c r="U970" s="3"/>
      <c r="V970" s="3"/>
      <c r="W970" s="3"/>
      <c r="X970" s="3"/>
      <c r="Y970" s="3"/>
      <c r="Z970" s="3"/>
      <c r="AA970" s="3"/>
      <c r="AB970" s="3"/>
      <c r="AC970" s="3"/>
    </row>
    <row r="971" spans="1:29" hidden="1" outlineLevel="1" x14ac:dyDescent="0.2">
      <c r="A971" s="3"/>
      <c r="B971" s="1047" t="s">
        <v>129</v>
      </c>
      <c r="C971" s="529" t="s">
        <v>129</v>
      </c>
      <c r="D971" s="529" t="s">
        <v>129</v>
      </c>
      <c r="E971" s="529" t="s">
        <v>129</v>
      </c>
      <c r="F971" s="529" t="s">
        <v>129</v>
      </c>
      <c r="G971" s="529" t="s">
        <v>129</v>
      </c>
      <c r="H971" s="529" t="s">
        <v>129</v>
      </c>
      <c r="I971" s="529" t="s">
        <v>129</v>
      </c>
      <c r="J971" s="529" t="s">
        <v>129</v>
      </c>
      <c r="K971" s="529" t="s">
        <v>129</v>
      </c>
      <c r="L971" s="1048" t="s">
        <v>129</v>
      </c>
      <c r="M971" s="3"/>
      <c r="N971" s="3"/>
      <c r="O971" s="3"/>
      <c r="P971" s="3"/>
      <c r="Q971" s="3"/>
      <c r="R971" s="3"/>
      <c r="S971" s="3"/>
      <c r="T971" s="3"/>
      <c r="U971" s="3"/>
      <c r="V971" s="3"/>
      <c r="W971" s="3"/>
      <c r="X971" s="3"/>
      <c r="Y971" s="3"/>
      <c r="Z971" s="3"/>
      <c r="AA971" s="3"/>
      <c r="AB971" s="3"/>
      <c r="AC971" s="3"/>
    </row>
    <row r="972" spans="1:29" hidden="1" outlineLevel="1" x14ac:dyDescent="0.2">
      <c r="A972" s="3"/>
      <c r="B972" s="1047" t="s">
        <v>129</v>
      </c>
      <c r="C972" s="529" t="s">
        <v>129</v>
      </c>
      <c r="D972" s="529" t="s">
        <v>129</v>
      </c>
      <c r="E972" s="529" t="s">
        <v>129</v>
      </c>
      <c r="F972" s="529" t="s">
        <v>129</v>
      </c>
      <c r="G972" s="529" t="s">
        <v>129</v>
      </c>
      <c r="H972" s="529" t="s">
        <v>129</v>
      </c>
      <c r="I972" s="529" t="s">
        <v>129</v>
      </c>
      <c r="J972" s="529" t="s">
        <v>129</v>
      </c>
      <c r="K972" s="529" t="s">
        <v>129</v>
      </c>
      <c r="L972" s="1048" t="s">
        <v>129</v>
      </c>
      <c r="M972" s="3"/>
      <c r="N972" s="3"/>
      <c r="O972" s="3"/>
      <c r="P972" s="3"/>
      <c r="Q972" s="3"/>
      <c r="R972" s="3"/>
      <c r="S972" s="3"/>
      <c r="T972" s="3"/>
      <c r="U972" s="3"/>
      <c r="V972" s="3"/>
      <c r="W972" s="3"/>
      <c r="X972" s="3"/>
      <c r="Y972" s="3"/>
      <c r="Z972" s="3"/>
      <c r="AA972" s="3"/>
      <c r="AB972" s="3"/>
      <c r="AC972" s="3"/>
    </row>
    <row r="973" spans="1:29" hidden="1" outlineLevel="1" x14ac:dyDescent="0.2">
      <c r="A973" s="3"/>
      <c r="B973" s="1047" t="s">
        <v>129</v>
      </c>
      <c r="C973" s="529" t="s">
        <v>129</v>
      </c>
      <c r="D973" s="529" t="s">
        <v>129</v>
      </c>
      <c r="E973" s="529" t="s">
        <v>129</v>
      </c>
      <c r="F973" s="529" t="s">
        <v>129</v>
      </c>
      <c r="G973" s="529" t="s">
        <v>129</v>
      </c>
      <c r="H973" s="529" t="s">
        <v>129</v>
      </c>
      <c r="I973" s="529" t="s">
        <v>129</v>
      </c>
      <c r="J973" s="529" t="s">
        <v>129</v>
      </c>
      <c r="K973" s="529" t="s">
        <v>129</v>
      </c>
      <c r="L973" s="1048" t="s">
        <v>129</v>
      </c>
      <c r="M973" s="3"/>
      <c r="N973" s="3"/>
      <c r="O973" s="3"/>
      <c r="P973" s="3"/>
      <c r="Q973" s="3"/>
      <c r="R973" s="3"/>
      <c r="S973" s="3"/>
      <c r="T973" s="3"/>
      <c r="U973" s="3"/>
      <c r="V973" s="3"/>
      <c r="W973" s="3"/>
      <c r="X973" s="3"/>
      <c r="Y973" s="3"/>
      <c r="Z973" s="3"/>
      <c r="AA973" s="3"/>
      <c r="AB973" s="3"/>
      <c r="AC973" s="3"/>
    </row>
    <row r="974" spans="1:29" hidden="1" outlineLevel="1" x14ac:dyDescent="0.2">
      <c r="A974" s="3"/>
      <c r="B974" s="1047" t="s">
        <v>129</v>
      </c>
      <c r="C974" s="529" t="s">
        <v>129</v>
      </c>
      <c r="D974" s="529" t="s">
        <v>129</v>
      </c>
      <c r="E974" s="529" t="s">
        <v>129</v>
      </c>
      <c r="F974" s="529" t="s">
        <v>129</v>
      </c>
      <c r="G974" s="529" t="s">
        <v>129</v>
      </c>
      <c r="H974" s="529" t="s">
        <v>129</v>
      </c>
      <c r="I974" s="529" t="s">
        <v>129</v>
      </c>
      <c r="J974" s="529" t="s">
        <v>129</v>
      </c>
      <c r="K974" s="529" t="s">
        <v>129</v>
      </c>
      <c r="L974" s="1048" t="s">
        <v>129</v>
      </c>
      <c r="M974" s="3"/>
      <c r="N974" s="3"/>
      <c r="O974" s="3"/>
      <c r="P974" s="3"/>
      <c r="Q974" s="3"/>
      <c r="R974" s="3"/>
      <c r="S974" s="3"/>
      <c r="T974" s="3"/>
      <c r="U974" s="3"/>
      <c r="V974" s="3"/>
      <c r="W974" s="3"/>
      <c r="X974" s="3"/>
      <c r="Y974" s="3"/>
      <c r="Z974" s="3"/>
      <c r="AA974" s="3"/>
      <c r="AB974" s="3"/>
      <c r="AC974" s="3"/>
    </row>
    <row r="975" spans="1:29" hidden="1" outlineLevel="1" x14ac:dyDescent="0.2">
      <c r="A975" s="3"/>
      <c r="B975" s="1047" t="s">
        <v>129</v>
      </c>
      <c r="C975" s="529" t="s">
        <v>129</v>
      </c>
      <c r="D975" s="529" t="s">
        <v>129</v>
      </c>
      <c r="E975" s="529" t="s">
        <v>129</v>
      </c>
      <c r="F975" s="529" t="s">
        <v>129</v>
      </c>
      <c r="G975" s="529" t="s">
        <v>129</v>
      </c>
      <c r="H975" s="529" t="s">
        <v>129</v>
      </c>
      <c r="I975" s="529" t="s">
        <v>129</v>
      </c>
      <c r="J975" s="529" t="s">
        <v>129</v>
      </c>
      <c r="K975" s="529" t="s">
        <v>129</v>
      </c>
      <c r="L975" s="1048" t="s">
        <v>129</v>
      </c>
      <c r="M975" s="3"/>
      <c r="N975" s="3"/>
      <c r="O975" s="3"/>
      <c r="P975" s="3"/>
      <c r="Q975" s="3"/>
      <c r="R975" s="3"/>
      <c r="S975" s="3"/>
      <c r="T975" s="3"/>
      <c r="U975" s="3"/>
      <c r="V975" s="3"/>
      <c r="W975" s="3"/>
      <c r="X975" s="3"/>
      <c r="Y975" s="3"/>
      <c r="Z975" s="3"/>
      <c r="AA975" s="3"/>
      <c r="AB975" s="3"/>
      <c r="AC975" s="3"/>
    </row>
    <row r="976" spans="1:29" hidden="1" outlineLevel="1" x14ac:dyDescent="0.2">
      <c r="A976" s="3"/>
      <c r="B976" s="1047" t="s">
        <v>129</v>
      </c>
      <c r="C976" s="529" t="s">
        <v>129</v>
      </c>
      <c r="D976" s="529" t="s">
        <v>129</v>
      </c>
      <c r="E976" s="529" t="s">
        <v>129</v>
      </c>
      <c r="F976" s="529" t="s">
        <v>129</v>
      </c>
      <c r="G976" s="529" t="s">
        <v>129</v>
      </c>
      <c r="H976" s="529" t="s">
        <v>129</v>
      </c>
      <c r="I976" s="529" t="s">
        <v>129</v>
      </c>
      <c r="J976" s="529" t="s">
        <v>129</v>
      </c>
      <c r="K976" s="529" t="s">
        <v>129</v>
      </c>
      <c r="L976" s="1048" t="s">
        <v>129</v>
      </c>
      <c r="M976" s="3"/>
      <c r="N976" s="3"/>
      <c r="O976" s="3"/>
      <c r="P976" s="3"/>
      <c r="Q976" s="3"/>
      <c r="R976" s="3"/>
      <c r="S976" s="3"/>
      <c r="T976" s="3"/>
      <c r="U976" s="3"/>
      <c r="V976" s="3"/>
      <c r="W976" s="3"/>
      <c r="X976" s="3"/>
      <c r="Y976" s="3"/>
      <c r="Z976" s="3"/>
      <c r="AA976" s="3"/>
      <c r="AB976" s="3"/>
      <c r="AC976" s="3"/>
    </row>
    <row r="977" spans="1:29" hidden="1" outlineLevel="1" x14ac:dyDescent="0.2">
      <c r="A977" s="3"/>
      <c r="B977" s="1047" t="s">
        <v>129</v>
      </c>
      <c r="C977" s="529" t="s">
        <v>129</v>
      </c>
      <c r="D977" s="529" t="s">
        <v>129</v>
      </c>
      <c r="E977" s="529" t="s">
        <v>129</v>
      </c>
      <c r="F977" s="529" t="s">
        <v>129</v>
      </c>
      <c r="G977" s="529" t="s">
        <v>129</v>
      </c>
      <c r="H977" s="529" t="s">
        <v>129</v>
      </c>
      <c r="I977" s="529" t="s">
        <v>129</v>
      </c>
      <c r="J977" s="529" t="s">
        <v>129</v>
      </c>
      <c r="K977" s="529" t="s">
        <v>129</v>
      </c>
      <c r="L977" s="1048" t="s">
        <v>129</v>
      </c>
      <c r="M977" s="3"/>
      <c r="N977" s="3"/>
      <c r="O977" s="3"/>
      <c r="P977" s="3"/>
      <c r="Q977" s="3"/>
      <c r="R977" s="3"/>
      <c r="S977" s="3"/>
      <c r="T977" s="3"/>
      <c r="U977" s="3"/>
      <c r="V977" s="3"/>
      <c r="W977" s="3"/>
      <c r="X977" s="3"/>
      <c r="Y977" s="3"/>
      <c r="Z977" s="3"/>
      <c r="AA977" s="3"/>
      <c r="AB977" s="3"/>
      <c r="AC977" s="3"/>
    </row>
    <row r="978" spans="1:29" hidden="1" outlineLevel="1" x14ac:dyDescent="0.2">
      <c r="A978" s="3"/>
      <c r="B978" s="1047" t="s">
        <v>129</v>
      </c>
      <c r="C978" s="529" t="s">
        <v>129</v>
      </c>
      <c r="D978" s="529" t="s">
        <v>129</v>
      </c>
      <c r="E978" s="529" t="s">
        <v>129</v>
      </c>
      <c r="F978" s="529" t="s">
        <v>129</v>
      </c>
      <c r="G978" s="529" t="s">
        <v>129</v>
      </c>
      <c r="H978" s="529" t="s">
        <v>129</v>
      </c>
      <c r="I978" s="529" t="s">
        <v>129</v>
      </c>
      <c r="J978" s="529" t="s">
        <v>129</v>
      </c>
      <c r="K978" s="529" t="s">
        <v>129</v>
      </c>
      <c r="L978" s="1048" t="s">
        <v>129</v>
      </c>
      <c r="M978" s="3"/>
      <c r="N978" s="3"/>
      <c r="O978" s="3"/>
      <c r="P978" s="3"/>
      <c r="Q978" s="3"/>
      <c r="R978" s="3"/>
      <c r="S978" s="3"/>
      <c r="T978" s="3"/>
      <c r="U978" s="3"/>
      <c r="V978" s="3"/>
      <c r="W978" s="3"/>
      <c r="X978" s="3"/>
      <c r="Y978" s="3"/>
      <c r="Z978" s="3"/>
      <c r="AA978" s="3"/>
      <c r="AB978" s="3"/>
      <c r="AC978" s="3"/>
    </row>
    <row r="979" spans="1:29" hidden="1" outlineLevel="1" x14ac:dyDescent="0.2">
      <c r="A979" s="3"/>
      <c r="B979" s="1047" t="s">
        <v>129</v>
      </c>
      <c r="C979" s="529" t="s">
        <v>129</v>
      </c>
      <c r="D979" s="529" t="s">
        <v>129</v>
      </c>
      <c r="E979" s="529" t="s">
        <v>129</v>
      </c>
      <c r="F979" s="529" t="s">
        <v>129</v>
      </c>
      <c r="G979" s="529" t="s">
        <v>129</v>
      </c>
      <c r="H979" s="529" t="s">
        <v>129</v>
      </c>
      <c r="I979" s="529" t="s">
        <v>129</v>
      </c>
      <c r="J979" s="529" t="s">
        <v>129</v>
      </c>
      <c r="K979" s="529" t="s">
        <v>129</v>
      </c>
      <c r="L979" s="1048" t="s">
        <v>129</v>
      </c>
      <c r="M979" s="3"/>
      <c r="N979" s="3"/>
      <c r="O979" s="3"/>
      <c r="P979" s="3"/>
      <c r="Q979" s="3"/>
      <c r="R979" s="3"/>
      <c r="S979" s="3"/>
      <c r="T979" s="3"/>
      <c r="U979" s="3"/>
      <c r="V979" s="3"/>
      <c r="W979" s="3"/>
      <c r="X979" s="3"/>
      <c r="Y979" s="3"/>
      <c r="Z979" s="3"/>
      <c r="AA979" s="3"/>
      <c r="AB979" s="3"/>
      <c r="AC979" s="3"/>
    </row>
    <row r="980" spans="1:29" hidden="1" outlineLevel="1" x14ac:dyDescent="0.2">
      <c r="A980" s="3"/>
      <c r="B980" s="1047" t="s">
        <v>129</v>
      </c>
      <c r="C980" s="529" t="s">
        <v>129</v>
      </c>
      <c r="D980" s="529" t="s">
        <v>129</v>
      </c>
      <c r="E980" s="529" t="s">
        <v>129</v>
      </c>
      <c r="F980" s="529" t="s">
        <v>129</v>
      </c>
      <c r="G980" s="529" t="s">
        <v>129</v>
      </c>
      <c r="H980" s="529" t="s">
        <v>129</v>
      </c>
      <c r="I980" s="529" t="s">
        <v>129</v>
      </c>
      <c r="J980" s="529" t="s">
        <v>129</v>
      </c>
      <c r="K980" s="529" t="s">
        <v>129</v>
      </c>
      <c r="L980" s="1048" t="s">
        <v>129</v>
      </c>
      <c r="M980" s="3"/>
      <c r="N980" s="3"/>
      <c r="O980" s="3"/>
      <c r="P980" s="3"/>
      <c r="Q980" s="3"/>
      <c r="R980" s="3"/>
      <c r="S980" s="3"/>
      <c r="T980" s="3"/>
      <c r="U980" s="3"/>
      <c r="V980" s="3"/>
      <c r="W980" s="3"/>
      <c r="X980" s="3"/>
      <c r="Y980" s="3"/>
      <c r="Z980" s="3"/>
      <c r="AA980" s="3"/>
      <c r="AB980" s="3"/>
      <c r="AC980" s="3"/>
    </row>
    <row r="981" spans="1:29" hidden="1" outlineLevel="1" x14ac:dyDescent="0.2">
      <c r="A981" s="3"/>
      <c r="B981" s="1047" t="s">
        <v>129</v>
      </c>
      <c r="C981" s="529" t="s">
        <v>129</v>
      </c>
      <c r="D981" s="529" t="s">
        <v>129</v>
      </c>
      <c r="E981" s="529" t="s">
        <v>129</v>
      </c>
      <c r="F981" s="529" t="s">
        <v>129</v>
      </c>
      <c r="G981" s="529" t="s">
        <v>129</v>
      </c>
      <c r="H981" s="529" t="s">
        <v>129</v>
      </c>
      <c r="I981" s="529" t="s">
        <v>129</v>
      </c>
      <c r="J981" s="529" t="s">
        <v>129</v>
      </c>
      <c r="K981" s="529" t="s">
        <v>129</v>
      </c>
      <c r="L981" s="1048" t="s">
        <v>129</v>
      </c>
      <c r="M981" s="3"/>
      <c r="N981" s="3"/>
      <c r="O981" s="3"/>
      <c r="P981" s="3"/>
      <c r="Q981" s="3"/>
      <c r="R981" s="3"/>
      <c r="S981" s="3"/>
      <c r="T981" s="3"/>
      <c r="U981" s="3"/>
      <c r="V981" s="3"/>
      <c r="W981" s="3"/>
      <c r="X981" s="3"/>
      <c r="Y981" s="3"/>
      <c r="Z981" s="3"/>
      <c r="AA981" s="3"/>
      <c r="AB981" s="3"/>
      <c r="AC981" s="3"/>
    </row>
    <row r="982" spans="1:29" hidden="1" outlineLevel="1" x14ac:dyDescent="0.2">
      <c r="A982" s="3"/>
      <c r="B982" s="1047" t="s">
        <v>129</v>
      </c>
      <c r="C982" s="529" t="s">
        <v>129</v>
      </c>
      <c r="D982" s="529" t="s">
        <v>129</v>
      </c>
      <c r="E982" s="529" t="s">
        <v>129</v>
      </c>
      <c r="F982" s="529" t="s">
        <v>129</v>
      </c>
      <c r="G982" s="529" t="s">
        <v>129</v>
      </c>
      <c r="H982" s="529" t="s">
        <v>129</v>
      </c>
      <c r="I982" s="529" t="s">
        <v>129</v>
      </c>
      <c r="J982" s="529" t="s">
        <v>129</v>
      </c>
      <c r="K982" s="529" t="s">
        <v>129</v>
      </c>
      <c r="L982" s="1048" t="s">
        <v>129</v>
      </c>
      <c r="M982" s="3"/>
      <c r="N982" s="3"/>
      <c r="O982" s="3"/>
      <c r="P982" s="3"/>
      <c r="Q982" s="3"/>
      <c r="R982" s="3"/>
      <c r="S982" s="3"/>
      <c r="T982" s="3"/>
      <c r="U982" s="3"/>
      <c r="V982" s="3"/>
      <c r="W982" s="3"/>
      <c r="X982" s="3"/>
      <c r="Y982" s="3"/>
      <c r="Z982" s="3"/>
      <c r="AA982" s="3"/>
      <c r="AB982" s="3"/>
      <c r="AC982" s="3"/>
    </row>
    <row r="983" spans="1:29" hidden="1" outlineLevel="1" x14ac:dyDescent="0.2">
      <c r="A983" s="3"/>
      <c r="B983" s="1047" t="s">
        <v>129</v>
      </c>
      <c r="C983" s="529" t="s">
        <v>129</v>
      </c>
      <c r="D983" s="529" t="s">
        <v>129</v>
      </c>
      <c r="E983" s="529" t="s">
        <v>129</v>
      </c>
      <c r="F983" s="529" t="s">
        <v>129</v>
      </c>
      <c r="G983" s="529" t="s">
        <v>129</v>
      </c>
      <c r="H983" s="529" t="s">
        <v>129</v>
      </c>
      <c r="I983" s="529" t="s">
        <v>129</v>
      </c>
      <c r="J983" s="529" t="s">
        <v>129</v>
      </c>
      <c r="K983" s="529" t="s">
        <v>129</v>
      </c>
      <c r="L983" s="1048" t="s">
        <v>129</v>
      </c>
      <c r="M983" s="3"/>
      <c r="N983" s="3"/>
      <c r="O983" s="3"/>
      <c r="P983" s="3"/>
      <c r="Q983" s="3"/>
      <c r="R983" s="3"/>
      <c r="S983" s="3"/>
      <c r="T983" s="3"/>
      <c r="U983" s="3"/>
      <c r="V983" s="3"/>
      <c r="W983" s="3"/>
      <c r="X983" s="3"/>
      <c r="Y983" s="3"/>
      <c r="Z983" s="3"/>
      <c r="AA983" s="3"/>
      <c r="AB983" s="3"/>
      <c r="AC983" s="3"/>
    </row>
    <row r="984" spans="1:29" hidden="1" outlineLevel="1" x14ac:dyDescent="0.2">
      <c r="A984" s="3"/>
      <c r="B984" s="1047" t="s">
        <v>129</v>
      </c>
      <c r="C984" s="529" t="s">
        <v>129</v>
      </c>
      <c r="D984" s="529" t="s">
        <v>129</v>
      </c>
      <c r="E984" s="529" t="s">
        <v>129</v>
      </c>
      <c r="F984" s="529" t="s">
        <v>129</v>
      </c>
      <c r="G984" s="529" t="s">
        <v>129</v>
      </c>
      <c r="H984" s="529" t="s">
        <v>129</v>
      </c>
      <c r="I984" s="529" t="s">
        <v>129</v>
      </c>
      <c r="J984" s="529" t="s">
        <v>129</v>
      </c>
      <c r="K984" s="529" t="s">
        <v>129</v>
      </c>
      <c r="L984" s="1048" t="s">
        <v>129</v>
      </c>
      <c r="M984" s="3"/>
      <c r="N984" s="3"/>
      <c r="O984" s="3"/>
      <c r="P984" s="3"/>
      <c r="Q984" s="3"/>
      <c r="R984" s="3"/>
      <c r="S984" s="3"/>
      <c r="T984" s="3"/>
      <c r="U984" s="3"/>
      <c r="V984" s="3"/>
      <c r="W984" s="3"/>
      <c r="X984" s="3"/>
      <c r="Y984" s="3"/>
      <c r="Z984" s="3"/>
      <c r="AA984" s="3"/>
      <c r="AB984" s="3"/>
      <c r="AC984" s="3"/>
    </row>
    <row r="985" spans="1:29" hidden="1" outlineLevel="1" x14ac:dyDescent="0.2">
      <c r="A985" s="3"/>
      <c r="B985" s="1047" t="s">
        <v>129</v>
      </c>
      <c r="C985" s="529" t="s">
        <v>129</v>
      </c>
      <c r="D985" s="529" t="s">
        <v>129</v>
      </c>
      <c r="E985" s="529" t="s">
        <v>129</v>
      </c>
      <c r="F985" s="529" t="s">
        <v>129</v>
      </c>
      <c r="G985" s="529" t="s">
        <v>129</v>
      </c>
      <c r="H985" s="529" t="s">
        <v>129</v>
      </c>
      <c r="I985" s="529" t="s">
        <v>129</v>
      </c>
      <c r="J985" s="529" t="s">
        <v>129</v>
      </c>
      <c r="K985" s="529" t="s">
        <v>129</v>
      </c>
      <c r="L985" s="1048" t="s">
        <v>129</v>
      </c>
      <c r="M985" s="3"/>
      <c r="N985" s="3"/>
      <c r="O985" s="3"/>
      <c r="P985" s="3"/>
      <c r="Q985" s="3"/>
      <c r="R985" s="3"/>
      <c r="S985" s="3"/>
      <c r="T985" s="3"/>
      <c r="U985" s="3"/>
      <c r="V985" s="3"/>
      <c r="W985" s="3"/>
      <c r="X985" s="3"/>
      <c r="Y985" s="3"/>
      <c r="Z985" s="3"/>
      <c r="AA985" s="3"/>
      <c r="AB985" s="3"/>
      <c r="AC985" s="3"/>
    </row>
    <row r="986" spans="1:29" hidden="1" outlineLevel="1" x14ac:dyDescent="0.2">
      <c r="A986" s="3"/>
      <c r="B986" s="1047" t="s">
        <v>129</v>
      </c>
      <c r="C986" s="529" t="s">
        <v>129</v>
      </c>
      <c r="D986" s="529" t="s">
        <v>129</v>
      </c>
      <c r="E986" s="529" t="s">
        <v>129</v>
      </c>
      <c r="F986" s="529" t="s">
        <v>129</v>
      </c>
      <c r="G986" s="529" t="s">
        <v>129</v>
      </c>
      <c r="H986" s="529" t="s">
        <v>129</v>
      </c>
      <c r="I986" s="529" t="s">
        <v>129</v>
      </c>
      <c r="J986" s="529" t="s">
        <v>129</v>
      </c>
      <c r="K986" s="529" t="s">
        <v>129</v>
      </c>
      <c r="L986" s="1048" t="s">
        <v>129</v>
      </c>
      <c r="M986" s="3"/>
      <c r="N986" s="3"/>
      <c r="O986" s="3"/>
      <c r="P986" s="3"/>
      <c r="Q986" s="3"/>
      <c r="R986" s="3"/>
      <c r="S986" s="3"/>
      <c r="T986" s="3"/>
      <c r="U986" s="3"/>
      <c r="V986" s="3"/>
      <c r="W986" s="3"/>
      <c r="X986" s="3"/>
      <c r="Y986" s="3"/>
      <c r="Z986" s="3"/>
      <c r="AA986" s="3"/>
      <c r="AB986" s="3"/>
      <c r="AC986" s="3"/>
    </row>
    <row r="987" spans="1:29" hidden="1" outlineLevel="1" x14ac:dyDescent="0.2">
      <c r="A987" s="3"/>
      <c r="B987" s="1047" t="s">
        <v>129</v>
      </c>
      <c r="C987" s="529" t="s">
        <v>129</v>
      </c>
      <c r="D987" s="529" t="s">
        <v>129</v>
      </c>
      <c r="E987" s="529" t="s">
        <v>129</v>
      </c>
      <c r="F987" s="529" t="s">
        <v>129</v>
      </c>
      <c r="G987" s="529" t="s">
        <v>129</v>
      </c>
      <c r="H987" s="529" t="s">
        <v>129</v>
      </c>
      <c r="I987" s="529" t="s">
        <v>129</v>
      </c>
      <c r="J987" s="529" t="s">
        <v>129</v>
      </c>
      <c r="K987" s="529" t="s">
        <v>129</v>
      </c>
      <c r="L987" s="1048" t="s">
        <v>129</v>
      </c>
      <c r="M987" s="3"/>
      <c r="N987" s="3"/>
      <c r="O987" s="3"/>
      <c r="P987" s="3"/>
      <c r="Q987" s="3"/>
      <c r="R987" s="3"/>
      <c r="S987" s="3"/>
      <c r="T987" s="3"/>
      <c r="U987" s="3"/>
      <c r="V987" s="3"/>
      <c r="W987" s="3"/>
      <c r="X987" s="3"/>
      <c r="Y987" s="3"/>
      <c r="Z987" s="3"/>
      <c r="AA987" s="3"/>
      <c r="AB987" s="3"/>
      <c r="AC987" s="3"/>
    </row>
    <row r="988" spans="1:29" hidden="1" outlineLevel="1" x14ac:dyDescent="0.2">
      <c r="A988" s="3"/>
      <c r="B988" s="1047" t="s">
        <v>129</v>
      </c>
      <c r="C988" s="529" t="s">
        <v>129</v>
      </c>
      <c r="D988" s="529" t="s">
        <v>129</v>
      </c>
      <c r="E988" s="529" t="s">
        <v>129</v>
      </c>
      <c r="F988" s="529" t="s">
        <v>129</v>
      </c>
      <c r="G988" s="529" t="s">
        <v>129</v>
      </c>
      <c r="H988" s="529" t="s">
        <v>129</v>
      </c>
      <c r="I988" s="529" t="s">
        <v>129</v>
      </c>
      <c r="J988" s="529" t="s">
        <v>129</v>
      </c>
      <c r="K988" s="529" t="s">
        <v>129</v>
      </c>
      <c r="L988" s="1048" t="s">
        <v>129</v>
      </c>
      <c r="M988" s="3"/>
      <c r="N988" s="3"/>
      <c r="O988" s="3"/>
      <c r="P988" s="3"/>
      <c r="Q988" s="3"/>
      <c r="R988" s="3"/>
      <c r="S988" s="3"/>
      <c r="T988" s="3"/>
      <c r="U988" s="3"/>
      <c r="V988" s="3"/>
      <c r="W988" s="3"/>
      <c r="X988" s="3"/>
      <c r="Y988" s="3"/>
      <c r="Z988" s="3"/>
      <c r="AA988" s="3"/>
      <c r="AB988" s="3"/>
      <c r="AC988" s="3"/>
    </row>
    <row r="989" spans="1:29" hidden="1" outlineLevel="1" x14ac:dyDescent="0.2">
      <c r="A989" s="3"/>
      <c r="B989" s="1047" t="s">
        <v>129</v>
      </c>
      <c r="C989" s="529" t="s">
        <v>129</v>
      </c>
      <c r="D989" s="529" t="s">
        <v>129</v>
      </c>
      <c r="E989" s="529" t="s">
        <v>129</v>
      </c>
      <c r="F989" s="529" t="s">
        <v>129</v>
      </c>
      <c r="G989" s="529" t="s">
        <v>129</v>
      </c>
      <c r="H989" s="529" t="s">
        <v>129</v>
      </c>
      <c r="I989" s="529" t="s">
        <v>129</v>
      </c>
      <c r="J989" s="529" t="s">
        <v>129</v>
      </c>
      <c r="K989" s="529" t="s">
        <v>129</v>
      </c>
      <c r="L989" s="1048" t="s">
        <v>129</v>
      </c>
      <c r="M989" s="3"/>
      <c r="N989" s="3"/>
      <c r="O989" s="3"/>
      <c r="P989" s="3"/>
      <c r="Q989" s="3"/>
      <c r="R989" s="3"/>
      <c r="S989" s="3"/>
      <c r="T989" s="3"/>
      <c r="U989" s="3"/>
      <c r="V989" s="3"/>
      <c r="W989" s="3"/>
      <c r="X989" s="3"/>
      <c r="Y989" s="3"/>
      <c r="Z989" s="3"/>
      <c r="AA989" s="3"/>
      <c r="AB989" s="3"/>
      <c r="AC989" s="3"/>
    </row>
    <row r="990" spans="1:29" hidden="1" outlineLevel="1" x14ac:dyDescent="0.2">
      <c r="A990" s="3"/>
      <c r="B990" s="1047" t="s">
        <v>129</v>
      </c>
      <c r="C990" s="529" t="s">
        <v>129</v>
      </c>
      <c r="D990" s="529" t="s">
        <v>129</v>
      </c>
      <c r="E990" s="529" t="s">
        <v>129</v>
      </c>
      <c r="F990" s="529" t="s">
        <v>129</v>
      </c>
      <c r="G990" s="529" t="s">
        <v>129</v>
      </c>
      <c r="H990" s="529" t="s">
        <v>129</v>
      </c>
      <c r="I990" s="529" t="s">
        <v>129</v>
      </c>
      <c r="J990" s="529" t="s">
        <v>129</v>
      </c>
      <c r="K990" s="529" t="s">
        <v>129</v>
      </c>
      <c r="L990" s="1048" t="s">
        <v>129</v>
      </c>
      <c r="M990" s="3"/>
      <c r="N990" s="3"/>
      <c r="O990" s="3"/>
      <c r="P990" s="3"/>
      <c r="Q990" s="3"/>
      <c r="R990" s="3"/>
      <c r="S990" s="3"/>
      <c r="T990" s="3"/>
      <c r="U990" s="3"/>
      <c r="V990" s="3"/>
      <c r="W990" s="3"/>
      <c r="X990" s="3"/>
      <c r="Y990" s="3"/>
      <c r="Z990" s="3"/>
      <c r="AA990" s="3"/>
      <c r="AB990" s="3"/>
      <c r="AC990" s="3"/>
    </row>
    <row r="991" spans="1:29" hidden="1" outlineLevel="1" x14ac:dyDescent="0.2">
      <c r="A991" s="3"/>
      <c r="B991" s="1047" t="s">
        <v>129</v>
      </c>
      <c r="C991" s="529" t="s">
        <v>129</v>
      </c>
      <c r="D991" s="529" t="s">
        <v>129</v>
      </c>
      <c r="E991" s="529" t="s">
        <v>129</v>
      </c>
      <c r="F991" s="529" t="s">
        <v>129</v>
      </c>
      <c r="G991" s="529" t="s">
        <v>129</v>
      </c>
      <c r="H991" s="529" t="s">
        <v>129</v>
      </c>
      <c r="I991" s="529" t="s">
        <v>129</v>
      </c>
      <c r="J991" s="529" t="s">
        <v>129</v>
      </c>
      <c r="K991" s="529" t="s">
        <v>129</v>
      </c>
      <c r="L991" s="1048" t="s">
        <v>129</v>
      </c>
      <c r="M991" s="3"/>
      <c r="N991" s="3"/>
      <c r="O991" s="3"/>
      <c r="P991" s="3"/>
      <c r="Q991" s="3"/>
      <c r="R991" s="3"/>
      <c r="S991" s="3"/>
      <c r="T991" s="3"/>
      <c r="U991" s="3"/>
      <c r="V991" s="3"/>
      <c r="W991" s="3"/>
      <c r="X991" s="3"/>
      <c r="Y991" s="3"/>
      <c r="Z991" s="3"/>
      <c r="AA991" s="3"/>
      <c r="AB991" s="3"/>
      <c r="AC991" s="3"/>
    </row>
    <row r="992" spans="1:29" hidden="1" outlineLevel="1" x14ac:dyDescent="0.2">
      <c r="A992" s="3"/>
      <c r="B992" s="1047" t="s">
        <v>129</v>
      </c>
      <c r="C992" s="529" t="s">
        <v>129</v>
      </c>
      <c r="D992" s="529" t="s">
        <v>129</v>
      </c>
      <c r="E992" s="529" t="s">
        <v>129</v>
      </c>
      <c r="F992" s="529" t="s">
        <v>129</v>
      </c>
      <c r="G992" s="529" t="s">
        <v>129</v>
      </c>
      <c r="H992" s="529" t="s">
        <v>129</v>
      </c>
      <c r="I992" s="529" t="s">
        <v>129</v>
      </c>
      <c r="J992" s="529" t="s">
        <v>129</v>
      </c>
      <c r="K992" s="529" t="s">
        <v>129</v>
      </c>
      <c r="L992" s="1048" t="s">
        <v>129</v>
      </c>
      <c r="M992" s="3"/>
      <c r="N992" s="3"/>
      <c r="O992" s="3"/>
      <c r="P992" s="3"/>
      <c r="Q992" s="3"/>
      <c r="R992" s="3"/>
      <c r="S992" s="3"/>
      <c r="T992" s="3"/>
      <c r="U992" s="3"/>
      <c r="V992" s="3"/>
      <c r="W992" s="3"/>
      <c r="X992" s="3"/>
      <c r="Y992" s="3"/>
      <c r="Z992" s="3"/>
      <c r="AA992" s="3"/>
      <c r="AB992" s="3"/>
      <c r="AC992" s="3"/>
    </row>
    <row r="993" spans="1:29" hidden="1" outlineLevel="1" x14ac:dyDescent="0.2">
      <c r="A993" s="3"/>
      <c r="B993" s="1047" t="s">
        <v>129</v>
      </c>
      <c r="C993" s="529" t="s">
        <v>129</v>
      </c>
      <c r="D993" s="529" t="s">
        <v>129</v>
      </c>
      <c r="E993" s="529" t="s">
        <v>129</v>
      </c>
      <c r="F993" s="529" t="s">
        <v>129</v>
      </c>
      <c r="G993" s="529" t="s">
        <v>129</v>
      </c>
      <c r="H993" s="529" t="s">
        <v>129</v>
      </c>
      <c r="I993" s="529" t="s">
        <v>129</v>
      </c>
      <c r="J993" s="529" t="s">
        <v>129</v>
      </c>
      <c r="K993" s="529" t="s">
        <v>129</v>
      </c>
      <c r="L993" s="1048" t="s">
        <v>129</v>
      </c>
      <c r="M993" s="3"/>
      <c r="N993" s="3"/>
      <c r="O993" s="3"/>
      <c r="P993" s="3"/>
      <c r="Q993" s="3"/>
      <c r="R993" s="3"/>
      <c r="S993" s="3"/>
      <c r="T993" s="3"/>
      <c r="U993" s="3"/>
      <c r="V993" s="3"/>
      <c r="W993" s="3"/>
      <c r="X993" s="3"/>
      <c r="Y993" s="3"/>
      <c r="Z993" s="3"/>
      <c r="AA993" s="3"/>
      <c r="AB993" s="3"/>
      <c r="AC993" s="3"/>
    </row>
    <row r="994" spans="1:29" hidden="1" outlineLevel="1" x14ac:dyDescent="0.2">
      <c r="A994" s="3"/>
      <c r="B994" s="1047" t="s">
        <v>129</v>
      </c>
      <c r="C994" s="529" t="s">
        <v>129</v>
      </c>
      <c r="D994" s="529" t="s">
        <v>129</v>
      </c>
      <c r="E994" s="529" t="s">
        <v>129</v>
      </c>
      <c r="F994" s="529" t="s">
        <v>129</v>
      </c>
      <c r="G994" s="529" t="s">
        <v>129</v>
      </c>
      <c r="H994" s="529" t="s">
        <v>129</v>
      </c>
      <c r="I994" s="529" t="s">
        <v>129</v>
      </c>
      <c r="J994" s="529" t="s">
        <v>129</v>
      </c>
      <c r="K994" s="529" t="s">
        <v>129</v>
      </c>
      <c r="L994" s="1048" t="s">
        <v>129</v>
      </c>
      <c r="M994" s="3"/>
      <c r="N994" s="3"/>
      <c r="O994" s="3"/>
      <c r="P994" s="3"/>
      <c r="Q994" s="3"/>
      <c r="R994" s="3"/>
      <c r="S994" s="3"/>
      <c r="T994" s="3"/>
      <c r="U994" s="3"/>
      <c r="V994" s="3"/>
      <c r="W994" s="3"/>
      <c r="X994" s="3"/>
      <c r="Y994" s="3"/>
      <c r="Z994" s="3"/>
      <c r="AA994" s="3"/>
      <c r="AB994" s="3"/>
      <c r="AC994" s="3"/>
    </row>
    <row r="995" spans="1:29" hidden="1" outlineLevel="1" x14ac:dyDescent="0.2">
      <c r="A995" s="3"/>
      <c r="B995" s="1047" t="s">
        <v>129</v>
      </c>
      <c r="C995" s="529" t="s">
        <v>129</v>
      </c>
      <c r="D995" s="529" t="s">
        <v>129</v>
      </c>
      <c r="E995" s="529" t="s">
        <v>129</v>
      </c>
      <c r="F995" s="529" t="s">
        <v>129</v>
      </c>
      <c r="G995" s="529" t="s">
        <v>129</v>
      </c>
      <c r="H995" s="529" t="s">
        <v>129</v>
      </c>
      <c r="I995" s="529" t="s">
        <v>129</v>
      </c>
      <c r="J995" s="529" t="s">
        <v>129</v>
      </c>
      <c r="K995" s="529" t="s">
        <v>129</v>
      </c>
      <c r="L995" s="1048" t="s">
        <v>129</v>
      </c>
      <c r="M995" s="3"/>
      <c r="N995" s="3"/>
      <c r="O995" s="3"/>
      <c r="P995" s="3"/>
      <c r="Q995" s="3"/>
      <c r="R995" s="3"/>
      <c r="S995" s="3"/>
      <c r="T995" s="3"/>
      <c r="U995" s="3"/>
      <c r="V995" s="3"/>
      <c r="W995" s="3"/>
      <c r="X995" s="3"/>
      <c r="Y995" s="3"/>
      <c r="Z995" s="3"/>
      <c r="AA995" s="3"/>
      <c r="AB995" s="3"/>
      <c r="AC995" s="3"/>
    </row>
    <row r="996" spans="1:29" hidden="1" outlineLevel="1" x14ac:dyDescent="0.2">
      <c r="A996" s="3"/>
      <c r="B996" s="1047" t="s">
        <v>129</v>
      </c>
      <c r="C996" s="529" t="s">
        <v>129</v>
      </c>
      <c r="D996" s="529" t="s">
        <v>129</v>
      </c>
      <c r="E996" s="529" t="s">
        <v>129</v>
      </c>
      <c r="F996" s="529" t="s">
        <v>129</v>
      </c>
      <c r="G996" s="529" t="s">
        <v>129</v>
      </c>
      <c r="H996" s="529" t="s">
        <v>129</v>
      </c>
      <c r="I996" s="529" t="s">
        <v>129</v>
      </c>
      <c r="J996" s="529" t="s">
        <v>129</v>
      </c>
      <c r="K996" s="529" t="s">
        <v>129</v>
      </c>
      <c r="L996" s="1048" t="s">
        <v>129</v>
      </c>
      <c r="M996" s="3"/>
      <c r="N996" s="3"/>
      <c r="O996" s="3"/>
      <c r="P996" s="3"/>
      <c r="Q996" s="3"/>
      <c r="R996" s="3"/>
      <c r="S996" s="3"/>
      <c r="T996" s="3"/>
      <c r="U996" s="3"/>
      <c r="V996" s="3"/>
      <c r="W996" s="3"/>
      <c r="X996" s="3"/>
      <c r="Y996" s="3"/>
      <c r="Z996" s="3"/>
      <c r="AA996" s="3"/>
      <c r="AB996" s="3"/>
      <c r="AC996" s="3"/>
    </row>
    <row r="997" spans="1:29" hidden="1" outlineLevel="1" x14ac:dyDescent="0.2">
      <c r="A997" s="3"/>
      <c r="B997" s="1047" t="s">
        <v>129</v>
      </c>
      <c r="C997" s="529" t="s">
        <v>129</v>
      </c>
      <c r="D997" s="529" t="s">
        <v>129</v>
      </c>
      <c r="E997" s="529" t="s">
        <v>129</v>
      </c>
      <c r="F997" s="529" t="s">
        <v>129</v>
      </c>
      <c r="G997" s="529" t="s">
        <v>129</v>
      </c>
      <c r="H997" s="529" t="s">
        <v>129</v>
      </c>
      <c r="I997" s="529" t="s">
        <v>129</v>
      </c>
      <c r="J997" s="529" t="s">
        <v>129</v>
      </c>
      <c r="K997" s="529" t="s">
        <v>129</v>
      </c>
      <c r="L997" s="1048" t="s">
        <v>129</v>
      </c>
      <c r="M997" s="3"/>
      <c r="N997" s="3"/>
      <c r="O997" s="3"/>
      <c r="P997" s="3"/>
      <c r="Q997" s="3"/>
      <c r="R997" s="3"/>
      <c r="S997" s="3"/>
      <c r="T997" s="3"/>
      <c r="U997" s="3"/>
      <c r="V997" s="3"/>
      <c r="W997" s="3"/>
      <c r="X997" s="3"/>
      <c r="Y997" s="3"/>
      <c r="Z997" s="3"/>
      <c r="AA997" s="3"/>
      <c r="AB997" s="3"/>
      <c r="AC997" s="3"/>
    </row>
    <row r="998" spans="1:29" hidden="1" outlineLevel="1" x14ac:dyDescent="0.2">
      <c r="A998" s="3"/>
      <c r="B998" s="1047" t="s">
        <v>129</v>
      </c>
      <c r="C998" s="529" t="s">
        <v>129</v>
      </c>
      <c r="D998" s="529" t="s">
        <v>129</v>
      </c>
      <c r="E998" s="529" t="s">
        <v>129</v>
      </c>
      <c r="F998" s="529" t="s">
        <v>129</v>
      </c>
      <c r="G998" s="529" t="s">
        <v>129</v>
      </c>
      <c r="H998" s="529" t="s">
        <v>129</v>
      </c>
      <c r="I998" s="529" t="s">
        <v>129</v>
      </c>
      <c r="J998" s="529" t="s">
        <v>129</v>
      </c>
      <c r="K998" s="529" t="s">
        <v>129</v>
      </c>
      <c r="L998" s="1048" t="s">
        <v>129</v>
      </c>
      <c r="M998" s="3"/>
      <c r="N998" s="3"/>
      <c r="O998" s="3"/>
      <c r="P998" s="3"/>
      <c r="Q998" s="3"/>
      <c r="R998" s="3"/>
      <c r="S998" s="3"/>
      <c r="T998" s="3"/>
      <c r="U998" s="3"/>
      <c r="V998" s="3"/>
      <c r="W998" s="3"/>
      <c r="X998" s="3"/>
      <c r="Y998" s="3"/>
      <c r="Z998" s="3"/>
      <c r="AA998" s="3"/>
      <c r="AB998" s="3"/>
      <c r="AC998" s="3"/>
    </row>
    <row r="999" spans="1:29" hidden="1" outlineLevel="1" x14ac:dyDescent="0.2">
      <c r="A999" s="3"/>
      <c r="B999" s="1047" t="s">
        <v>129</v>
      </c>
      <c r="C999" s="529" t="s">
        <v>129</v>
      </c>
      <c r="D999" s="529" t="s">
        <v>129</v>
      </c>
      <c r="E999" s="529" t="s">
        <v>129</v>
      </c>
      <c r="F999" s="529" t="s">
        <v>129</v>
      </c>
      <c r="G999" s="529" t="s">
        <v>129</v>
      </c>
      <c r="H999" s="529" t="s">
        <v>129</v>
      </c>
      <c r="I999" s="529" t="s">
        <v>129</v>
      </c>
      <c r="J999" s="529" t="s">
        <v>129</v>
      </c>
      <c r="K999" s="529" t="s">
        <v>129</v>
      </c>
      <c r="L999" s="1048" t="s">
        <v>129</v>
      </c>
      <c r="M999" s="3"/>
      <c r="N999" s="3"/>
      <c r="O999" s="3"/>
      <c r="P999" s="3"/>
      <c r="Q999" s="3"/>
      <c r="R999" s="3"/>
      <c r="S999" s="3"/>
      <c r="T999" s="3"/>
      <c r="U999" s="3"/>
      <c r="V999" s="3"/>
      <c r="W999" s="3"/>
      <c r="X999" s="3"/>
      <c r="Y999" s="3"/>
      <c r="Z999" s="3"/>
      <c r="AA999" s="3"/>
      <c r="AB999" s="3"/>
      <c r="AC999" s="3"/>
    </row>
    <row r="1000" spans="1:29" hidden="1" outlineLevel="1" x14ac:dyDescent="0.2">
      <c r="A1000" s="3"/>
      <c r="B1000" s="1047" t="s">
        <v>129</v>
      </c>
      <c r="C1000" s="529" t="s">
        <v>129</v>
      </c>
      <c r="D1000" s="529" t="s">
        <v>129</v>
      </c>
      <c r="E1000" s="529" t="s">
        <v>129</v>
      </c>
      <c r="F1000" s="529" t="s">
        <v>129</v>
      </c>
      <c r="G1000" s="529" t="s">
        <v>129</v>
      </c>
      <c r="H1000" s="529" t="s">
        <v>129</v>
      </c>
      <c r="I1000" s="529" t="s">
        <v>129</v>
      </c>
      <c r="J1000" s="529" t="s">
        <v>129</v>
      </c>
      <c r="K1000" s="529" t="s">
        <v>129</v>
      </c>
      <c r="L1000" s="1048" t="s">
        <v>129</v>
      </c>
      <c r="M1000" s="3"/>
      <c r="N1000" s="3"/>
      <c r="O1000" s="3"/>
      <c r="P1000" s="3"/>
      <c r="Q1000" s="3"/>
      <c r="R1000" s="3"/>
      <c r="S1000" s="3"/>
      <c r="T1000" s="3"/>
      <c r="U1000" s="3"/>
      <c r="V1000" s="3"/>
      <c r="W1000" s="3"/>
      <c r="X1000" s="3"/>
      <c r="Y1000" s="3"/>
      <c r="Z1000" s="3"/>
      <c r="AA1000" s="3"/>
      <c r="AB1000" s="3"/>
      <c r="AC1000" s="3"/>
    </row>
    <row r="1001" spans="1:29" hidden="1" outlineLevel="1" x14ac:dyDescent="0.2">
      <c r="A1001" s="3"/>
      <c r="B1001" s="1047" t="s">
        <v>129</v>
      </c>
      <c r="C1001" s="529" t="s">
        <v>129</v>
      </c>
      <c r="D1001" s="529" t="s">
        <v>129</v>
      </c>
      <c r="E1001" s="529" t="s">
        <v>129</v>
      </c>
      <c r="F1001" s="529" t="s">
        <v>129</v>
      </c>
      <c r="G1001" s="529" t="s">
        <v>129</v>
      </c>
      <c r="H1001" s="529" t="s">
        <v>129</v>
      </c>
      <c r="I1001" s="529" t="s">
        <v>129</v>
      </c>
      <c r="J1001" s="529" t="s">
        <v>129</v>
      </c>
      <c r="K1001" s="529" t="s">
        <v>129</v>
      </c>
      <c r="L1001" s="1048" t="s">
        <v>129</v>
      </c>
      <c r="M1001" s="3"/>
      <c r="N1001" s="3"/>
      <c r="O1001" s="3"/>
      <c r="P1001" s="3"/>
      <c r="Q1001" s="3"/>
      <c r="R1001" s="3"/>
      <c r="S1001" s="3"/>
      <c r="T1001" s="3"/>
      <c r="U1001" s="3"/>
      <c r="V1001" s="3"/>
      <c r="W1001" s="3"/>
      <c r="X1001" s="3"/>
      <c r="Y1001" s="3"/>
      <c r="Z1001" s="3"/>
      <c r="AA1001" s="3"/>
      <c r="AB1001" s="3"/>
      <c r="AC1001" s="3"/>
    </row>
    <row r="1002" spans="1:29" hidden="1" outlineLevel="1" x14ac:dyDescent="0.2">
      <c r="A1002" s="3"/>
      <c r="B1002" s="1047" t="s">
        <v>129</v>
      </c>
      <c r="C1002" s="529" t="s">
        <v>129</v>
      </c>
      <c r="D1002" s="529" t="s">
        <v>129</v>
      </c>
      <c r="E1002" s="529" t="s">
        <v>129</v>
      </c>
      <c r="F1002" s="529" t="s">
        <v>129</v>
      </c>
      <c r="G1002" s="529" t="s">
        <v>129</v>
      </c>
      <c r="H1002" s="529" t="s">
        <v>129</v>
      </c>
      <c r="I1002" s="529" t="s">
        <v>129</v>
      </c>
      <c r="J1002" s="529" t="s">
        <v>129</v>
      </c>
      <c r="K1002" s="529" t="s">
        <v>129</v>
      </c>
      <c r="L1002" s="1048" t="s">
        <v>129</v>
      </c>
      <c r="M1002" s="3"/>
      <c r="N1002" s="3"/>
      <c r="O1002" s="3"/>
      <c r="P1002" s="3"/>
      <c r="Q1002" s="3"/>
      <c r="R1002" s="3"/>
      <c r="S1002" s="3"/>
      <c r="T1002" s="3"/>
      <c r="U1002" s="3"/>
      <c r="V1002" s="3"/>
      <c r="W1002" s="3"/>
      <c r="X1002" s="3"/>
      <c r="Y1002" s="3"/>
      <c r="Z1002" s="3"/>
      <c r="AA1002" s="3"/>
      <c r="AB1002" s="3"/>
      <c r="AC1002" s="3"/>
    </row>
    <row r="1003" spans="1:29" hidden="1" outlineLevel="1" x14ac:dyDescent="0.2">
      <c r="A1003" s="3"/>
      <c r="B1003" s="1047" t="s">
        <v>129</v>
      </c>
      <c r="C1003" s="529" t="s">
        <v>129</v>
      </c>
      <c r="D1003" s="529" t="s">
        <v>129</v>
      </c>
      <c r="E1003" s="529" t="s">
        <v>129</v>
      </c>
      <c r="F1003" s="529" t="s">
        <v>129</v>
      </c>
      <c r="G1003" s="529" t="s">
        <v>129</v>
      </c>
      <c r="H1003" s="529" t="s">
        <v>129</v>
      </c>
      <c r="I1003" s="529" t="s">
        <v>129</v>
      </c>
      <c r="J1003" s="529" t="s">
        <v>129</v>
      </c>
      <c r="K1003" s="529" t="s">
        <v>129</v>
      </c>
      <c r="L1003" s="1048" t="s">
        <v>129</v>
      </c>
      <c r="M1003" s="3"/>
      <c r="N1003" s="3"/>
      <c r="O1003" s="3"/>
      <c r="P1003" s="3"/>
      <c r="Q1003" s="3"/>
      <c r="R1003" s="3"/>
      <c r="S1003" s="3"/>
      <c r="T1003" s="3"/>
      <c r="U1003" s="3"/>
      <c r="V1003" s="3"/>
      <c r="W1003" s="3"/>
      <c r="X1003" s="3"/>
      <c r="Y1003" s="3"/>
      <c r="Z1003" s="3"/>
      <c r="AA1003" s="3"/>
      <c r="AB1003" s="3"/>
      <c r="AC1003" s="3"/>
    </row>
    <row r="1004" spans="1:29" hidden="1" outlineLevel="1" x14ac:dyDescent="0.2">
      <c r="A1004" s="3"/>
      <c r="B1004" s="1047" t="s">
        <v>129</v>
      </c>
      <c r="C1004" s="529" t="s">
        <v>129</v>
      </c>
      <c r="D1004" s="529" t="s">
        <v>129</v>
      </c>
      <c r="E1004" s="529" t="s">
        <v>129</v>
      </c>
      <c r="F1004" s="529" t="s">
        <v>129</v>
      </c>
      <c r="G1004" s="529" t="s">
        <v>129</v>
      </c>
      <c r="H1004" s="529" t="s">
        <v>129</v>
      </c>
      <c r="I1004" s="529" t="s">
        <v>129</v>
      </c>
      <c r="J1004" s="529" t="s">
        <v>129</v>
      </c>
      <c r="K1004" s="529" t="s">
        <v>129</v>
      </c>
      <c r="L1004" s="1048" t="s">
        <v>129</v>
      </c>
      <c r="M1004" s="3"/>
      <c r="N1004" s="3"/>
      <c r="O1004" s="3"/>
      <c r="P1004" s="3"/>
      <c r="Q1004" s="3"/>
      <c r="R1004" s="3"/>
      <c r="S1004" s="3"/>
      <c r="T1004" s="3"/>
      <c r="U1004" s="3"/>
      <c r="V1004" s="3"/>
      <c r="W1004" s="3"/>
      <c r="X1004" s="3"/>
      <c r="Y1004" s="3"/>
      <c r="Z1004" s="3"/>
      <c r="AA1004" s="3"/>
      <c r="AB1004" s="3"/>
      <c r="AC1004" s="3"/>
    </row>
    <row r="1005" spans="1:29" hidden="1" outlineLevel="1" x14ac:dyDescent="0.2">
      <c r="A1005" s="3"/>
      <c r="B1005" s="1047" t="s">
        <v>129</v>
      </c>
      <c r="C1005" s="529" t="s">
        <v>129</v>
      </c>
      <c r="D1005" s="529" t="s">
        <v>129</v>
      </c>
      <c r="E1005" s="529" t="s">
        <v>129</v>
      </c>
      <c r="F1005" s="529" t="s">
        <v>129</v>
      </c>
      <c r="G1005" s="529" t="s">
        <v>129</v>
      </c>
      <c r="H1005" s="529" t="s">
        <v>129</v>
      </c>
      <c r="I1005" s="529" t="s">
        <v>129</v>
      </c>
      <c r="J1005" s="529" t="s">
        <v>129</v>
      </c>
      <c r="K1005" s="529" t="s">
        <v>129</v>
      </c>
      <c r="L1005" s="1048" t="s">
        <v>129</v>
      </c>
      <c r="M1005" s="3"/>
      <c r="N1005" s="3"/>
      <c r="O1005" s="3"/>
      <c r="P1005" s="3"/>
      <c r="Q1005" s="3"/>
      <c r="R1005" s="3"/>
      <c r="S1005" s="3"/>
      <c r="T1005" s="3"/>
      <c r="U1005" s="3"/>
      <c r="V1005" s="3"/>
      <c r="W1005" s="3"/>
      <c r="X1005" s="3"/>
      <c r="Y1005" s="3"/>
      <c r="Z1005" s="3"/>
      <c r="AA1005" s="3"/>
      <c r="AB1005" s="3"/>
      <c r="AC1005" s="3"/>
    </row>
    <row r="1006" spans="1:29" hidden="1" outlineLevel="1" x14ac:dyDescent="0.2">
      <c r="A1006" s="3"/>
      <c r="B1006" s="1047" t="s">
        <v>129</v>
      </c>
      <c r="C1006" s="529" t="s">
        <v>129</v>
      </c>
      <c r="D1006" s="529" t="s">
        <v>129</v>
      </c>
      <c r="E1006" s="529" t="s">
        <v>129</v>
      </c>
      <c r="F1006" s="529" t="s">
        <v>129</v>
      </c>
      <c r="G1006" s="529" t="s">
        <v>129</v>
      </c>
      <c r="H1006" s="529" t="s">
        <v>129</v>
      </c>
      <c r="I1006" s="529" t="s">
        <v>129</v>
      </c>
      <c r="J1006" s="529" t="s">
        <v>129</v>
      </c>
      <c r="K1006" s="529" t="s">
        <v>129</v>
      </c>
      <c r="L1006" s="1048" t="s">
        <v>129</v>
      </c>
      <c r="M1006" s="3"/>
      <c r="N1006" s="3"/>
      <c r="O1006" s="3"/>
      <c r="P1006" s="3"/>
      <c r="Q1006" s="3"/>
      <c r="R1006" s="3"/>
      <c r="S1006" s="3"/>
      <c r="T1006" s="3"/>
      <c r="U1006" s="3"/>
      <c r="V1006" s="3"/>
      <c r="W1006" s="3"/>
      <c r="X1006" s="3"/>
      <c r="Y1006" s="3"/>
      <c r="Z1006" s="3"/>
      <c r="AA1006" s="3"/>
      <c r="AB1006" s="3"/>
      <c r="AC1006" s="3"/>
    </row>
    <row r="1007" spans="1:29" hidden="1" outlineLevel="1" x14ac:dyDescent="0.2">
      <c r="A1007" s="3"/>
      <c r="B1007" s="1047" t="s">
        <v>129</v>
      </c>
      <c r="C1007" s="529" t="s">
        <v>129</v>
      </c>
      <c r="D1007" s="529" t="s">
        <v>129</v>
      </c>
      <c r="E1007" s="529" t="s">
        <v>129</v>
      </c>
      <c r="F1007" s="529" t="s">
        <v>129</v>
      </c>
      <c r="G1007" s="529" t="s">
        <v>129</v>
      </c>
      <c r="H1007" s="529" t="s">
        <v>129</v>
      </c>
      <c r="I1007" s="529" t="s">
        <v>129</v>
      </c>
      <c r="J1007" s="529" t="s">
        <v>129</v>
      </c>
      <c r="K1007" s="529" t="s">
        <v>129</v>
      </c>
      <c r="L1007" s="1048" t="s">
        <v>129</v>
      </c>
      <c r="M1007" s="3"/>
      <c r="N1007" s="3"/>
      <c r="O1007" s="3"/>
      <c r="P1007" s="3"/>
      <c r="Q1007" s="3"/>
      <c r="R1007" s="3"/>
      <c r="S1007" s="3"/>
      <c r="T1007" s="3"/>
      <c r="U1007" s="3"/>
      <c r="V1007" s="3"/>
      <c r="W1007" s="3"/>
      <c r="X1007" s="3"/>
      <c r="Y1007" s="3"/>
      <c r="Z1007" s="3"/>
      <c r="AA1007" s="3"/>
      <c r="AB1007" s="3"/>
      <c r="AC1007" s="3"/>
    </row>
    <row r="1008" spans="1:29" hidden="1" outlineLevel="1" x14ac:dyDescent="0.2">
      <c r="A1008" s="3"/>
      <c r="B1008" s="1047" t="s">
        <v>129</v>
      </c>
      <c r="C1008" s="529" t="s">
        <v>129</v>
      </c>
      <c r="D1008" s="529" t="s">
        <v>129</v>
      </c>
      <c r="E1008" s="529" t="s">
        <v>129</v>
      </c>
      <c r="F1008" s="529" t="s">
        <v>129</v>
      </c>
      <c r="G1008" s="529" t="s">
        <v>129</v>
      </c>
      <c r="H1008" s="529" t="s">
        <v>129</v>
      </c>
      <c r="I1008" s="529" t="s">
        <v>129</v>
      </c>
      <c r="J1008" s="529" t="s">
        <v>129</v>
      </c>
      <c r="K1008" s="529" t="s">
        <v>129</v>
      </c>
      <c r="L1008" s="1048" t="s">
        <v>129</v>
      </c>
      <c r="M1008" s="3"/>
      <c r="N1008" s="3"/>
      <c r="O1008" s="3"/>
      <c r="P1008" s="3"/>
      <c r="Q1008" s="3"/>
      <c r="R1008" s="3"/>
      <c r="S1008" s="3"/>
      <c r="T1008" s="3"/>
      <c r="U1008" s="3"/>
      <c r="V1008" s="3"/>
      <c r="W1008" s="3"/>
      <c r="X1008" s="3"/>
      <c r="Y1008" s="3"/>
      <c r="Z1008" s="3"/>
      <c r="AA1008" s="3"/>
      <c r="AB1008" s="3"/>
      <c r="AC1008" s="3"/>
    </row>
    <row r="1009" spans="1:29" hidden="1" outlineLevel="1" x14ac:dyDescent="0.2">
      <c r="A1009" s="3"/>
      <c r="B1009" s="1047" t="s">
        <v>129</v>
      </c>
      <c r="C1009" s="529" t="s">
        <v>129</v>
      </c>
      <c r="D1009" s="529" t="s">
        <v>129</v>
      </c>
      <c r="E1009" s="529" t="s">
        <v>129</v>
      </c>
      <c r="F1009" s="529" t="s">
        <v>129</v>
      </c>
      <c r="G1009" s="529" t="s">
        <v>129</v>
      </c>
      <c r="H1009" s="529" t="s">
        <v>129</v>
      </c>
      <c r="I1009" s="529" t="s">
        <v>129</v>
      </c>
      <c r="J1009" s="529" t="s">
        <v>129</v>
      </c>
      <c r="K1009" s="529" t="s">
        <v>129</v>
      </c>
      <c r="L1009" s="1048" t="s">
        <v>129</v>
      </c>
      <c r="M1009" s="3"/>
      <c r="N1009" s="3"/>
      <c r="O1009" s="3"/>
      <c r="P1009" s="3"/>
      <c r="Q1009" s="3"/>
      <c r="R1009" s="3"/>
      <c r="S1009" s="3"/>
      <c r="T1009" s="3"/>
      <c r="U1009" s="3"/>
      <c r="V1009" s="3"/>
      <c r="W1009" s="3"/>
      <c r="X1009" s="3"/>
      <c r="Y1009" s="3"/>
      <c r="Z1009" s="3"/>
      <c r="AA1009" s="3"/>
      <c r="AB1009" s="3"/>
      <c r="AC1009" s="3"/>
    </row>
    <row r="1010" spans="1:29" hidden="1" outlineLevel="1" x14ac:dyDescent="0.2">
      <c r="A1010" s="3"/>
      <c r="B1010" s="1047" t="s">
        <v>129</v>
      </c>
      <c r="C1010" s="529" t="s">
        <v>129</v>
      </c>
      <c r="D1010" s="529" t="s">
        <v>129</v>
      </c>
      <c r="E1010" s="529" t="s">
        <v>129</v>
      </c>
      <c r="F1010" s="529" t="s">
        <v>129</v>
      </c>
      <c r="G1010" s="529" t="s">
        <v>129</v>
      </c>
      <c r="H1010" s="529" t="s">
        <v>129</v>
      </c>
      <c r="I1010" s="529" t="s">
        <v>129</v>
      </c>
      <c r="J1010" s="529" t="s">
        <v>129</v>
      </c>
      <c r="K1010" s="529" t="s">
        <v>129</v>
      </c>
      <c r="L1010" s="1048" t="s">
        <v>129</v>
      </c>
      <c r="M1010" s="3"/>
      <c r="N1010" s="3"/>
      <c r="O1010" s="3"/>
      <c r="P1010" s="3"/>
      <c r="Q1010" s="3"/>
      <c r="R1010" s="3"/>
      <c r="S1010" s="3"/>
      <c r="T1010" s="3"/>
      <c r="U1010" s="3"/>
      <c r="V1010" s="3"/>
      <c r="W1010" s="3"/>
      <c r="X1010" s="3"/>
      <c r="Y1010" s="3"/>
      <c r="Z1010" s="3"/>
      <c r="AA1010" s="3"/>
      <c r="AB1010" s="3"/>
      <c r="AC1010" s="3"/>
    </row>
    <row r="1011" spans="1:29" hidden="1" outlineLevel="1" x14ac:dyDescent="0.2">
      <c r="A1011" s="3"/>
      <c r="B1011" s="1047" t="s">
        <v>129</v>
      </c>
      <c r="C1011" s="529" t="s">
        <v>129</v>
      </c>
      <c r="D1011" s="529" t="s">
        <v>129</v>
      </c>
      <c r="E1011" s="529" t="s">
        <v>129</v>
      </c>
      <c r="F1011" s="529" t="s">
        <v>129</v>
      </c>
      <c r="G1011" s="529" t="s">
        <v>129</v>
      </c>
      <c r="H1011" s="529" t="s">
        <v>129</v>
      </c>
      <c r="I1011" s="529" t="s">
        <v>129</v>
      </c>
      <c r="J1011" s="529" t="s">
        <v>129</v>
      </c>
      <c r="K1011" s="529" t="s">
        <v>129</v>
      </c>
      <c r="L1011" s="1048" t="s">
        <v>129</v>
      </c>
      <c r="M1011" s="3"/>
      <c r="N1011" s="3"/>
      <c r="O1011" s="3"/>
      <c r="P1011" s="3"/>
      <c r="Q1011" s="3"/>
      <c r="R1011" s="3"/>
      <c r="S1011" s="3"/>
      <c r="T1011" s="3"/>
      <c r="U1011" s="3"/>
      <c r="V1011" s="3"/>
      <c r="W1011" s="3"/>
      <c r="X1011" s="3"/>
      <c r="Y1011" s="3"/>
      <c r="Z1011" s="3"/>
      <c r="AA1011" s="3"/>
      <c r="AB1011" s="3"/>
      <c r="AC1011" s="3"/>
    </row>
    <row r="1012" spans="1:29" hidden="1" outlineLevel="1" x14ac:dyDescent="0.2">
      <c r="A1012" s="3"/>
      <c r="B1012" s="1047" t="s">
        <v>129</v>
      </c>
      <c r="C1012" s="529" t="s">
        <v>129</v>
      </c>
      <c r="D1012" s="529" t="s">
        <v>129</v>
      </c>
      <c r="E1012" s="529" t="s">
        <v>129</v>
      </c>
      <c r="F1012" s="529" t="s">
        <v>129</v>
      </c>
      <c r="G1012" s="529" t="s">
        <v>129</v>
      </c>
      <c r="H1012" s="529" t="s">
        <v>129</v>
      </c>
      <c r="I1012" s="529" t="s">
        <v>129</v>
      </c>
      <c r="J1012" s="529" t="s">
        <v>129</v>
      </c>
      <c r="K1012" s="529" t="s">
        <v>129</v>
      </c>
      <c r="L1012" s="1048" t="s">
        <v>129</v>
      </c>
      <c r="M1012" s="3"/>
      <c r="N1012" s="3"/>
      <c r="O1012" s="3"/>
      <c r="P1012" s="3"/>
      <c r="Q1012" s="3"/>
      <c r="R1012" s="3"/>
      <c r="S1012" s="3"/>
      <c r="T1012" s="3"/>
      <c r="U1012" s="3"/>
      <c r="V1012" s="3"/>
      <c r="W1012" s="3"/>
      <c r="X1012" s="3"/>
      <c r="Y1012" s="3"/>
      <c r="Z1012" s="3"/>
      <c r="AA1012" s="3"/>
      <c r="AB1012" s="3"/>
      <c r="AC1012" s="3"/>
    </row>
    <row r="1013" spans="1:29" hidden="1" outlineLevel="1" x14ac:dyDescent="0.2">
      <c r="A1013" s="3"/>
      <c r="B1013" s="1047" t="s">
        <v>129</v>
      </c>
      <c r="C1013" s="529" t="s">
        <v>129</v>
      </c>
      <c r="D1013" s="529" t="s">
        <v>129</v>
      </c>
      <c r="E1013" s="529" t="s">
        <v>129</v>
      </c>
      <c r="F1013" s="529" t="s">
        <v>129</v>
      </c>
      <c r="G1013" s="529" t="s">
        <v>129</v>
      </c>
      <c r="H1013" s="529" t="s">
        <v>129</v>
      </c>
      <c r="I1013" s="529" t="s">
        <v>129</v>
      </c>
      <c r="J1013" s="529" t="s">
        <v>129</v>
      </c>
      <c r="K1013" s="529" t="s">
        <v>129</v>
      </c>
      <c r="L1013" s="1048" t="s">
        <v>129</v>
      </c>
      <c r="M1013" s="3"/>
      <c r="N1013" s="3"/>
      <c r="O1013" s="3"/>
      <c r="P1013" s="3"/>
      <c r="Q1013" s="3"/>
      <c r="R1013" s="3"/>
      <c r="S1013" s="3"/>
      <c r="T1013" s="3"/>
      <c r="U1013" s="3"/>
      <c r="V1013" s="3"/>
      <c r="W1013" s="3"/>
      <c r="X1013" s="3"/>
      <c r="Y1013" s="3"/>
      <c r="Z1013" s="3"/>
      <c r="AA1013" s="3"/>
      <c r="AB1013" s="3"/>
      <c r="AC1013" s="3"/>
    </row>
    <row r="1014" spans="1:29" hidden="1" outlineLevel="1" x14ac:dyDescent="0.2">
      <c r="A1014" s="3"/>
      <c r="B1014" s="1047" t="s">
        <v>129</v>
      </c>
      <c r="C1014" s="529" t="s">
        <v>129</v>
      </c>
      <c r="D1014" s="529" t="s">
        <v>129</v>
      </c>
      <c r="E1014" s="529" t="s">
        <v>129</v>
      </c>
      <c r="F1014" s="529" t="s">
        <v>129</v>
      </c>
      <c r="G1014" s="529" t="s">
        <v>129</v>
      </c>
      <c r="H1014" s="529" t="s">
        <v>129</v>
      </c>
      <c r="I1014" s="529" t="s">
        <v>129</v>
      </c>
      <c r="J1014" s="529" t="s">
        <v>129</v>
      </c>
      <c r="K1014" s="529" t="s">
        <v>129</v>
      </c>
      <c r="L1014" s="1048" t="s">
        <v>129</v>
      </c>
      <c r="M1014" s="3"/>
      <c r="N1014" s="3"/>
      <c r="O1014" s="3"/>
      <c r="P1014" s="3"/>
      <c r="Q1014" s="3"/>
      <c r="R1014" s="3"/>
      <c r="S1014" s="3"/>
      <c r="T1014" s="3"/>
      <c r="U1014" s="3"/>
      <c r="V1014" s="3"/>
      <c r="W1014" s="3"/>
      <c r="X1014" s="3"/>
      <c r="Y1014" s="3"/>
      <c r="Z1014" s="3"/>
      <c r="AA1014" s="3"/>
      <c r="AB1014" s="3"/>
      <c r="AC1014" s="3"/>
    </row>
    <row r="1015" spans="1:29" hidden="1" outlineLevel="1" x14ac:dyDescent="0.2">
      <c r="A1015" s="3"/>
      <c r="B1015" s="1047" t="s">
        <v>129</v>
      </c>
      <c r="C1015" s="529" t="s">
        <v>129</v>
      </c>
      <c r="D1015" s="529" t="s">
        <v>129</v>
      </c>
      <c r="E1015" s="529" t="s">
        <v>129</v>
      </c>
      <c r="F1015" s="529" t="s">
        <v>129</v>
      </c>
      <c r="G1015" s="529" t="s">
        <v>129</v>
      </c>
      <c r="H1015" s="529" t="s">
        <v>129</v>
      </c>
      <c r="I1015" s="529" t="s">
        <v>129</v>
      </c>
      <c r="J1015" s="529" t="s">
        <v>129</v>
      </c>
      <c r="K1015" s="529" t="s">
        <v>129</v>
      </c>
      <c r="L1015" s="1048" t="s">
        <v>129</v>
      </c>
      <c r="M1015" s="3"/>
      <c r="N1015" s="3"/>
      <c r="O1015" s="3"/>
      <c r="P1015" s="3"/>
      <c r="Q1015" s="3"/>
      <c r="R1015" s="3"/>
      <c r="S1015" s="3"/>
      <c r="T1015" s="3"/>
      <c r="U1015" s="3"/>
      <c r="V1015" s="3"/>
      <c r="W1015" s="3"/>
      <c r="X1015" s="3"/>
      <c r="Y1015" s="3"/>
      <c r="Z1015" s="3"/>
      <c r="AA1015" s="3"/>
      <c r="AB1015" s="3"/>
      <c r="AC1015" s="3"/>
    </row>
    <row r="1016" spans="1:29" hidden="1" outlineLevel="1" x14ac:dyDescent="0.2">
      <c r="A1016" s="3"/>
      <c r="B1016" s="1047" t="s">
        <v>129</v>
      </c>
      <c r="C1016" s="529" t="s">
        <v>129</v>
      </c>
      <c r="D1016" s="529" t="s">
        <v>129</v>
      </c>
      <c r="E1016" s="529" t="s">
        <v>129</v>
      </c>
      <c r="F1016" s="529" t="s">
        <v>129</v>
      </c>
      <c r="G1016" s="529" t="s">
        <v>129</v>
      </c>
      <c r="H1016" s="529" t="s">
        <v>129</v>
      </c>
      <c r="I1016" s="529" t="s">
        <v>129</v>
      </c>
      <c r="J1016" s="529" t="s">
        <v>129</v>
      </c>
      <c r="K1016" s="529" t="s">
        <v>129</v>
      </c>
      <c r="L1016" s="1048" t="s">
        <v>129</v>
      </c>
      <c r="M1016" s="3"/>
      <c r="N1016" s="3"/>
      <c r="O1016" s="3"/>
      <c r="P1016" s="3"/>
      <c r="Q1016" s="3"/>
      <c r="R1016" s="3"/>
      <c r="S1016" s="3"/>
      <c r="T1016" s="3"/>
      <c r="U1016" s="3"/>
      <c r="V1016" s="3"/>
      <c r="W1016" s="3"/>
      <c r="X1016" s="3"/>
      <c r="Y1016" s="3"/>
      <c r="Z1016" s="3"/>
      <c r="AA1016" s="3"/>
      <c r="AB1016" s="3"/>
      <c r="AC1016" s="3"/>
    </row>
    <row r="1017" spans="1:29" hidden="1" outlineLevel="1" x14ac:dyDescent="0.2">
      <c r="A1017" s="3"/>
      <c r="B1017" s="1047" t="s">
        <v>129</v>
      </c>
      <c r="C1017" s="529" t="s">
        <v>129</v>
      </c>
      <c r="D1017" s="529" t="s">
        <v>129</v>
      </c>
      <c r="E1017" s="529" t="s">
        <v>129</v>
      </c>
      <c r="F1017" s="529" t="s">
        <v>129</v>
      </c>
      <c r="G1017" s="529" t="s">
        <v>129</v>
      </c>
      <c r="H1017" s="529" t="s">
        <v>129</v>
      </c>
      <c r="I1017" s="529" t="s">
        <v>129</v>
      </c>
      <c r="J1017" s="529" t="s">
        <v>129</v>
      </c>
      <c r="K1017" s="529" t="s">
        <v>129</v>
      </c>
      <c r="L1017" s="1048" t="s">
        <v>129</v>
      </c>
      <c r="M1017" s="3"/>
      <c r="N1017" s="3"/>
      <c r="O1017" s="3"/>
      <c r="P1017" s="3"/>
      <c r="Q1017" s="3"/>
      <c r="R1017" s="3"/>
      <c r="S1017" s="3"/>
      <c r="T1017" s="3"/>
      <c r="U1017" s="3"/>
      <c r="V1017" s="3"/>
      <c r="W1017" s="3"/>
      <c r="X1017" s="3"/>
      <c r="Y1017" s="3"/>
      <c r="Z1017" s="3"/>
      <c r="AA1017" s="3"/>
      <c r="AB1017" s="3"/>
      <c r="AC1017" s="3"/>
    </row>
    <row r="1018" spans="1:29" hidden="1" outlineLevel="1" x14ac:dyDescent="0.2">
      <c r="A1018" s="3"/>
      <c r="B1018" s="1047" t="s">
        <v>129</v>
      </c>
      <c r="C1018" s="529" t="s">
        <v>129</v>
      </c>
      <c r="D1018" s="529" t="s">
        <v>129</v>
      </c>
      <c r="E1018" s="529" t="s">
        <v>129</v>
      </c>
      <c r="F1018" s="529" t="s">
        <v>129</v>
      </c>
      <c r="G1018" s="529" t="s">
        <v>129</v>
      </c>
      <c r="H1018" s="529" t="s">
        <v>129</v>
      </c>
      <c r="I1018" s="529" t="s">
        <v>129</v>
      </c>
      <c r="J1018" s="529" t="s">
        <v>129</v>
      </c>
      <c r="K1018" s="529" t="s">
        <v>129</v>
      </c>
      <c r="L1018" s="1048" t="s">
        <v>129</v>
      </c>
      <c r="M1018" s="3"/>
      <c r="N1018" s="3"/>
      <c r="O1018" s="3"/>
      <c r="P1018" s="3"/>
      <c r="Q1018" s="3"/>
      <c r="R1018" s="3"/>
      <c r="S1018" s="3"/>
      <c r="T1018" s="3"/>
      <c r="U1018" s="3"/>
      <c r="V1018" s="3"/>
      <c r="W1018" s="3"/>
      <c r="X1018" s="3"/>
      <c r="Y1018" s="3"/>
      <c r="Z1018" s="3"/>
      <c r="AA1018" s="3"/>
      <c r="AB1018" s="3"/>
      <c r="AC1018" s="3"/>
    </row>
    <row r="1019" spans="1:29" hidden="1" outlineLevel="1" x14ac:dyDescent="0.2">
      <c r="A1019" s="3"/>
      <c r="B1019" s="1047" t="s">
        <v>129</v>
      </c>
      <c r="C1019" s="529" t="s">
        <v>129</v>
      </c>
      <c r="D1019" s="529" t="s">
        <v>129</v>
      </c>
      <c r="E1019" s="529" t="s">
        <v>129</v>
      </c>
      <c r="F1019" s="529" t="s">
        <v>129</v>
      </c>
      <c r="G1019" s="529" t="s">
        <v>129</v>
      </c>
      <c r="H1019" s="529" t="s">
        <v>129</v>
      </c>
      <c r="I1019" s="529" t="s">
        <v>129</v>
      </c>
      <c r="J1019" s="529" t="s">
        <v>129</v>
      </c>
      <c r="K1019" s="529" t="s">
        <v>129</v>
      </c>
      <c r="L1019" s="1048" t="s">
        <v>129</v>
      </c>
      <c r="M1019" s="3"/>
      <c r="N1019" s="3"/>
      <c r="O1019" s="3"/>
      <c r="P1019" s="3"/>
      <c r="Q1019" s="3"/>
      <c r="R1019" s="3"/>
      <c r="S1019" s="3"/>
      <c r="T1019" s="3"/>
      <c r="U1019" s="3"/>
      <c r="V1019" s="3"/>
      <c r="W1019" s="3"/>
      <c r="X1019" s="3"/>
      <c r="Y1019" s="3"/>
      <c r="Z1019" s="3"/>
      <c r="AA1019" s="3"/>
      <c r="AB1019" s="3"/>
      <c r="AC1019" s="3"/>
    </row>
    <row r="1020" spans="1:29" hidden="1" outlineLevel="1" x14ac:dyDescent="0.2">
      <c r="A1020" s="3"/>
      <c r="B1020" s="1047" t="s">
        <v>129</v>
      </c>
      <c r="C1020" s="529" t="s">
        <v>129</v>
      </c>
      <c r="D1020" s="529" t="s">
        <v>129</v>
      </c>
      <c r="E1020" s="529" t="s">
        <v>129</v>
      </c>
      <c r="F1020" s="529" t="s">
        <v>129</v>
      </c>
      <c r="G1020" s="529" t="s">
        <v>129</v>
      </c>
      <c r="H1020" s="529" t="s">
        <v>129</v>
      </c>
      <c r="I1020" s="529" t="s">
        <v>129</v>
      </c>
      <c r="J1020" s="529" t="s">
        <v>129</v>
      </c>
      <c r="K1020" s="529" t="s">
        <v>129</v>
      </c>
      <c r="L1020" s="1048" t="s">
        <v>129</v>
      </c>
      <c r="M1020" s="3"/>
      <c r="N1020" s="3"/>
      <c r="O1020" s="3"/>
      <c r="P1020" s="3"/>
      <c r="Q1020" s="3"/>
      <c r="R1020" s="3"/>
      <c r="S1020" s="3"/>
      <c r="T1020" s="3"/>
      <c r="U1020" s="3"/>
      <c r="V1020" s="3"/>
      <c r="W1020" s="3"/>
      <c r="X1020" s="3"/>
      <c r="Y1020" s="3"/>
      <c r="Z1020" s="3"/>
      <c r="AA1020" s="3"/>
      <c r="AB1020" s="3"/>
      <c r="AC1020" s="3"/>
    </row>
    <row r="1021" spans="1:29" hidden="1" outlineLevel="1" x14ac:dyDescent="0.2">
      <c r="A1021" s="3"/>
      <c r="B1021" s="1047" t="s">
        <v>129</v>
      </c>
      <c r="C1021" s="529" t="s">
        <v>129</v>
      </c>
      <c r="D1021" s="529" t="s">
        <v>129</v>
      </c>
      <c r="E1021" s="529" t="s">
        <v>129</v>
      </c>
      <c r="F1021" s="529" t="s">
        <v>129</v>
      </c>
      <c r="G1021" s="529" t="s">
        <v>129</v>
      </c>
      <c r="H1021" s="529" t="s">
        <v>129</v>
      </c>
      <c r="I1021" s="529" t="s">
        <v>129</v>
      </c>
      <c r="J1021" s="529" t="s">
        <v>129</v>
      </c>
      <c r="K1021" s="529" t="s">
        <v>129</v>
      </c>
      <c r="L1021" s="1048" t="s">
        <v>129</v>
      </c>
      <c r="M1021" s="3"/>
      <c r="N1021" s="3"/>
      <c r="O1021" s="3"/>
      <c r="P1021" s="3"/>
      <c r="Q1021" s="3"/>
      <c r="R1021" s="3"/>
      <c r="S1021" s="3"/>
      <c r="T1021" s="3"/>
      <c r="U1021" s="3"/>
      <c r="V1021" s="3"/>
      <c r="W1021" s="3"/>
      <c r="X1021" s="3"/>
      <c r="Y1021" s="3"/>
      <c r="Z1021" s="3"/>
      <c r="AA1021" s="3"/>
      <c r="AB1021" s="3"/>
      <c r="AC1021" s="3"/>
    </row>
    <row r="1022" spans="1:29" hidden="1" outlineLevel="1" x14ac:dyDescent="0.2">
      <c r="A1022" s="3"/>
      <c r="B1022" s="1047" t="s">
        <v>129</v>
      </c>
      <c r="C1022" s="529" t="s">
        <v>129</v>
      </c>
      <c r="D1022" s="529" t="s">
        <v>129</v>
      </c>
      <c r="E1022" s="529" t="s">
        <v>129</v>
      </c>
      <c r="F1022" s="529" t="s">
        <v>129</v>
      </c>
      <c r="G1022" s="529" t="s">
        <v>129</v>
      </c>
      <c r="H1022" s="529" t="s">
        <v>129</v>
      </c>
      <c r="I1022" s="529" t="s">
        <v>129</v>
      </c>
      <c r="J1022" s="529" t="s">
        <v>129</v>
      </c>
      <c r="K1022" s="529" t="s">
        <v>129</v>
      </c>
      <c r="L1022" s="1048" t="s">
        <v>129</v>
      </c>
      <c r="M1022" s="3"/>
      <c r="N1022" s="3"/>
      <c r="O1022" s="3"/>
      <c r="P1022" s="3"/>
      <c r="Q1022" s="3"/>
      <c r="R1022" s="3"/>
      <c r="S1022" s="3"/>
      <c r="T1022" s="3"/>
      <c r="U1022" s="3"/>
      <c r="V1022" s="3"/>
      <c r="W1022" s="3"/>
      <c r="X1022" s="3"/>
      <c r="Y1022" s="3"/>
      <c r="Z1022" s="3"/>
      <c r="AA1022" s="3"/>
      <c r="AB1022" s="3"/>
      <c r="AC1022" s="3"/>
    </row>
    <row r="1023" spans="1:29" hidden="1" outlineLevel="1" x14ac:dyDescent="0.2">
      <c r="A1023" s="3"/>
      <c r="B1023" s="1047" t="s">
        <v>129</v>
      </c>
      <c r="C1023" s="529" t="s">
        <v>129</v>
      </c>
      <c r="D1023" s="529" t="s">
        <v>129</v>
      </c>
      <c r="E1023" s="529" t="s">
        <v>129</v>
      </c>
      <c r="F1023" s="529" t="s">
        <v>129</v>
      </c>
      <c r="G1023" s="529" t="s">
        <v>129</v>
      </c>
      <c r="H1023" s="529" t="s">
        <v>129</v>
      </c>
      <c r="I1023" s="529" t="s">
        <v>129</v>
      </c>
      <c r="J1023" s="529" t="s">
        <v>129</v>
      </c>
      <c r="K1023" s="529" t="s">
        <v>129</v>
      </c>
      <c r="L1023" s="1048" t="s">
        <v>129</v>
      </c>
      <c r="M1023" s="3"/>
      <c r="N1023" s="3"/>
      <c r="O1023" s="3"/>
      <c r="P1023" s="3"/>
      <c r="Q1023" s="3"/>
      <c r="R1023" s="3"/>
      <c r="S1023" s="3"/>
      <c r="T1023" s="3"/>
      <c r="U1023" s="3"/>
      <c r="V1023" s="3"/>
      <c r="W1023" s="3"/>
      <c r="X1023" s="3"/>
      <c r="Y1023" s="3"/>
      <c r="Z1023" s="3"/>
      <c r="AA1023" s="3"/>
      <c r="AB1023" s="3"/>
      <c r="AC1023" s="3"/>
    </row>
    <row r="1024" spans="1:29" hidden="1" outlineLevel="1" x14ac:dyDescent="0.2">
      <c r="A1024" s="3"/>
      <c r="B1024" s="1047" t="s">
        <v>129</v>
      </c>
      <c r="C1024" s="529" t="s">
        <v>129</v>
      </c>
      <c r="D1024" s="529" t="s">
        <v>129</v>
      </c>
      <c r="E1024" s="529" t="s">
        <v>129</v>
      </c>
      <c r="F1024" s="529" t="s">
        <v>129</v>
      </c>
      <c r="G1024" s="529" t="s">
        <v>129</v>
      </c>
      <c r="H1024" s="529" t="s">
        <v>129</v>
      </c>
      <c r="I1024" s="529" t="s">
        <v>129</v>
      </c>
      <c r="J1024" s="529" t="s">
        <v>129</v>
      </c>
      <c r="K1024" s="529" t="s">
        <v>129</v>
      </c>
      <c r="L1024" s="1048" t="s">
        <v>129</v>
      </c>
      <c r="M1024" s="3"/>
      <c r="N1024" s="3"/>
      <c r="O1024" s="3"/>
      <c r="P1024" s="3"/>
      <c r="Q1024" s="3"/>
      <c r="R1024" s="3"/>
      <c r="S1024" s="3"/>
      <c r="T1024" s="3"/>
      <c r="U1024" s="3"/>
      <c r="V1024" s="3"/>
      <c r="W1024" s="3"/>
      <c r="X1024" s="3"/>
      <c r="Y1024" s="3"/>
      <c r="Z1024" s="3"/>
      <c r="AA1024" s="3"/>
      <c r="AB1024" s="3"/>
      <c r="AC1024" s="3"/>
    </row>
    <row r="1025" spans="1:29" hidden="1" outlineLevel="1" x14ac:dyDescent="0.2">
      <c r="A1025" s="3"/>
      <c r="B1025" s="1047" t="s">
        <v>129</v>
      </c>
      <c r="C1025" s="529" t="s">
        <v>129</v>
      </c>
      <c r="D1025" s="529" t="s">
        <v>129</v>
      </c>
      <c r="E1025" s="529" t="s">
        <v>129</v>
      </c>
      <c r="F1025" s="529" t="s">
        <v>129</v>
      </c>
      <c r="G1025" s="529" t="s">
        <v>129</v>
      </c>
      <c r="H1025" s="529" t="s">
        <v>129</v>
      </c>
      <c r="I1025" s="529" t="s">
        <v>129</v>
      </c>
      <c r="J1025" s="529" t="s">
        <v>129</v>
      </c>
      <c r="K1025" s="529" t="s">
        <v>129</v>
      </c>
      <c r="L1025" s="1048" t="s">
        <v>129</v>
      </c>
      <c r="M1025" s="3"/>
      <c r="N1025" s="3"/>
      <c r="O1025" s="3"/>
      <c r="P1025" s="3"/>
      <c r="Q1025" s="3"/>
      <c r="R1025" s="3"/>
      <c r="S1025" s="3"/>
      <c r="T1025" s="3"/>
      <c r="U1025" s="3"/>
      <c r="V1025" s="3"/>
      <c r="W1025" s="3"/>
      <c r="X1025" s="3"/>
      <c r="Y1025" s="3"/>
      <c r="Z1025" s="3"/>
      <c r="AA1025" s="3"/>
      <c r="AB1025" s="3"/>
      <c r="AC1025" s="3"/>
    </row>
    <row r="1026" spans="1:29" hidden="1" outlineLevel="1" x14ac:dyDescent="0.2">
      <c r="A1026" s="3"/>
      <c r="B1026" s="1047" t="s">
        <v>129</v>
      </c>
      <c r="C1026" s="529" t="s">
        <v>129</v>
      </c>
      <c r="D1026" s="529" t="s">
        <v>129</v>
      </c>
      <c r="E1026" s="529" t="s">
        <v>129</v>
      </c>
      <c r="F1026" s="529" t="s">
        <v>129</v>
      </c>
      <c r="G1026" s="529" t="s">
        <v>129</v>
      </c>
      <c r="H1026" s="529" t="s">
        <v>129</v>
      </c>
      <c r="I1026" s="529" t="s">
        <v>129</v>
      </c>
      <c r="J1026" s="529" t="s">
        <v>129</v>
      </c>
      <c r="K1026" s="529" t="s">
        <v>129</v>
      </c>
      <c r="L1026" s="1048" t="s">
        <v>129</v>
      </c>
      <c r="M1026" s="3"/>
      <c r="N1026" s="3"/>
      <c r="O1026" s="3"/>
      <c r="P1026" s="3"/>
      <c r="Q1026" s="3"/>
      <c r="R1026" s="3"/>
      <c r="S1026" s="3"/>
      <c r="T1026" s="3"/>
      <c r="U1026" s="3"/>
      <c r="V1026" s="3"/>
      <c r="W1026" s="3"/>
      <c r="X1026" s="3"/>
      <c r="Y1026" s="3"/>
      <c r="Z1026" s="3"/>
      <c r="AA1026" s="3"/>
      <c r="AB1026" s="3"/>
      <c r="AC1026" s="3"/>
    </row>
    <row r="1027" spans="1:29" hidden="1" outlineLevel="1" x14ac:dyDescent="0.2">
      <c r="A1027" s="3"/>
      <c r="B1027" s="1047" t="s">
        <v>129</v>
      </c>
      <c r="C1027" s="529" t="s">
        <v>129</v>
      </c>
      <c r="D1027" s="529" t="s">
        <v>129</v>
      </c>
      <c r="E1027" s="529" t="s">
        <v>129</v>
      </c>
      <c r="F1027" s="529" t="s">
        <v>129</v>
      </c>
      <c r="G1027" s="529" t="s">
        <v>129</v>
      </c>
      <c r="H1027" s="529" t="s">
        <v>129</v>
      </c>
      <c r="I1027" s="529" t="s">
        <v>129</v>
      </c>
      <c r="J1027" s="529" t="s">
        <v>129</v>
      </c>
      <c r="K1027" s="529" t="s">
        <v>129</v>
      </c>
      <c r="L1027" s="1048" t="s">
        <v>129</v>
      </c>
      <c r="M1027" s="3"/>
      <c r="N1027" s="3"/>
      <c r="O1027" s="3"/>
      <c r="P1027" s="3"/>
      <c r="Q1027" s="3"/>
      <c r="R1027" s="3"/>
      <c r="S1027" s="3"/>
      <c r="T1027" s="3"/>
      <c r="U1027" s="3"/>
      <c r="V1027" s="3"/>
      <c r="W1027" s="3"/>
      <c r="X1027" s="3"/>
      <c r="Y1027" s="3"/>
      <c r="Z1027" s="3"/>
      <c r="AA1027" s="3"/>
      <c r="AB1027" s="3"/>
      <c r="AC1027" s="3"/>
    </row>
    <row r="1028" spans="1:29" hidden="1" outlineLevel="1" x14ac:dyDescent="0.2">
      <c r="A1028" s="3"/>
      <c r="B1028" s="1047" t="s">
        <v>129</v>
      </c>
      <c r="C1028" s="529" t="s">
        <v>129</v>
      </c>
      <c r="D1028" s="529" t="s">
        <v>129</v>
      </c>
      <c r="E1028" s="529" t="s">
        <v>129</v>
      </c>
      <c r="F1028" s="529" t="s">
        <v>129</v>
      </c>
      <c r="G1028" s="529" t="s">
        <v>129</v>
      </c>
      <c r="H1028" s="529" t="s">
        <v>129</v>
      </c>
      <c r="I1028" s="529" t="s">
        <v>129</v>
      </c>
      <c r="J1028" s="529" t="s">
        <v>129</v>
      </c>
      <c r="K1028" s="529" t="s">
        <v>129</v>
      </c>
      <c r="L1028" s="1048" t="s">
        <v>129</v>
      </c>
      <c r="M1028" s="3"/>
      <c r="N1028" s="3"/>
      <c r="O1028" s="3"/>
      <c r="P1028" s="3"/>
      <c r="Q1028" s="3"/>
      <c r="R1028" s="3"/>
      <c r="S1028" s="3"/>
      <c r="T1028" s="3"/>
      <c r="U1028" s="3"/>
      <c r="V1028" s="3"/>
      <c r="W1028" s="3"/>
      <c r="X1028" s="3"/>
      <c r="Y1028" s="3"/>
      <c r="Z1028" s="3"/>
      <c r="AA1028" s="3"/>
      <c r="AB1028" s="3"/>
      <c r="AC1028" s="3"/>
    </row>
    <row r="1029" spans="1:29" hidden="1" outlineLevel="1" x14ac:dyDescent="0.2">
      <c r="A1029" s="3"/>
      <c r="B1029" s="1047" t="s">
        <v>129</v>
      </c>
      <c r="C1029" s="529" t="s">
        <v>129</v>
      </c>
      <c r="D1029" s="529" t="s">
        <v>129</v>
      </c>
      <c r="E1029" s="529" t="s">
        <v>129</v>
      </c>
      <c r="F1029" s="529" t="s">
        <v>129</v>
      </c>
      <c r="G1029" s="529" t="s">
        <v>129</v>
      </c>
      <c r="H1029" s="529" t="s">
        <v>129</v>
      </c>
      <c r="I1029" s="529" t="s">
        <v>129</v>
      </c>
      <c r="J1029" s="529" t="s">
        <v>129</v>
      </c>
      <c r="K1029" s="529" t="s">
        <v>129</v>
      </c>
      <c r="L1029" s="1048" t="s">
        <v>129</v>
      </c>
      <c r="M1029" s="3"/>
      <c r="N1029" s="3"/>
      <c r="O1029" s="3"/>
      <c r="P1029" s="3"/>
      <c r="Q1029" s="3"/>
      <c r="R1029" s="3"/>
      <c r="S1029" s="3"/>
      <c r="T1029" s="3"/>
      <c r="U1029" s="3"/>
      <c r="V1029" s="3"/>
      <c r="W1029" s="3"/>
      <c r="X1029" s="3"/>
      <c r="Y1029" s="3"/>
      <c r="Z1029" s="3"/>
      <c r="AA1029" s="3"/>
      <c r="AB1029" s="3"/>
      <c r="AC1029" s="3"/>
    </row>
    <row r="1030" spans="1:29" hidden="1" outlineLevel="1" x14ac:dyDescent="0.2">
      <c r="A1030" s="3"/>
      <c r="B1030" s="1047" t="s">
        <v>129</v>
      </c>
      <c r="C1030" s="529" t="s">
        <v>129</v>
      </c>
      <c r="D1030" s="529" t="s">
        <v>129</v>
      </c>
      <c r="E1030" s="529" t="s">
        <v>129</v>
      </c>
      <c r="F1030" s="529" t="s">
        <v>129</v>
      </c>
      <c r="G1030" s="529" t="s">
        <v>129</v>
      </c>
      <c r="H1030" s="529" t="s">
        <v>129</v>
      </c>
      <c r="I1030" s="529" t="s">
        <v>129</v>
      </c>
      <c r="J1030" s="529" t="s">
        <v>129</v>
      </c>
      <c r="K1030" s="529" t="s">
        <v>129</v>
      </c>
      <c r="L1030" s="1048" t="s">
        <v>129</v>
      </c>
      <c r="M1030" s="3"/>
      <c r="N1030" s="3"/>
      <c r="O1030" s="3"/>
      <c r="P1030" s="3"/>
      <c r="Q1030" s="3"/>
      <c r="R1030" s="3"/>
      <c r="S1030" s="3"/>
      <c r="T1030" s="3"/>
      <c r="U1030" s="3"/>
      <c r="V1030" s="3"/>
      <c r="W1030" s="3"/>
      <c r="X1030" s="3"/>
      <c r="Y1030" s="3"/>
      <c r="Z1030" s="3"/>
      <c r="AA1030" s="3"/>
      <c r="AB1030" s="3"/>
      <c r="AC1030" s="3"/>
    </row>
    <row r="1031" spans="1:29" hidden="1" outlineLevel="1" x14ac:dyDescent="0.2">
      <c r="A1031" s="3"/>
      <c r="B1031" s="1047" t="s">
        <v>129</v>
      </c>
      <c r="C1031" s="529" t="s">
        <v>129</v>
      </c>
      <c r="D1031" s="529" t="s">
        <v>129</v>
      </c>
      <c r="E1031" s="529" t="s">
        <v>129</v>
      </c>
      <c r="F1031" s="529" t="s">
        <v>129</v>
      </c>
      <c r="G1031" s="529" t="s">
        <v>129</v>
      </c>
      <c r="H1031" s="529" t="s">
        <v>129</v>
      </c>
      <c r="I1031" s="529" t="s">
        <v>129</v>
      </c>
      <c r="J1031" s="529" t="s">
        <v>129</v>
      </c>
      <c r="K1031" s="529" t="s">
        <v>129</v>
      </c>
      <c r="L1031" s="1048" t="s">
        <v>129</v>
      </c>
      <c r="M1031" s="3"/>
      <c r="N1031" s="3"/>
      <c r="O1031" s="3"/>
      <c r="P1031" s="3"/>
      <c r="Q1031" s="3"/>
      <c r="R1031" s="3"/>
      <c r="S1031" s="3"/>
      <c r="T1031" s="3"/>
      <c r="U1031" s="3"/>
      <c r="V1031" s="3"/>
      <c r="W1031" s="3"/>
      <c r="X1031" s="3"/>
      <c r="Y1031" s="3"/>
      <c r="Z1031" s="3"/>
      <c r="AA1031" s="3"/>
      <c r="AB1031" s="3"/>
      <c r="AC1031" s="3"/>
    </row>
    <row r="1032" spans="1:29" hidden="1" outlineLevel="1" x14ac:dyDescent="0.2">
      <c r="A1032" s="3"/>
      <c r="B1032" s="1047" t="s">
        <v>129</v>
      </c>
      <c r="C1032" s="529" t="s">
        <v>129</v>
      </c>
      <c r="D1032" s="529" t="s">
        <v>129</v>
      </c>
      <c r="E1032" s="529" t="s">
        <v>129</v>
      </c>
      <c r="F1032" s="529" t="s">
        <v>129</v>
      </c>
      <c r="G1032" s="529" t="s">
        <v>129</v>
      </c>
      <c r="H1032" s="529" t="s">
        <v>129</v>
      </c>
      <c r="I1032" s="529" t="s">
        <v>129</v>
      </c>
      <c r="J1032" s="529" t="s">
        <v>129</v>
      </c>
      <c r="K1032" s="529" t="s">
        <v>129</v>
      </c>
      <c r="L1032" s="1048" t="s">
        <v>129</v>
      </c>
      <c r="M1032" s="3"/>
      <c r="N1032" s="3"/>
      <c r="O1032" s="3"/>
      <c r="P1032" s="3"/>
      <c r="Q1032" s="3"/>
      <c r="R1032" s="3"/>
      <c r="S1032" s="3"/>
      <c r="T1032" s="3"/>
      <c r="U1032" s="3"/>
      <c r="V1032" s="3"/>
      <c r="W1032" s="3"/>
      <c r="X1032" s="3"/>
      <c r="Y1032" s="3"/>
      <c r="Z1032" s="3"/>
      <c r="AA1032" s="3"/>
      <c r="AB1032" s="3"/>
      <c r="AC1032" s="3"/>
    </row>
    <row r="1033" spans="1:29" hidden="1" outlineLevel="1" x14ac:dyDescent="0.2">
      <c r="A1033" s="3"/>
      <c r="B1033" s="1047" t="s">
        <v>129</v>
      </c>
      <c r="C1033" s="529" t="s">
        <v>129</v>
      </c>
      <c r="D1033" s="529" t="s">
        <v>129</v>
      </c>
      <c r="E1033" s="529" t="s">
        <v>129</v>
      </c>
      <c r="F1033" s="529" t="s">
        <v>129</v>
      </c>
      <c r="G1033" s="529" t="s">
        <v>129</v>
      </c>
      <c r="H1033" s="529" t="s">
        <v>129</v>
      </c>
      <c r="I1033" s="529" t="s">
        <v>129</v>
      </c>
      <c r="J1033" s="529" t="s">
        <v>129</v>
      </c>
      <c r="K1033" s="529" t="s">
        <v>129</v>
      </c>
      <c r="L1033" s="1048" t="s">
        <v>129</v>
      </c>
      <c r="M1033" s="3"/>
      <c r="N1033" s="3"/>
      <c r="O1033" s="3"/>
      <c r="P1033" s="3"/>
      <c r="Q1033" s="3"/>
      <c r="R1033" s="3"/>
      <c r="S1033" s="3"/>
      <c r="T1033" s="3"/>
      <c r="U1033" s="3"/>
      <c r="V1033" s="3"/>
      <c r="W1033" s="3"/>
      <c r="X1033" s="3"/>
      <c r="Y1033" s="3"/>
      <c r="Z1033" s="3"/>
      <c r="AA1033" s="3"/>
      <c r="AB1033" s="3"/>
      <c r="AC1033" s="3"/>
    </row>
    <row r="1034" spans="1:29" hidden="1" outlineLevel="1" x14ac:dyDescent="0.2">
      <c r="A1034" s="3"/>
      <c r="B1034" s="1047" t="s">
        <v>129</v>
      </c>
      <c r="C1034" s="529" t="s">
        <v>129</v>
      </c>
      <c r="D1034" s="529" t="s">
        <v>129</v>
      </c>
      <c r="E1034" s="529" t="s">
        <v>129</v>
      </c>
      <c r="F1034" s="529" t="s">
        <v>129</v>
      </c>
      <c r="G1034" s="529" t="s">
        <v>129</v>
      </c>
      <c r="H1034" s="529" t="s">
        <v>129</v>
      </c>
      <c r="I1034" s="529" t="s">
        <v>129</v>
      </c>
      <c r="J1034" s="529" t="s">
        <v>129</v>
      </c>
      <c r="K1034" s="529" t="s">
        <v>129</v>
      </c>
      <c r="L1034" s="1048" t="s">
        <v>129</v>
      </c>
      <c r="M1034" s="3"/>
      <c r="N1034" s="3"/>
      <c r="O1034" s="3"/>
      <c r="P1034" s="3"/>
      <c r="Q1034" s="3"/>
      <c r="R1034" s="3"/>
      <c r="S1034" s="3"/>
      <c r="T1034" s="3"/>
      <c r="U1034" s="3"/>
      <c r="V1034" s="3"/>
      <c r="W1034" s="3"/>
      <c r="X1034" s="3"/>
      <c r="Y1034" s="3"/>
      <c r="Z1034" s="3"/>
      <c r="AA1034" s="3"/>
      <c r="AB1034" s="3"/>
      <c r="AC1034" s="3"/>
    </row>
    <row r="1035" spans="1:29" hidden="1" outlineLevel="1" x14ac:dyDescent="0.2">
      <c r="A1035" s="3"/>
      <c r="B1035" s="1047" t="s">
        <v>129</v>
      </c>
      <c r="C1035" s="529" t="s">
        <v>129</v>
      </c>
      <c r="D1035" s="529" t="s">
        <v>129</v>
      </c>
      <c r="E1035" s="529" t="s">
        <v>129</v>
      </c>
      <c r="F1035" s="529" t="s">
        <v>129</v>
      </c>
      <c r="G1035" s="529" t="s">
        <v>129</v>
      </c>
      <c r="H1035" s="529" t="s">
        <v>129</v>
      </c>
      <c r="I1035" s="529" t="s">
        <v>129</v>
      </c>
      <c r="J1035" s="529" t="s">
        <v>129</v>
      </c>
      <c r="K1035" s="529" t="s">
        <v>129</v>
      </c>
      <c r="L1035" s="1048" t="s">
        <v>129</v>
      </c>
      <c r="M1035" s="3"/>
      <c r="N1035" s="3"/>
      <c r="O1035" s="3"/>
      <c r="P1035" s="3"/>
      <c r="Q1035" s="3"/>
      <c r="R1035" s="3"/>
      <c r="S1035" s="3"/>
      <c r="T1035" s="3"/>
      <c r="U1035" s="3"/>
      <c r="V1035" s="3"/>
      <c r="W1035" s="3"/>
      <c r="X1035" s="3"/>
      <c r="Y1035" s="3"/>
      <c r="Z1035" s="3"/>
      <c r="AA1035" s="3"/>
      <c r="AB1035" s="3"/>
      <c r="AC1035" s="3"/>
    </row>
    <row r="1036" spans="1:29" hidden="1" outlineLevel="1" x14ac:dyDescent="0.2">
      <c r="A1036" s="3"/>
      <c r="B1036" s="1047" t="s">
        <v>129</v>
      </c>
      <c r="C1036" s="529" t="s">
        <v>129</v>
      </c>
      <c r="D1036" s="529" t="s">
        <v>129</v>
      </c>
      <c r="E1036" s="529" t="s">
        <v>129</v>
      </c>
      <c r="F1036" s="529" t="s">
        <v>129</v>
      </c>
      <c r="G1036" s="529" t="s">
        <v>129</v>
      </c>
      <c r="H1036" s="529" t="s">
        <v>129</v>
      </c>
      <c r="I1036" s="529" t="s">
        <v>129</v>
      </c>
      <c r="J1036" s="529" t="s">
        <v>129</v>
      </c>
      <c r="K1036" s="529" t="s">
        <v>129</v>
      </c>
      <c r="L1036" s="1048" t="s">
        <v>129</v>
      </c>
      <c r="M1036" s="3"/>
      <c r="N1036" s="3"/>
      <c r="O1036" s="3"/>
      <c r="P1036" s="3"/>
      <c r="Q1036" s="3"/>
      <c r="R1036" s="3"/>
      <c r="S1036" s="3"/>
      <c r="T1036" s="3"/>
      <c r="U1036" s="3"/>
      <c r="V1036" s="3"/>
      <c r="W1036" s="3"/>
      <c r="X1036" s="3"/>
      <c r="Y1036" s="3"/>
      <c r="Z1036" s="3"/>
      <c r="AA1036" s="3"/>
      <c r="AB1036" s="3"/>
      <c r="AC1036" s="3"/>
    </row>
    <row r="1037" spans="1:29" hidden="1" outlineLevel="1" x14ac:dyDescent="0.2">
      <c r="A1037" s="3"/>
      <c r="B1037" s="1047" t="s">
        <v>129</v>
      </c>
      <c r="C1037" s="529" t="s">
        <v>129</v>
      </c>
      <c r="D1037" s="529" t="s">
        <v>129</v>
      </c>
      <c r="E1037" s="529" t="s">
        <v>129</v>
      </c>
      <c r="F1037" s="529" t="s">
        <v>129</v>
      </c>
      <c r="G1037" s="529" t="s">
        <v>129</v>
      </c>
      <c r="H1037" s="529" t="s">
        <v>129</v>
      </c>
      <c r="I1037" s="529" t="s">
        <v>129</v>
      </c>
      <c r="J1037" s="529" t="s">
        <v>129</v>
      </c>
      <c r="K1037" s="529" t="s">
        <v>129</v>
      </c>
      <c r="L1037" s="1048" t="s">
        <v>129</v>
      </c>
      <c r="M1037" s="3"/>
      <c r="N1037" s="3"/>
      <c r="O1037" s="3"/>
      <c r="P1037" s="3"/>
      <c r="Q1037" s="3"/>
      <c r="R1037" s="3"/>
      <c r="S1037" s="3"/>
      <c r="T1037" s="3"/>
      <c r="U1037" s="3"/>
      <c r="V1037" s="3"/>
      <c r="W1037" s="3"/>
      <c r="X1037" s="3"/>
      <c r="Y1037" s="3"/>
      <c r="Z1037" s="3"/>
      <c r="AA1037" s="3"/>
      <c r="AB1037" s="3"/>
      <c r="AC1037" s="3"/>
    </row>
    <row r="1038" spans="1:29" hidden="1" outlineLevel="1" x14ac:dyDescent="0.2">
      <c r="A1038" s="3"/>
      <c r="B1038" s="1047" t="s">
        <v>129</v>
      </c>
      <c r="C1038" s="529" t="s">
        <v>129</v>
      </c>
      <c r="D1038" s="529" t="s">
        <v>129</v>
      </c>
      <c r="E1038" s="529" t="s">
        <v>129</v>
      </c>
      <c r="F1038" s="529" t="s">
        <v>129</v>
      </c>
      <c r="G1038" s="529" t="s">
        <v>129</v>
      </c>
      <c r="H1038" s="529" t="s">
        <v>129</v>
      </c>
      <c r="I1038" s="529" t="s">
        <v>129</v>
      </c>
      <c r="J1038" s="529" t="s">
        <v>129</v>
      </c>
      <c r="K1038" s="529" t="s">
        <v>129</v>
      </c>
      <c r="L1038" s="1048" t="s">
        <v>129</v>
      </c>
      <c r="M1038" s="3"/>
      <c r="N1038" s="3"/>
      <c r="O1038" s="3"/>
      <c r="P1038" s="3"/>
      <c r="Q1038" s="3"/>
      <c r="R1038" s="3"/>
      <c r="S1038" s="3"/>
      <c r="T1038" s="3"/>
      <c r="U1038" s="3"/>
      <c r="V1038" s="3"/>
      <c r="W1038" s="3"/>
      <c r="X1038" s="3"/>
      <c r="Y1038" s="3"/>
      <c r="Z1038" s="3"/>
      <c r="AA1038" s="3"/>
      <c r="AB1038" s="3"/>
      <c r="AC1038" s="3"/>
    </row>
    <row r="1039" spans="1:29" hidden="1" outlineLevel="1" x14ac:dyDescent="0.2">
      <c r="A1039" s="3"/>
      <c r="B1039" s="1047" t="s">
        <v>129</v>
      </c>
      <c r="C1039" s="529" t="s">
        <v>129</v>
      </c>
      <c r="D1039" s="529" t="s">
        <v>129</v>
      </c>
      <c r="E1039" s="529" t="s">
        <v>129</v>
      </c>
      <c r="F1039" s="529" t="s">
        <v>129</v>
      </c>
      <c r="G1039" s="529" t="s">
        <v>129</v>
      </c>
      <c r="H1039" s="529" t="s">
        <v>129</v>
      </c>
      <c r="I1039" s="529" t="s">
        <v>129</v>
      </c>
      <c r="J1039" s="529" t="s">
        <v>129</v>
      </c>
      <c r="K1039" s="529" t="s">
        <v>129</v>
      </c>
      <c r="L1039" s="1048" t="s">
        <v>129</v>
      </c>
      <c r="M1039" s="3"/>
      <c r="N1039" s="3"/>
      <c r="O1039" s="3"/>
      <c r="P1039" s="3"/>
      <c r="Q1039" s="3"/>
      <c r="R1039" s="3"/>
      <c r="S1039" s="3"/>
      <c r="T1039" s="3"/>
      <c r="U1039" s="3"/>
      <c r="V1039" s="3"/>
      <c r="W1039" s="3"/>
      <c r="X1039" s="3"/>
      <c r="Y1039" s="3"/>
      <c r="Z1039" s="3"/>
      <c r="AA1039" s="3"/>
      <c r="AB1039" s="3"/>
      <c r="AC1039" s="3"/>
    </row>
    <row r="1040" spans="1:29" hidden="1" outlineLevel="1" x14ac:dyDescent="0.2">
      <c r="A1040" s="3"/>
      <c r="B1040" s="1047" t="s">
        <v>129</v>
      </c>
      <c r="C1040" s="529" t="s">
        <v>129</v>
      </c>
      <c r="D1040" s="529" t="s">
        <v>129</v>
      </c>
      <c r="E1040" s="529" t="s">
        <v>129</v>
      </c>
      <c r="F1040" s="529" t="s">
        <v>129</v>
      </c>
      <c r="G1040" s="529" t="s">
        <v>129</v>
      </c>
      <c r="H1040" s="529" t="s">
        <v>129</v>
      </c>
      <c r="I1040" s="529" t="s">
        <v>129</v>
      </c>
      <c r="J1040" s="529" t="s">
        <v>129</v>
      </c>
      <c r="K1040" s="529" t="s">
        <v>129</v>
      </c>
      <c r="L1040" s="1048" t="s">
        <v>129</v>
      </c>
      <c r="M1040" s="3"/>
      <c r="N1040" s="3"/>
      <c r="O1040" s="3"/>
      <c r="P1040" s="3"/>
      <c r="Q1040" s="3"/>
      <c r="R1040" s="3"/>
      <c r="S1040" s="3"/>
      <c r="T1040" s="3"/>
      <c r="U1040" s="3"/>
      <c r="V1040" s="3"/>
      <c r="W1040" s="3"/>
      <c r="X1040" s="3"/>
      <c r="Y1040" s="3"/>
      <c r="Z1040" s="3"/>
      <c r="AA1040" s="3"/>
      <c r="AB1040" s="3"/>
      <c r="AC1040" s="3"/>
    </row>
    <row r="1041" spans="1:29" hidden="1" outlineLevel="1" x14ac:dyDescent="0.2">
      <c r="A1041" s="3"/>
      <c r="B1041" s="1047" t="s">
        <v>129</v>
      </c>
      <c r="C1041" s="529" t="s">
        <v>129</v>
      </c>
      <c r="D1041" s="529" t="s">
        <v>129</v>
      </c>
      <c r="E1041" s="529" t="s">
        <v>129</v>
      </c>
      <c r="F1041" s="529" t="s">
        <v>129</v>
      </c>
      <c r="G1041" s="529" t="s">
        <v>129</v>
      </c>
      <c r="H1041" s="529" t="s">
        <v>129</v>
      </c>
      <c r="I1041" s="529" t="s">
        <v>129</v>
      </c>
      <c r="J1041" s="529" t="s">
        <v>129</v>
      </c>
      <c r="K1041" s="529" t="s">
        <v>129</v>
      </c>
      <c r="L1041" s="1048" t="s">
        <v>129</v>
      </c>
      <c r="M1041" s="3"/>
      <c r="N1041" s="3"/>
      <c r="O1041" s="3"/>
      <c r="P1041" s="3"/>
      <c r="Q1041" s="3"/>
      <c r="R1041" s="3"/>
      <c r="S1041" s="3"/>
      <c r="T1041" s="3"/>
      <c r="U1041" s="3"/>
      <c r="V1041" s="3"/>
      <c r="W1041" s="3"/>
      <c r="X1041" s="3"/>
      <c r="Y1041" s="3"/>
      <c r="Z1041" s="3"/>
      <c r="AA1041" s="3"/>
      <c r="AB1041" s="3"/>
      <c r="AC1041" s="3"/>
    </row>
    <row r="1042" spans="1:29" hidden="1" outlineLevel="1" x14ac:dyDescent="0.2">
      <c r="A1042" s="3"/>
      <c r="B1042" s="1047" t="s">
        <v>129</v>
      </c>
      <c r="C1042" s="529" t="s">
        <v>129</v>
      </c>
      <c r="D1042" s="529" t="s">
        <v>129</v>
      </c>
      <c r="E1042" s="529" t="s">
        <v>129</v>
      </c>
      <c r="F1042" s="529" t="s">
        <v>129</v>
      </c>
      <c r="G1042" s="529" t="s">
        <v>129</v>
      </c>
      <c r="H1042" s="529" t="s">
        <v>129</v>
      </c>
      <c r="I1042" s="529" t="s">
        <v>129</v>
      </c>
      <c r="J1042" s="529" t="s">
        <v>129</v>
      </c>
      <c r="K1042" s="529" t="s">
        <v>129</v>
      </c>
      <c r="L1042" s="1048" t="s">
        <v>129</v>
      </c>
      <c r="M1042" s="3"/>
      <c r="N1042" s="3"/>
      <c r="O1042" s="3"/>
      <c r="P1042" s="3"/>
      <c r="Q1042" s="3"/>
      <c r="R1042" s="3"/>
      <c r="S1042" s="3"/>
      <c r="T1042" s="3"/>
      <c r="U1042" s="3"/>
      <c r="V1042" s="3"/>
      <c r="W1042" s="3"/>
      <c r="X1042" s="3"/>
      <c r="Y1042" s="3"/>
      <c r="Z1042" s="3"/>
      <c r="AA1042" s="3"/>
      <c r="AB1042" s="3"/>
      <c r="AC1042" s="3"/>
    </row>
    <row r="1043" spans="1:29" hidden="1" outlineLevel="1" x14ac:dyDescent="0.2">
      <c r="A1043" s="3"/>
      <c r="B1043" s="1047" t="s">
        <v>129</v>
      </c>
      <c r="C1043" s="529" t="s">
        <v>129</v>
      </c>
      <c r="D1043" s="529" t="s">
        <v>129</v>
      </c>
      <c r="E1043" s="529" t="s">
        <v>129</v>
      </c>
      <c r="F1043" s="529" t="s">
        <v>129</v>
      </c>
      <c r="G1043" s="529" t="s">
        <v>129</v>
      </c>
      <c r="H1043" s="529" t="s">
        <v>129</v>
      </c>
      <c r="I1043" s="529" t="s">
        <v>129</v>
      </c>
      <c r="J1043" s="529" t="s">
        <v>129</v>
      </c>
      <c r="K1043" s="529" t="s">
        <v>129</v>
      </c>
      <c r="L1043" s="1048" t="s">
        <v>129</v>
      </c>
      <c r="M1043" s="3"/>
      <c r="N1043" s="3"/>
      <c r="O1043" s="3"/>
      <c r="P1043" s="3"/>
      <c r="Q1043" s="3"/>
      <c r="R1043" s="3"/>
      <c r="S1043" s="3"/>
      <c r="T1043" s="3"/>
      <c r="U1043" s="3"/>
      <c r="V1043" s="3"/>
      <c r="W1043" s="3"/>
      <c r="X1043" s="3"/>
      <c r="Y1043" s="3"/>
      <c r="Z1043" s="3"/>
      <c r="AA1043" s="3"/>
      <c r="AB1043" s="3"/>
      <c r="AC1043" s="3"/>
    </row>
    <row r="1044" spans="1:29" hidden="1" outlineLevel="1" x14ac:dyDescent="0.2">
      <c r="A1044" s="3"/>
      <c r="B1044" s="1047" t="s">
        <v>129</v>
      </c>
      <c r="C1044" s="529" t="s">
        <v>129</v>
      </c>
      <c r="D1044" s="529" t="s">
        <v>129</v>
      </c>
      <c r="E1044" s="529" t="s">
        <v>129</v>
      </c>
      <c r="F1044" s="529" t="s">
        <v>129</v>
      </c>
      <c r="G1044" s="529" t="s">
        <v>129</v>
      </c>
      <c r="H1044" s="529" t="s">
        <v>129</v>
      </c>
      <c r="I1044" s="529" t="s">
        <v>129</v>
      </c>
      <c r="J1044" s="529" t="s">
        <v>129</v>
      </c>
      <c r="K1044" s="529" t="s">
        <v>129</v>
      </c>
      <c r="L1044" s="1048" t="s">
        <v>129</v>
      </c>
      <c r="M1044" s="3"/>
      <c r="N1044" s="3"/>
      <c r="O1044" s="3"/>
      <c r="P1044" s="3"/>
      <c r="Q1044" s="3"/>
      <c r="R1044" s="3"/>
      <c r="S1044" s="3"/>
      <c r="T1044" s="3"/>
      <c r="U1044" s="3"/>
      <c r="V1044" s="3"/>
      <c r="W1044" s="3"/>
      <c r="X1044" s="3"/>
      <c r="Y1044" s="3"/>
      <c r="Z1044" s="3"/>
      <c r="AA1044" s="3"/>
      <c r="AB1044" s="3"/>
      <c r="AC1044" s="3"/>
    </row>
    <row r="1045" spans="1:29" hidden="1" outlineLevel="1" x14ac:dyDescent="0.2">
      <c r="A1045" s="3"/>
      <c r="B1045" s="1047" t="s">
        <v>129</v>
      </c>
      <c r="C1045" s="529" t="s">
        <v>129</v>
      </c>
      <c r="D1045" s="529" t="s">
        <v>129</v>
      </c>
      <c r="E1045" s="529" t="s">
        <v>129</v>
      </c>
      <c r="F1045" s="529" t="s">
        <v>129</v>
      </c>
      <c r="G1045" s="529" t="s">
        <v>129</v>
      </c>
      <c r="H1045" s="529" t="s">
        <v>129</v>
      </c>
      <c r="I1045" s="529" t="s">
        <v>129</v>
      </c>
      <c r="J1045" s="529" t="s">
        <v>129</v>
      </c>
      <c r="K1045" s="529" t="s">
        <v>129</v>
      </c>
      <c r="L1045" s="1048" t="s">
        <v>129</v>
      </c>
      <c r="M1045" s="3"/>
      <c r="N1045" s="3"/>
      <c r="O1045" s="3"/>
      <c r="P1045" s="3"/>
      <c r="Q1045" s="3"/>
      <c r="R1045" s="3"/>
      <c r="S1045" s="3"/>
      <c r="T1045" s="3"/>
      <c r="U1045" s="3"/>
      <c r="V1045" s="3"/>
      <c r="W1045" s="3"/>
      <c r="X1045" s="3"/>
      <c r="Y1045" s="3"/>
      <c r="Z1045" s="3"/>
      <c r="AA1045" s="3"/>
      <c r="AB1045" s="3"/>
      <c r="AC1045" s="3"/>
    </row>
    <row r="1046" spans="1:29" hidden="1" outlineLevel="1" x14ac:dyDescent="0.2">
      <c r="A1046" s="3"/>
      <c r="B1046" s="1047" t="s">
        <v>129</v>
      </c>
      <c r="C1046" s="529" t="s">
        <v>129</v>
      </c>
      <c r="D1046" s="529" t="s">
        <v>129</v>
      </c>
      <c r="E1046" s="529" t="s">
        <v>129</v>
      </c>
      <c r="F1046" s="529" t="s">
        <v>129</v>
      </c>
      <c r="G1046" s="529" t="s">
        <v>129</v>
      </c>
      <c r="H1046" s="529" t="s">
        <v>129</v>
      </c>
      <c r="I1046" s="529" t="s">
        <v>129</v>
      </c>
      <c r="J1046" s="529" t="s">
        <v>129</v>
      </c>
      <c r="K1046" s="529" t="s">
        <v>129</v>
      </c>
      <c r="L1046" s="1048" t="s">
        <v>129</v>
      </c>
      <c r="M1046" s="3"/>
      <c r="N1046" s="3"/>
      <c r="O1046" s="3"/>
      <c r="P1046" s="3"/>
      <c r="Q1046" s="3"/>
      <c r="R1046" s="3"/>
      <c r="S1046" s="3"/>
      <c r="T1046" s="3"/>
      <c r="U1046" s="3"/>
      <c r="V1046" s="3"/>
      <c r="W1046" s="3"/>
      <c r="X1046" s="3"/>
      <c r="Y1046" s="3"/>
      <c r="Z1046" s="3"/>
      <c r="AA1046" s="3"/>
      <c r="AB1046" s="3"/>
      <c r="AC1046" s="3"/>
    </row>
    <row r="1047" spans="1:29" hidden="1" outlineLevel="1" x14ac:dyDescent="0.2">
      <c r="A1047" s="3"/>
      <c r="B1047" s="1047" t="s">
        <v>129</v>
      </c>
      <c r="C1047" s="529" t="s">
        <v>129</v>
      </c>
      <c r="D1047" s="529" t="s">
        <v>129</v>
      </c>
      <c r="E1047" s="529" t="s">
        <v>129</v>
      </c>
      <c r="F1047" s="529" t="s">
        <v>129</v>
      </c>
      <c r="G1047" s="529" t="s">
        <v>129</v>
      </c>
      <c r="H1047" s="529" t="s">
        <v>129</v>
      </c>
      <c r="I1047" s="529" t="s">
        <v>129</v>
      </c>
      <c r="J1047" s="529" t="s">
        <v>129</v>
      </c>
      <c r="K1047" s="529" t="s">
        <v>129</v>
      </c>
      <c r="L1047" s="1048" t="s">
        <v>129</v>
      </c>
      <c r="M1047" s="3"/>
      <c r="N1047" s="3"/>
      <c r="O1047" s="3"/>
      <c r="P1047" s="3"/>
      <c r="Q1047" s="3"/>
      <c r="R1047" s="3"/>
      <c r="S1047" s="3"/>
      <c r="T1047" s="3"/>
      <c r="U1047" s="3"/>
      <c r="V1047" s="3"/>
      <c r="W1047" s="3"/>
      <c r="X1047" s="3"/>
      <c r="Y1047" s="3"/>
      <c r="Z1047" s="3"/>
      <c r="AA1047" s="3"/>
      <c r="AB1047" s="3"/>
      <c r="AC1047" s="3"/>
    </row>
    <row r="1048" spans="1:29" hidden="1" outlineLevel="1" x14ac:dyDescent="0.2">
      <c r="A1048" s="3"/>
      <c r="B1048" s="1047" t="s">
        <v>129</v>
      </c>
      <c r="C1048" s="529" t="s">
        <v>129</v>
      </c>
      <c r="D1048" s="529" t="s">
        <v>129</v>
      </c>
      <c r="E1048" s="529" t="s">
        <v>129</v>
      </c>
      <c r="F1048" s="529" t="s">
        <v>129</v>
      </c>
      <c r="G1048" s="529" t="s">
        <v>129</v>
      </c>
      <c r="H1048" s="529" t="s">
        <v>129</v>
      </c>
      <c r="I1048" s="529" t="s">
        <v>129</v>
      </c>
      <c r="J1048" s="529" t="s">
        <v>129</v>
      </c>
      <c r="K1048" s="529" t="s">
        <v>129</v>
      </c>
      <c r="L1048" s="1048" t="s">
        <v>129</v>
      </c>
      <c r="M1048" s="3"/>
      <c r="N1048" s="3"/>
      <c r="O1048" s="3"/>
      <c r="P1048" s="3"/>
      <c r="Q1048" s="3"/>
      <c r="R1048" s="3"/>
      <c r="S1048" s="3"/>
      <c r="T1048" s="3"/>
      <c r="U1048" s="3"/>
      <c r="V1048" s="3"/>
      <c r="W1048" s="3"/>
      <c r="X1048" s="3"/>
      <c r="Y1048" s="3"/>
      <c r="Z1048" s="3"/>
      <c r="AA1048" s="3"/>
      <c r="AB1048" s="3"/>
      <c r="AC1048" s="3"/>
    </row>
    <row r="1049" spans="1:29" hidden="1" outlineLevel="1" x14ac:dyDescent="0.2">
      <c r="A1049" s="3"/>
      <c r="B1049" s="1047" t="s">
        <v>129</v>
      </c>
      <c r="C1049" s="529" t="s">
        <v>129</v>
      </c>
      <c r="D1049" s="529" t="s">
        <v>129</v>
      </c>
      <c r="E1049" s="529" t="s">
        <v>129</v>
      </c>
      <c r="F1049" s="529" t="s">
        <v>129</v>
      </c>
      <c r="G1049" s="529" t="s">
        <v>129</v>
      </c>
      <c r="H1049" s="529" t="s">
        <v>129</v>
      </c>
      <c r="I1049" s="529" t="s">
        <v>129</v>
      </c>
      <c r="J1049" s="529" t="s">
        <v>129</v>
      </c>
      <c r="K1049" s="529" t="s">
        <v>129</v>
      </c>
      <c r="L1049" s="1048" t="s">
        <v>129</v>
      </c>
      <c r="M1049" s="3"/>
      <c r="N1049" s="3"/>
      <c r="O1049" s="3"/>
      <c r="P1049" s="3"/>
      <c r="Q1049" s="3"/>
      <c r="R1049" s="3"/>
      <c r="S1049" s="3"/>
      <c r="T1049" s="3"/>
      <c r="U1049" s="3"/>
      <c r="V1049" s="3"/>
      <c r="W1049" s="3"/>
      <c r="X1049" s="3"/>
      <c r="Y1049" s="3"/>
      <c r="Z1049" s="3"/>
      <c r="AA1049" s="3"/>
      <c r="AB1049" s="3"/>
      <c r="AC1049" s="3"/>
    </row>
    <row r="1050" spans="1:29" hidden="1" outlineLevel="1" x14ac:dyDescent="0.2">
      <c r="A1050" s="3"/>
      <c r="B1050" s="1047" t="s">
        <v>129</v>
      </c>
      <c r="C1050" s="529" t="s">
        <v>129</v>
      </c>
      <c r="D1050" s="529" t="s">
        <v>129</v>
      </c>
      <c r="E1050" s="529" t="s">
        <v>129</v>
      </c>
      <c r="F1050" s="529" t="s">
        <v>129</v>
      </c>
      <c r="G1050" s="529" t="s">
        <v>129</v>
      </c>
      <c r="H1050" s="529" t="s">
        <v>129</v>
      </c>
      <c r="I1050" s="529" t="s">
        <v>129</v>
      </c>
      <c r="J1050" s="529" t="s">
        <v>129</v>
      </c>
      <c r="K1050" s="529" t="s">
        <v>129</v>
      </c>
      <c r="L1050" s="1048" t="s">
        <v>129</v>
      </c>
      <c r="M1050" s="3"/>
      <c r="N1050" s="3"/>
      <c r="O1050" s="3"/>
      <c r="P1050" s="3"/>
      <c r="Q1050" s="3"/>
      <c r="R1050" s="3"/>
      <c r="S1050" s="3"/>
      <c r="T1050" s="3"/>
      <c r="U1050" s="3"/>
      <c r="V1050" s="3"/>
      <c r="W1050" s="3"/>
      <c r="X1050" s="3"/>
      <c r="Y1050" s="3"/>
      <c r="Z1050" s="3"/>
      <c r="AA1050" s="3"/>
      <c r="AB1050" s="3"/>
      <c r="AC1050" s="3"/>
    </row>
    <row r="1051" spans="1:29" hidden="1" outlineLevel="1" x14ac:dyDescent="0.2">
      <c r="A1051" s="3"/>
      <c r="B1051" s="1047" t="s">
        <v>129</v>
      </c>
      <c r="C1051" s="529" t="s">
        <v>129</v>
      </c>
      <c r="D1051" s="529" t="s">
        <v>129</v>
      </c>
      <c r="E1051" s="529" t="s">
        <v>129</v>
      </c>
      <c r="F1051" s="529" t="s">
        <v>129</v>
      </c>
      <c r="G1051" s="529" t="s">
        <v>129</v>
      </c>
      <c r="H1051" s="529" t="s">
        <v>129</v>
      </c>
      <c r="I1051" s="529" t="s">
        <v>129</v>
      </c>
      <c r="J1051" s="529" t="s">
        <v>129</v>
      </c>
      <c r="K1051" s="529" t="s">
        <v>129</v>
      </c>
      <c r="L1051" s="1048" t="s">
        <v>129</v>
      </c>
      <c r="M1051" s="3"/>
      <c r="N1051" s="3"/>
      <c r="O1051" s="3"/>
      <c r="P1051" s="3"/>
      <c r="Q1051" s="3"/>
      <c r="R1051" s="3"/>
      <c r="S1051" s="3"/>
      <c r="T1051" s="3"/>
      <c r="U1051" s="3"/>
      <c r="V1051" s="3"/>
      <c r="W1051" s="3"/>
      <c r="X1051" s="3"/>
      <c r="Y1051" s="3"/>
      <c r="Z1051" s="3"/>
      <c r="AA1051" s="3"/>
      <c r="AB1051" s="3"/>
      <c r="AC1051" s="3"/>
    </row>
    <row r="1052" spans="1:29" hidden="1" outlineLevel="1" x14ac:dyDescent="0.2">
      <c r="A1052" s="3"/>
      <c r="B1052" s="1047" t="s">
        <v>129</v>
      </c>
      <c r="C1052" s="529" t="s">
        <v>129</v>
      </c>
      <c r="D1052" s="529" t="s">
        <v>129</v>
      </c>
      <c r="E1052" s="529" t="s">
        <v>129</v>
      </c>
      <c r="F1052" s="529" t="s">
        <v>129</v>
      </c>
      <c r="G1052" s="529" t="s">
        <v>129</v>
      </c>
      <c r="H1052" s="529" t="s">
        <v>129</v>
      </c>
      <c r="I1052" s="529" t="s">
        <v>129</v>
      </c>
      <c r="J1052" s="529" t="s">
        <v>129</v>
      </c>
      <c r="K1052" s="529" t="s">
        <v>129</v>
      </c>
      <c r="L1052" s="1048" t="s">
        <v>129</v>
      </c>
      <c r="M1052" s="3"/>
      <c r="N1052" s="3"/>
      <c r="O1052" s="3"/>
      <c r="P1052" s="3"/>
      <c r="Q1052" s="3"/>
      <c r="R1052" s="3"/>
      <c r="S1052" s="3"/>
      <c r="T1052" s="3"/>
      <c r="U1052" s="3"/>
      <c r="V1052" s="3"/>
      <c r="W1052" s="3"/>
      <c r="X1052" s="3"/>
      <c r="Y1052" s="3"/>
      <c r="Z1052" s="3"/>
      <c r="AA1052" s="3"/>
      <c r="AB1052" s="3"/>
      <c r="AC1052" s="3"/>
    </row>
    <row r="1053" spans="1:29" hidden="1" outlineLevel="1" x14ac:dyDescent="0.2">
      <c r="A1053" s="3"/>
      <c r="B1053" s="1047" t="s">
        <v>129</v>
      </c>
      <c r="C1053" s="529" t="s">
        <v>129</v>
      </c>
      <c r="D1053" s="529" t="s">
        <v>129</v>
      </c>
      <c r="E1053" s="529" t="s">
        <v>129</v>
      </c>
      <c r="F1053" s="529" t="s">
        <v>129</v>
      </c>
      <c r="G1053" s="529" t="s">
        <v>129</v>
      </c>
      <c r="H1053" s="529" t="s">
        <v>129</v>
      </c>
      <c r="I1053" s="529" t="s">
        <v>129</v>
      </c>
      <c r="J1053" s="529" t="s">
        <v>129</v>
      </c>
      <c r="K1053" s="529" t="s">
        <v>129</v>
      </c>
      <c r="L1053" s="1048" t="s">
        <v>129</v>
      </c>
      <c r="M1053" s="3"/>
      <c r="N1053" s="3"/>
      <c r="O1053" s="3"/>
      <c r="P1053" s="3"/>
      <c r="Q1053" s="3"/>
      <c r="R1053" s="3"/>
      <c r="S1053" s="3"/>
      <c r="T1053" s="3"/>
      <c r="U1053" s="3"/>
      <c r="V1053" s="3"/>
      <c r="W1053" s="3"/>
      <c r="X1053" s="3"/>
      <c r="Y1053" s="3"/>
      <c r="Z1053" s="3"/>
      <c r="AA1053" s="3"/>
      <c r="AB1053" s="3"/>
      <c r="AC1053" s="3"/>
    </row>
    <row r="1054" spans="1:29" hidden="1" outlineLevel="1" x14ac:dyDescent="0.2">
      <c r="A1054" s="3"/>
      <c r="B1054" s="1047" t="s">
        <v>129</v>
      </c>
      <c r="C1054" s="529" t="s">
        <v>129</v>
      </c>
      <c r="D1054" s="529" t="s">
        <v>129</v>
      </c>
      <c r="E1054" s="529" t="s">
        <v>129</v>
      </c>
      <c r="F1054" s="529" t="s">
        <v>129</v>
      </c>
      <c r="G1054" s="529" t="s">
        <v>129</v>
      </c>
      <c r="H1054" s="529" t="s">
        <v>129</v>
      </c>
      <c r="I1054" s="529" t="s">
        <v>129</v>
      </c>
      <c r="J1054" s="529" t="s">
        <v>129</v>
      </c>
      <c r="K1054" s="529" t="s">
        <v>129</v>
      </c>
      <c r="L1054" s="1048" t="s">
        <v>129</v>
      </c>
      <c r="M1054" s="3"/>
      <c r="N1054" s="3"/>
      <c r="O1054" s="3"/>
      <c r="P1054" s="3"/>
      <c r="Q1054" s="3"/>
      <c r="R1054" s="3"/>
      <c r="S1054" s="3"/>
      <c r="T1054" s="3"/>
      <c r="U1054" s="3"/>
      <c r="V1054" s="3"/>
      <c r="W1054" s="3"/>
      <c r="X1054" s="3"/>
      <c r="Y1054" s="3"/>
      <c r="Z1054" s="3"/>
      <c r="AA1054" s="3"/>
      <c r="AB1054" s="3"/>
      <c r="AC1054" s="3"/>
    </row>
    <row r="1055" spans="1:29" hidden="1" outlineLevel="1" x14ac:dyDescent="0.2">
      <c r="A1055" s="3"/>
      <c r="B1055" s="1047" t="s">
        <v>129</v>
      </c>
      <c r="C1055" s="529" t="s">
        <v>129</v>
      </c>
      <c r="D1055" s="529" t="s">
        <v>129</v>
      </c>
      <c r="E1055" s="529" t="s">
        <v>129</v>
      </c>
      <c r="F1055" s="529" t="s">
        <v>129</v>
      </c>
      <c r="G1055" s="529" t="s">
        <v>129</v>
      </c>
      <c r="H1055" s="529" t="s">
        <v>129</v>
      </c>
      <c r="I1055" s="529" t="s">
        <v>129</v>
      </c>
      <c r="J1055" s="529" t="s">
        <v>129</v>
      </c>
      <c r="K1055" s="529" t="s">
        <v>129</v>
      </c>
      <c r="L1055" s="1048" t="s">
        <v>129</v>
      </c>
      <c r="M1055" s="3"/>
      <c r="N1055" s="3"/>
      <c r="O1055" s="3"/>
      <c r="P1055" s="3"/>
      <c r="Q1055" s="3"/>
      <c r="R1055" s="3"/>
      <c r="S1055" s="3"/>
      <c r="T1055" s="3"/>
      <c r="U1055" s="3"/>
      <c r="V1055" s="3"/>
      <c r="W1055" s="3"/>
      <c r="X1055" s="3"/>
      <c r="Y1055" s="3"/>
      <c r="Z1055" s="3"/>
      <c r="AA1055" s="3"/>
      <c r="AB1055" s="3"/>
      <c r="AC1055" s="3"/>
    </row>
    <row r="1056" spans="1:29" hidden="1" outlineLevel="1" x14ac:dyDescent="0.2">
      <c r="A1056" s="3"/>
      <c r="B1056" s="1047" t="s">
        <v>129</v>
      </c>
      <c r="C1056" s="529" t="s">
        <v>129</v>
      </c>
      <c r="D1056" s="529" t="s">
        <v>129</v>
      </c>
      <c r="E1056" s="529" t="s">
        <v>129</v>
      </c>
      <c r="F1056" s="529" t="s">
        <v>129</v>
      </c>
      <c r="G1056" s="529" t="s">
        <v>129</v>
      </c>
      <c r="H1056" s="529" t="s">
        <v>129</v>
      </c>
      <c r="I1056" s="529" t="s">
        <v>129</v>
      </c>
      <c r="J1056" s="529" t="s">
        <v>129</v>
      </c>
      <c r="K1056" s="529" t="s">
        <v>129</v>
      </c>
      <c r="L1056" s="1048" t="s">
        <v>129</v>
      </c>
      <c r="M1056" s="3"/>
      <c r="N1056" s="3"/>
      <c r="O1056" s="3"/>
      <c r="P1056" s="3"/>
      <c r="Q1056" s="3"/>
      <c r="R1056" s="3"/>
      <c r="S1056" s="3"/>
      <c r="T1056" s="3"/>
      <c r="U1056" s="3"/>
      <c r="V1056" s="3"/>
      <c r="W1056" s="3"/>
      <c r="X1056" s="3"/>
      <c r="Y1056" s="3"/>
      <c r="Z1056" s="3"/>
      <c r="AA1056" s="3"/>
      <c r="AB1056" s="3"/>
      <c r="AC1056" s="3"/>
    </row>
    <row r="1057" spans="1:29" hidden="1" outlineLevel="1" x14ac:dyDescent="0.2">
      <c r="A1057" s="3"/>
      <c r="B1057" s="1047" t="s">
        <v>129</v>
      </c>
      <c r="C1057" s="529" t="s">
        <v>129</v>
      </c>
      <c r="D1057" s="529" t="s">
        <v>129</v>
      </c>
      <c r="E1057" s="529" t="s">
        <v>129</v>
      </c>
      <c r="F1057" s="529" t="s">
        <v>129</v>
      </c>
      <c r="G1057" s="529" t="s">
        <v>129</v>
      </c>
      <c r="H1057" s="529" t="s">
        <v>129</v>
      </c>
      <c r="I1057" s="529" t="s">
        <v>129</v>
      </c>
      <c r="J1057" s="529" t="s">
        <v>129</v>
      </c>
      <c r="K1057" s="529" t="s">
        <v>129</v>
      </c>
      <c r="L1057" s="1048" t="s">
        <v>129</v>
      </c>
      <c r="M1057" s="3"/>
      <c r="N1057" s="3"/>
      <c r="O1057" s="3"/>
      <c r="P1057" s="3"/>
      <c r="Q1057" s="3"/>
      <c r="R1057" s="3"/>
      <c r="S1057" s="3"/>
      <c r="T1057" s="3"/>
      <c r="U1057" s="3"/>
      <c r="V1057" s="3"/>
      <c r="W1057" s="3"/>
      <c r="X1057" s="3"/>
      <c r="Y1057" s="3"/>
      <c r="Z1057" s="3"/>
      <c r="AA1057" s="3"/>
      <c r="AB1057" s="3"/>
      <c r="AC1057" s="3"/>
    </row>
    <row r="1058" spans="1:29" hidden="1" outlineLevel="1" x14ac:dyDescent="0.2">
      <c r="A1058" s="3"/>
      <c r="B1058" s="1047" t="s">
        <v>129</v>
      </c>
      <c r="C1058" s="529" t="s">
        <v>129</v>
      </c>
      <c r="D1058" s="529" t="s">
        <v>129</v>
      </c>
      <c r="E1058" s="529" t="s">
        <v>129</v>
      </c>
      <c r="F1058" s="529" t="s">
        <v>129</v>
      </c>
      <c r="G1058" s="529" t="s">
        <v>129</v>
      </c>
      <c r="H1058" s="529" t="s">
        <v>129</v>
      </c>
      <c r="I1058" s="529" t="s">
        <v>129</v>
      </c>
      <c r="J1058" s="529" t="s">
        <v>129</v>
      </c>
      <c r="K1058" s="529" t="s">
        <v>129</v>
      </c>
      <c r="L1058" s="1048" t="s">
        <v>129</v>
      </c>
      <c r="M1058" s="3"/>
      <c r="N1058" s="3"/>
      <c r="O1058" s="3"/>
      <c r="P1058" s="3"/>
      <c r="Q1058" s="3"/>
      <c r="R1058" s="3"/>
      <c r="S1058" s="3"/>
      <c r="T1058" s="3"/>
      <c r="U1058" s="3"/>
      <c r="V1058" s="3"/>
      <c r="W1058" s="3"/>
      <c r="X1058" s="3"/>
      <c r="Y1058" s="3"/>
      <c r="Z1058" s="3"/>
      <c r="AA1058" s="3"/>
      <c r="AB1058" s="3"/>
      <c r="AC1058" s="3"/>
    </row>
    <row r="1059" spans="1:29" hidden="1" outlineLevel="1" x14ac:dyDescent="0.2">
      <c r="A1059" s="3"/>
      <c r="B1059" s="1047" t="s">
        <v>129</v>
      </c>
      <c r="C1059" s="529" t="s">
        <v>129</v>
      </c>
      <c r="D1059" s="529" t="s">
        <v>129</v>
      </c>
      <c r="E1059" s="529" t="s">
        <v>129</v>
      </c>
      <c r="F1059" s="529" t="s">
        <v>129</v>
      </c>
      <c r="G1059" s="529" t="s">
        <v>129</v>
      </c>
      <c r="H1059" s="529" t="s">
        <v>129</v>
      </c>
      <c r="I1059" s="529" t="s">
        <v>129</v>
      </c>
      <c r="J1059" s="529" t="s">
        <v>129</v>
      </c>
      <c r="K1059" s="529" t="s">
        <v>129</v>
      </c>
      <c r="L1059" s="1048" t="s">
        <v>129</v>
      </c>
      <c r="M1059" s="3"/>
      <c r="N1059" s="3"/>
      <c r="O1059" s="3"/>
      <c r="P1059" s="3"/>
      <c r="Q1059" s="3"/>
      <c r="R1059" s="3"/>
      <c r="S1059" s="3"/>
      <c r="T1059" s="3"/>
      <c r="U1059" s="3"/>
      <c r="V1059" s="3"/>
      <c r="W1059" s="3"/>
      <c r="X1059" s="3"/>
      <c r="Y1059" s="3"/>
      <c r="Z1059" s="3"/>
      <c r="AA1059" s="3"/>
      <c r="AB1059" s="3"/>
      <c r="AC1059" s="3"/>
    </row>
    <row r="1060" spans="1:29" hidden="1" outlineLevel="1" x14ac:dyDescent="0.2">
      <c r="A1060" s="3"/>
      <c r="B1060" s="1047" t="s">
        <v>129</v>
      </c>
      <c r="C1060" s="529" t="s">
        <v>129</v>
      </c>
      <c r="D1060" s="529" t="s">
        <v>129</v>
      </c>
      <c r="E1060" s="529" t="s">
        <v>129</v>
      </c>
      <c r="F1060" s="529" t="s">
        <v>129</v>
      </c>
      <c r="G1060" s="529" t="s">
        <v>129</v>
      </c>
      <c r="H1060" s="529" t="s">
        <v>129</v>
      </c>
      <c r="I1060" s="529" t="s">
        <v>129</v>
      </c>
      <c r="J1060" s="529" t="s">
        <v>129</v>
      </c>
      <c r="K1060" s="529" t="s">
        <v>129</v>
      </c>
      <c r="L1060" s="1048" t="s">
        <v>129</v>
      </c>
      <c r="M1060" s="3"/>
      <c r="N1060" s="3"/>
      <c r="O1060" s="3"/>
      <c r="P1060" s="3"/>
      <c r="Q1060" s="3"/>
      <c r="R1060" s="3"/>
      <c r="S1060" s="3"/>
      <c r="T1060" s="3"/>
      <c r="U1060" s="3"/>
      <c r="V1060" s="3"/>
      <c r="W1060" s="3"/>
      <c r="X1060" s="3"/>
      <c r="Y1060" s="3"/>
      <c r="Z1060" s="3"/>
      <c r="AA1060" s="3"/>
      <c r="AB1060" s="3"/>
      <c r="AC1060" s="3"/>
    </row>
    <row r="1061" spans="1:29" hidden="1" outlineLevel="1" x14ac:dyDescent="0.2">
      <c r="A1061" s="3"/>
      <c r="B1061" s="1047" t="s">
        <v>129</v>
      </c>
      <c r="C1061" s="529" t="s">
        <v>129</v>
      </c>
      <c r="D1061" s="529" t="s">
        <v>129</v>
      </c>
      <c r="E1061" s="529" t="s">
        <v>129</v>
      </c>
      <c r="F1061" s="529" t="s">
        <v>129</v>
      </c>
      <c r="G1061" s="529" t="s">
        <v>129</v>
      </c>
      <c r="H1061" s="529" t="s">
        <v>129</v>
      </c>
      <c r="I1061" s="529" t="s">
        <v>129</v>
      </c>
      <c r="J1061" s="529" t="s">
        <v>129</v>
      </c>
      <c r="K1061" s="529" t="s">
        <v>129</v>
      </c>
      <c r="L1061" s="1048" t="s">
        <v>129</v>
      </c>
      <c r="M1061" s="3"/>
      <c r="N1061" s="3"/>
      <c r="O1061" s="3"/>
      <c r="P1061" s="3"/>
      <c r="Q1061" s="3"/>
      <c r="R1061" s="3"/>
      <c r="S1061" s="3"/>
      <c r="T1061" s="3"/>
      <c r="U1061" s="3"/>
      <c r="V1061" s="3"/>
      <c r="W1061" s="3"/>
      <c r="X1061" s="3"/>
      <c r="Y1061" s="3"/>
      <c r="Z1061" s="3"/>
      <c r="AA1061" s="3"/>
      <c r="AB1061" s="3"/>
      <c r="AC1061" s="3"/>
    </row>
    <row r="1062" spans="1:29" hidden="1" outlineLevel="1" x14ac:dyDescent="0.2">
      <c r="A1062" s="3"/>
      <c r="B1062" s="1047" t="s">
        <v>129</v>
      </c>
      <c r="C1062" s="529" t="s">
        <v>129</v>
      </c>
      <c r="D1062" s="529" t="s">
        <v>129</v>
      </c>
      <c r="E1062" s="529" t="s">
        <v>129</v>
      </c>
      <c r="F1062" s="529" t="s">
        <v>129</v>
      </c>
      <c r="G1062" s="529" t="s">
        <v>129</v>
      </c>
      <c r="H1062" s="529" t="s">
        <v>129</v>
      </c>
      <c r="I1062" s="529" t="s">
        <v>129</v>
      </c>
      <c r="J1062" s="529" t="s">
        <v>129</v>
      </c>
      <c r="K1062" s="529" t="s">
        <v>129</v>
      </c>
      <c r="L1062" s="1048" t="s">
        <v>129</v>
      </c>
      <c r="M1062" s="3"/>
      <c r="N1062" s="3"/>
      <c r="O1062" s="3"/>
      <c r="P1062" s="3"/>
      <c r="Q1062" s="3"/>
      <c r="R1062" s="3"/>
      <c r="S1062" s="3"/>
      <c r="T1062" s="3"/>
      <c r="U1062" s="3"/>
      <c r="V1062" s="3"/>
      <c r="W1062" s="3"/>
      <c r="X1062" s="3"/>
      <c r="Y1062" s="3"/>
      <c r="Z1062" s="3"/>
      <c r="AA1062" s="3"/>
      <c r="AB1062" s="3"/>
      <c r="AC1062" s="3"/>
    </row>
    <row r="1063" spans="1:29" hidden="1" outlineLevel="1" x14ac:dyDescent="0.2">
      <c r="A1063" s="3"/>
      <c r="B1063" s="1047" t="s">
        <v>129</v>
      </c>
      <c r="C1063" s="529" t="s">
        <v>129</v>
      </c>
      <c r="D1063" s="529" t="s">
        <v>129</v>
      </c>
      <c r="E1063" s="529" t="s">
        <v>129</v>
      </c>
      <c r="F1063" s="529" t="s">
        <v>129</v>
      </c>
      <c r="G1063" s="529" t="s">
        <v>129</v>
      </c>
      <c r="H1063" s="529" t="s">
        <v>129</v>
      </c>
      <c r="I1063" s="529" t="s">
        <v>129</v>
      </c>
      <c r="J1063" s="529" t="s">
        <v>129</v>
      </c>
      <c r="K1063" s="529" t="s">
        <v>129</v>
      </c>
      <c r="L1063" s="1048" t="s">
        <v>129</v>
      </c>
      <c r="M1063" s="3"/>
      <c r="N1063" s="3"/>
      <c r="O1063" s="3"/>
      <c r="P1063" s="3"/>
      <c r="Q1063" s="3"/>
      <c r="R1063" s="3"/>
      <c r="S1063" s="3"/>
      <c r="T1063" s="3"/>
      <c r="U1063" s="3"/>
      <c r="V1063" s="3"/>
      <c r="W1063" s="3"/>
      <c r="X1063" s="3"/>
      <c r="Y1063" s="3"/>
      <c r="Z1063" s="3"/>
      <c r="AA1063" s="3"/>
      <c r="AB1063" s="3"/>
      <c r="AC1063" s="3"/>
    </row>
    <row r="1064" spans="1:29" hidden="1" outlineLevel="1" x14ac:dyDescent="0.2">
      <c r="A1064" s="3"/>
      <c r="B1064" s="1047" t="s">
        <v>129</v>
      </c>
      <c r="C1064" s="529" t="s">
        <v>129</v>
      </c>
      <c r="D1064" s="529" t="s">
        <v>129</v>
      </c>
      <c r="E1064" s="529" t="s">
        <v>129</v>
      </c>
      <c r="F1064" s="529" t="s">
        <v>129</v>
      </c>
      <c r="G1064" s="529" t="s">
        <v>129</v>
      </c>
      <c r="H1064" s="529" t="s">
        <v>129</v>
      </c>
      <c r="I1064" s="529" t="s">
        <v>129</v>
      </c>
      <c r="J1064" s="529" t="s">
        <v>129</v>
      </c>
      <c r="K1064" s="529" t="s">
        <v>129</v>
      </c>
      <c r="L1064" s="1048" t="s">
        <v>129</v>
      </c>
      <c r="M1064" s="3"/>
      <c r="N1064" s="3"/>
      <c r="O1064" s="3"/>
      <c r="P1064" s="3"/>
      <c r="Q1064" s="3"/>
      <c r="R1064" s="3"/>
      <c r="S1064" s="3"/>
      <c r="T1064" s="3"/>
      <c r="U1064" s="3"/>
      <c r="V1064" s="3"/>
      <c r="W1064" s="3"/>
      <c r="X1064" s="3"/>
      <c r="Y1064" s="3"/>
      <c r="Z1064" s="3"/>
      <c r="AA1064" s="3"/>
      <c r="AB1064" s="3"/>
      <c r="AC1064" s="3"/>
    </row>
    <row r="1065" spans="1:29" hidden="1" outlineLevel="1" x14ac:dyDescent="0.2">
      <c r="A1065" s="3"/>
      <c r="B1065" s="1047" t="s">
        <v>129</v>
      </c>
      <c r="C1065" s="529" t="s">
        <v>129</v>
      </c>
      <c r="D1065" s="529" t="s">
        <v>129</v>
      </c>
      <c r="E1065" s="529" t="s">
        <v>129</v>
      </c>
      <c r="F1065" s="529" t="s">
        <v>129</v>
      </c>
      <c r="G1065" s="529" t="s">
        <v>129</v>
      </c>
      <c r="H1065" s="529" t="s">
        <v>129</v>
      </c>
      <c r="I1065" s="529" t="s">
        <v>129</v>
      </c>
      <c r="J1065" s="529" t="s">
        <v>129</v>
      </c>
      <c r="K1065" s="529" t="s">
        <v>129</v>
      </c>
      <c r="L1065" s="1048" t="s">
        <v>129</v>
      </c>
      <c r="M1065" s="3"/>
      <c r="N1065" s="3"/>
      <c r="O1065" s="3"/>
      <c r="P1065" s="3"/>
      <c r="Q1065" s="3"/>
      <c r="R1065" s="3"/>
      <c r="S1065" s="3"/>
      <c r="T1065" s="3"/>
      <c r="U1065" s="3"/>
      <c r="V1065" s="3"/>
      <c r="W1065" s="3"/>
      <c r="X1065" s="3"/>
      <c r="Y1065" s="3"/>
      <c r="Z1065" s="3"/>
      <c r="AA1065" s="3"/>
      <c r="AB1065" s="3"/>
      <c r="AC1065" s="3"/>
    </row>
    <row r="1066" spans="1:29" hidden="1" outlineLevel="1" x14ac:dyDescent="0.2">
      <c r="A1066" s="3"/>
      <c r="B1066" s="1047" t="s">
        <v>129</v>
      </c>
      <c r="C1066" s="529" t="s">
        <v>129</v>
      </c>
      <c r="D1066" s="529" t="s">
        <v>129</v>
      </c>
      <c r="E1066" s="529" t="s">
        <v>129</v>
      </c>
      <c r="F1066" s="529" t="s">
        <v>129</v>
      </c>
      <c r="G1066" s="529" t="s">
        <v>129</v>
      </c>
      <c r="H1066" s="529" t="s">
        <v>129</v>
      </c>
      <c r="I1066" s="529" t="s">
        <v>129</v>
      </c>
      <c r="J1066" s="529" t="s">
        <v>129</v>
      </c>
      <c r="K1066" s="529" t="s">
        <v>129</v>
      </c>
      <c r="L1066" s="1048" t="s">
        <v>129</v>
      </c>
      <c r="M1066" s="3"/>
      <c r="N1066" s="3"/>
      <c r="O1066" s="3"/>
      <c r="P1066" s="3"/>
      <c r="Q1066" s="3"/>
      <c r="R1066" s="3"/>
      <c r="S1066" s="3"/>
      <c r="T1066" s="3"/>
      <c r="U1066" s="3"/>
      <c r="V1066" s="3"/>
      <c r="W1066" s="3"/>
      <c r="X1066" s="3"/>
      <c r="Y1066" s="3"/>
      <c r="Z1066" s="3"/>
      <c r="AA1066" s="3"/>
      <c r="AB1066" s="3"/>
      <c r="AC1066" s="3"/>
    </row>
    <row r="1067" spans="1:29" hidden="1" outlineLevel="1" x14ac:dyDescent="0.2">
      <c r="A1067" s="3"/>
      <c r="B1067" s="1047" t="s">
        <v>129</v>
      </c>
      <c r="C1067" s="529" t="s">
        <v>129</v>
      </c>
      <c r="D1067" s="529" t="s">
        <v>129</v>
      </c>
      <c r="E1067" s="529" t="s">
        <v>129</v>
      </c>
      <c r="F1067" s="529" t="s">
        <v>129</v>
      </c>
      <c r="G1067" s="529" t="s">
        <v>129</v>
      </c>
      <c r="H1067" s="529" t="s">
        <v>129</v>
      </c>
      <c r="I1067" s="529" t="s">
        <v>129</v>
      </c>
      <c r="J1067" s="529" t="s">
        <v>129</v>
      </c>
      <c r="K1067" s="529" t="s">
        <v>129</v>
      </c>
      <c r="L1067" s="1048" t="s">
        <v>129</v>
      </c>
      <c r="M1067" s="3"/>
      <c r="N1067" s="3"/>
      <c r="O1067" s="3"/>
      <c r="P1067" s="3"/>
      <c r="Q1067" s="3"/>
      <c r="R1067" s="3"/>
      <c r="S1067" s="3"/>
      <c r="T1067" s="3"/>
      <c r="U1067" s="3"/>
      <c r="V1067" s="3"/>
      <c r="W1067" s="3"/>
      <c r="X1067" s="3"/>
      <c r="Y1067" s="3"/>
      <c r="Z1067" s="3"/>
      <c r="AA1067" s="3"/>
      <c r="AB1067" s="3"/>
      <c r="AC1067" s="3"/>
    </row>
    <row r="1068" spans="1:29" hidden="1" outlineLevel="1" x14ac:dyDescent="0.2">
      <c r="A1068" s="3"/>
      <c r="B1068" s="1047" t="s">
        <v>129</v>
      </c>
      <c r="C1068" s="529" t="s">
        <v>129</v>
      </c>
      <c r="D1068" s="529" t="s">
        <v>129</v>
      </c>
      <c r="E1068" s="529" t="s">
        <v>129</v>
      </c>
      <c r="F1068" s="529" t="s">
        <v>129</v>
      </c>
      <c r="G1068" s="529" t="s">
        <v>129</v>
      </c>
      <c r="H1068" s="529" t="s">
        <v>129</v>
      </c>
      <c r="I1068" s="529" t="s">
        <v>129</v>
      </c>
      <c r="J1068" s="529" t="s">
        <v>129</v>
      </c>
      <c r="K1068" s="529" t="s">
        <v>129</v>
      </c>
      <c r="L1068" s="1048" t="s">
        <v>129</v>
      </c>
      <c r="M1068" s="3"/>
      <c r="N1068" s="3"/>
      <c r="O1068" s="3"/>
      <c r="P1068" s="3"/>
      <c r="Q1068" s="3"/>
      <c r="R1068" s="3"/>
      <c r="S1068" s="3"/>
      <c r="T1068" s="3"/>
      <c r="U1068" s="3"/>
      <c r="V1068" s="3"/>
      <c r="W1068" s="3"/>
      <c r="X1068" s="3"/>
      <c r="Y1068" s="3"/>
      <c r="Z1068" s="3"/>
      <c r="AA1068" s="3"/>
      <c r="AB1068" s="3"/>
      <c r="AC1068" s="3"/>
    </row>
    <row r="1069" spans="1:29" hidden="1" outlineLevel="1" x14ac:dyDescent="0.2">
      <c r="A1069" s="3"/>
      <c r="B1069" s="1047" t="s">
        <v>129</v>
      </c>
      <c r="C1069" s="529" t="s">
        <v>129</v>
      </c>
      <c r="D1069" s="529" t="s">
        <v>129</v>
      </c>
      <c r="E1069" s="529" t="s">
        <v>129</v>
      </c>
      <c r="F1069" s="529" t="s">
        <v>129</v>
      </c>
      <c r="G1069" s="529" t="s">
        <v>129</v>
      </c>
      <c r="H1069" s="529" t="s">
        <v>129</v>
      </c>
      <c r="I1069" s="529" t="s">
        <v>129</v>
      </c>
      <c r="J1069" s="529" t="s">
        <v>129</v>
      </c>
      <c r="K1069" s="529" t="s">
        <v>129</v>
      </c>
      <c r="L1069" s="1048" t="s">
        <v>129</v>
      </c>
      <c r="M1069" s="3"/>
      <c r="N1069" s="3"/>
      <c r="O1069" s="3"/>
      <c r="P1069" s="3"/>
      <c r="Q1069" s="3"/>
      <c r="R1069" s="3"/>
      <c r="S1069" s="3"/>
      <c r="T1069" s="3"/>
      <c r="U1069" s="3"/>
      <c r="V1069" s="3"/>
      <c r="W1069" s="3"/>
      <c r="X1069" s="3"/>
      <c r="Y1069" s="3"/>
      <c r="Z1069" s="3"/>
      <c r="AA1069" s="3"/>
      <c r="AB1069" s="3"/>
      <c r="AC1069" s="3"/>
    </row>
    <row r="1070" spans="1:29" hidden="1" outlineLevel="1" x14ac:dyDescent="0.2">
      <c r="A1070" s="3"/>
      <c r="B1070" s="1047" t="s">
        <v>129</v>
      </c>
      <c r="C1070" s="529" t="s">
        <v>129</v>
      </c>
      <c r="D1070" s="529" t="s">
        <v>129</v>
      </c>
      <c r="E1070" s="529" t="s">
        <v>129</v>
      </c>
      <c r="F1070" s="529" t="s">
        <v>129</v>
      </c>
      <c r="G1070" s="529" t="s">
        <v>129</v>
      </c>
      <c r="H1070" s="529" t="s">
        <v>129</v>
      </c>
      <c r="I1070" s="529" t="s">
        <v>129</v>
      </c>
      <c r="J1070" s="529" t="s">
        <v>129</v>
      </c>
      <c r="K1070" s="529" t="s">
        <v>129</v>
      </c>
      <c r="L1070" s="1048" t="s">
        <v>129</v>
      </c>
      <c r="M1070" s="3"/>
      <c r="N1070" s="3"/>
      <c r="O1070" s="3"/>
      <c r="P1070" s="3"/>
      <c r="Q1070" s="3"/>
      <c r="R1070" s="3"/>
      <c r="S1070" s="3"/>
      <c r="T1070" s="3"/>
      <c r="U1070" s="3"/>
      <c r="V1070" s="3"/>
      <c r="W1070" s="3"/>
      <c r="X1070" s="3"/>
      <c r="Y1070" s="3"/>
      <c r="Z1070" s="3"/>
      <c r="AA1070" s="3"/>
      <c r="AB1070" s="3"/>
      <c r="AC1070" s="3"/>
    </row>
    <row r="1071" spans="1:29" hidden="1" outlineLevel="1" x14ac:dyDescent="0.2">
      <c r="A1071" s="3"/>
      <c r="B1071" s="1047" t="s">
        <v>129</v>
      </c>
      <c r="C1071" s="529" t="s">
        <v>129</v>
      </c>
      <c r="D1071" s="529" t="s">
        <v>129</v>
      </c>
      <c r="E1071" s="529" t="s">
        <v>129</v>
      </c>
      <c r="F1071" s="529" t="s">
        <v>129</v>
      </c>
      <c r="G1071" s="529" t="s">
        <v>129</v>
      </c>
      <c r="H1071" s="529" t="s">
        <v>129</v>
      </c>
      <c r="I1071" s="529" t="s">
        <v>129</v>
      </c>
      <c r="J1071" s="529" t="s">
        <v>129</v>
      </c>
      <c r="K1071" s="529" t="s">
        <v>129</v>
      </c>
      <c r="L1071" s="1048" t="s">
        <v>129</v>
      </c>
      <c r="M1071" s="3"/>
      <c r="N1071" s="3"/>
      <c r="O1071" s="3"/>
      <c r="P1071" s="3"/>
      <c r="Q1071" s="3"/>
      <c r="R1071" s="3"/>
      <c r="S1071" s="3"/>
      <c r="T1071" s="3"/>
      <c r="U1071" s="3"/>
      <c r="V1071" s="3"/>
      <c r="W1071" s="3"/>
      <c r="X1071" s="3"/>
      <c r="Y1071" s="3"/>
      <c r="Z1071" s="3"/>
      <c r="AA1071" s="3"/>
      <c r="AB1071" s="3"/>
      <c r="AC1071" s="3"/>
    </row>
    <row r="1072" spans="1:29" hidden="1" outlineLevel="1" x14ac:dyDescent="0.2">
      <c r="A1072" s="3"/>
      <c r="B1072" s="1047" t="s">
        <v>129</v>
      </c>
      <c r="C1072" s="529" t="s">
        <v>129</v>
      </c>
      <c r="D1072" s="529" t="s">
        <v>129</v>
      </c>
      <c r="E1072" s="529" t="s">
        <v>129</v>
      </c>
      <c r="F1072" s="529" t="s">
        <v>129</v>
      </c>
      <c r="G1072" s="529" t="s">
        <v>129</v>
      </c>
      <c r="H1072" s="529" t="s">
        <v>129</v>
      </c>
      <c r="I1072" s="529" t="s">
        <v>129</v>
      </c>
      <c r="J1072" s="529" t="s">
        <v>129</v>
      </c>
      <c r="K1072" s="529" t="s">
        <v>129</v>
      </c>
      <c r="L1072" s="1048" t="s">
        <v>129</v>
      </c>
      <c r="M1072" s="3"/>
      <c r="N1072" s="3"/>
      <c r="O1072" s="3"/>
      <c r="P1072" s="3"/>
      <c r="Q1072" s="3"/>
      <c r="R1072" s="3"/>
      <c r="S1072" s="3"/>
      <c r="T1072" s="3"/>
      <c r="U1072" s="3"/>
      <c r="V1072" s="3"/>
      <c r="W1072" s="3"/>
      <c r="X1072" s="3"/>
      <c r="Y1072" s="3"/>
      <c r="Z1072" s="3"/>
      <c r="AA1072" s="3"/>
      <c r="AB1072" s="3"/>
      <c r="AC1072" s="3"/>
    </row>
    <row r="1073" spans="1:29" hidden="1" outlineLevel="1" x14ac:dyDescent="0.2">
      <c r="A1073" s="3"/>
      <c r="B1073" s="1047" t="s">
        <v>129</v>
      </c>
      <c r="C1073" s="529" t="s">
        <v>129</v>
      </c>
      <c r="D1073" s="529" t="s">
        <v>129</v>
      </c>
      <c r="E1073" s="529" t="s">
        <v>129</v>
      </c>
      <c r="F1073" s="529" t="s">
        <v>129</v>
      </c>
      <c r="G1073" s="529" t="s">
        <v>129</v>
      </c>
      <c r="H1073" s="529" t="s">
        <v>129</v>
      </c>
      <c r="I1073" s="529" t="s">
        <v>129</v>
      </c>
      <c r="J1073" s="529" t="s">
        <v>129</v>
      </c>
      <c r="K1073" s="529" t="s">
        <v>129</v>
      </c>
      <c r="L1073" s="1048" t="s">
        <v>129</v>
      </c>
      <c r="M1073" s="3"/>
      <c r="N1073" s="3"/>
      <c r="O1073" s="3"/>
      <c r="P1073" s="3"/>
      <c r="Q1073" s="3"/>
      <c r="R1073" s="3"/>
      <c r="S1073" s="3"/>
      <c r="T1073" s="3"/>
      <c r="U1073" s="3"/>
      <c r="V1073" s="3"/>
      <c r="W1073" s="3"/>
      <c r="X1073" s="3"/>
      <c r="Y1073" s="3"/>
      <c r="Z1073" s="3"/>
      <c r="AA1073" s="3"/>
      <c r="AB1073" s="3"/>
      <c r="AC1073" s="3"/>
    </row>
    <row r="1074" spans="1:29" hidden="1" outlineLevel="1" x14ac:dyDescent="0.2">
      <c r="A1074" s="3"/>
      <c r="B1074" s="1047" t="s">
        <v>129</v>
      </c>
      <c r="C1074" s="529" t="s">
        <v>129</v>
      </c>
      <c r="D1074" s="529" t="s">
        <v>129</v>
      </c>
      <c r="E1074" s="529" t="s">
        <v>129</v>
      </c>
      <c r="F1074" s="529" t="s">
        <v>129</v>
      </c>
      <c r="G1074" s="529" t="s">
        <v>129</v>
      </c>
      <c r="H1074" s="529" t="s">
        <v>129</v>
      </c>
      <c r="I1074" s="529" t="s">
        <v>129</v>
      </c>
      <c r="J1074" s="529" t="s">
        <v>129</v>
      </c>
      <c r="K1074" s="529" t="s">
        <v>129</v>
      </c>
      <c r="L1074" s="1048" t="s">
        <v>129</v>
      </c>
      <c r="M1074" s="3"/>
      <c r="N1074" s="3"/>
      <c r="O1074" s="3"/>
      <c r="P1074" s="3"/>
      <c r="Q1074" s="3"/>
      <c r="R1074" s="3"/>
      <c r="S1074" s="3"/>
      <c r="T1074" s="3"/>
      <c r="U1074" s="3"/>
      <c r="V1074" s="3"/>
      <c r="W1074" s="3"/>
      <c r="X1074" s="3"/>
      <c r="Y1074" s="3"/>
      <c r="Z1074" s="3"/>
      <c r="AA1074" s="3"/>
      <c r="AB1074" s="3"/>
      <c r="AC1074" s="3"/>
    </row>
    <row r="1075" spans="1:29" hidden="1" outlineLevel="1" x14ac:dyDescent="0.2">
      <c r="A1075" s="3"/>
      <c r="B1075" s="1047" t="s">
        <v>129</v>
      </c>
      <c r="C1075" s="529" t="s">
        <v>129</v>
      </c>
      <c r="D1075" s="529" t="s">
        <v>129</v>
      </c>
      <c r="E1075" s="529" t="s">
        <v>129</v>
      </c>
      <c r="F1075" s="529" t="s">
        <v>129</v>
      </c>
      <c r="G1075" s="529" t="s">
        <v>129</v>
      </c>
      <c r="H1075" s="529" t="s">
        <v>129</v>
      </c>
      <c r="I1075" s="529" t="s">
        <v>129</v>
      </c>
      <c r="J1075" s="529" t="s">
        <v>129</v>
      </c>
      <c r="K1075" s="529" t="s">
        <v>129</v>
      </c>
      <c r="L1075" s="1048" t="s">
        <v>129</v>
      </c>
      <c r="M1075" s="3"/>
      <c r="N1075" s="3"/>
      <c r="O1075" s="3"/>
      <c r="P1075" s="3"/>
      <c r="Q1075" s="3"/>
      <c r="R1075" s="3"/>
      <c r="S1075" s="3"/>
      <c r="T1075" s="3"/>
      <c r="U1075" s="3"/>
      <c r="V1075" s="3"/>
      <c r="W1075" s="3"/>
      <c r="X1075" s="3"/>
      <c r="Y1075" s="3"/>
      <c r="Z1075" s="3"/>
      <c r="AA1075" s="3"/>
      <c r="AB1075" s="3"/>
      <c r="AC1075" s="3"/>
    </row>
    <row r="1076" spans="1:29" hidden="1" outlineLevel="1" x14ac:dyDescent="0.2">
      <c r="A1076" s="3"/>
      <c r="B1076" s="1047" t="s">
        <v>129</v>
      </c>
      <c r="C1076" s="529" t="s">
        <v>129</v>
      </c>
      <c r="D1076" s="529" t="s">
        <v>129</v>
      </c>
      <c r="E1076" s="529" t="s">
        <v>129</v>
      </c>
      <c r="F1076" s="529" t="s">
        <v>129</v>
      </c>
      <c r="G1076" s="529" t="s">
        <v>129</v>
      </c>
      <c r="H1076" s="529" t="s">
        <v>129</v>
      </c>
      <c r="I1076" s="529" t="s">
        <v>129</v>
      </c>
      <c r="J1076" s="529" t="s">
        <v>129</v>
      </c>
      <c r="K1076" s="529" t="s">
        <v>129</v>
      </c>
      <c r="L1076" s="1048" t="s">
        <v>129</v>
      </c>
      <c r="M1076" s="3"/>
      <c r="N1076" s="3"/>
      <c r="O1076" s="3"/>
      <c r="P1076" s="3"/>
      <c r="Q1076" s="3"/>
      <c r="R1076" s="3"/>
      <c r="S1076" s="3"/>
      <c r="T1076" s="3"/>
      <c r="U1076" s="3"/>
      <c r="V1076" s="3"/>
      <c r="W1076" s="3"/>
      <c r="X1076" s="3"/>
      <c r="Y1076" s="3"/>
      <c r="Z1076" s="3"/>
      <c r="AA1076" s="3"/>
      <c r="AB1076" s="3"/>
      <c r="AC1076" s="3"/>
    </row>
    <row r="1077" spans="1:29" hidden="1" outlineLevel="1" x14ac:dyDescent="0.2">
      <c r="A1077" s="3"/>
      <c r="B1077" s="1047" t="s">
        <v>129</v>
      </c>
      <c r="C1077" s="529" t="s">
        <v>129</v>
      </c>
      <c r="D1077" s="529" t="s">
        <v>129</v>
      </c>
      <c r="E1077" s="529" t="s">
        <v>129</v>
      </c>
      <c r="F1077" s="529" t="s">
        <v>129</v>
      </c>
      <c r="G1077" s="529" t="s">
        <v>129</v>
      </c>
      <c r="H1077" s="529" t="s">
        <v>129</v>
      </c>
      <c r="I1077" s="529" t="s">
        <v>129</v>
      </c>
      <c r="J1077" s="529" t="s">
        <v>129</v>
      </c>
      <c r="K1077" s="529" t="s">
        <v>129</v>
      </c>
      <c r="L1077" s="1048" t="s">
        <v>129</v>
      </c>
      <c r="M1077" s="3"/>
      <c r="N1077" s="3"/>
      <c r="O1077" s="3"/>
      <c r="P1077" s="3"/>
      <c r="Q1077" s="3"/>
      <c r="R1077" s="3"/>
      <c r="S1077" s="3"/>
      <c r="T1077" s="3"/>
      <c r="U1077" s="3"/>
      <c r="V1077" s="3"/>
      <c r="W1077" s="3"/>
      <c r="X1077" s="3"/>
      <c r="Y1077" s="3"/>
      <c r="Z1077" s="3"/>
      <c r="AA1077" s="3"/>
      <c r="AB1077" s="3"/>
      <c r="AC1077" s="3"/>
    </row>
    <row r="1078" spans="1:29" hidden="1" outlineLevel="1" x14ac:dyDescent="0.2">
      <c r="A1078" s="3"/>
      <c r="B1078" s="1047" t="s">
        <v>129</v>
      </c>
      <c r="C1078" s="529" t="s">
        <v>129</v>
      </c>
      <c r="D1078" s="529" t="s">
        <v>129</v>
      </c>
      <c r="E1078" s="529" t="s">
        <v>129</v>
      </c>
      <c r="F1078" s="529" t="s">
        <v>129</v>
      </c>
      <c r="G1078" s="529" t="s">
        <v>129</v>
      </c>
      <c r="H1078" s="529" t="s">
        <v>129</v>
      </c>
      <c r="I1078" s="529" t="s">
        <v>129</v>
      </c>
      <c r="J1078" s="529" t="s">
        <v>129</v>
      </c>
      <c r="K1078" s="529" t="s">
        <v>129</v>
      </c>
      <c r="L1078" s="1048" t="s">
        <v>129</v>
      </c>
      <c r="M1078" s="3"/>
      <c r="N1078" s="3"/>
      <c r="O1078" s="3"/>
      <c r="P1078" s="3"/>
      <c r="Q1078" s="3"/>
      <c r="R1078" s="3"/>
      <c r="S1078" s="3"/>
      <c r="T1078" s="3"/>
      <c r="U1078" s="3"/>
      <c r="V1078" s="3"/>
      <c r="W1078" s="3"/>
      <c r="X1078" s="3"/>
      <c r="Y1078" s="3"/>
      <c r="Z1078" s="3"/>
      <c r="AA1078" s="3"/>
      <c r="AB1078" s="3"/>
      <c r="AC1078" s="3"/>
    </row>
    <row r="1079" spans="1:29" hidden="1" outlineLevel="1" x14ac:dyDescent="0.2">
      <c r="A1079" s="3"/>
      <c r="B1079" s="1047" t="s">
        <v>129</v>
      </c>
      <c r="C1079" s="529" t="s">
        <v>129</v>
      </c>
      <c r="D1079" s="529" t="s">
        <v>129</v>
      </c>
      <c r="E1079" s="529" t="s">
        <v>129</v>
      </c>
      <c r="F1079" s="529" t="s">
        <v>129</v>
      </c>
      <c r="G1079" s="529" t="s">
        <v>129</v>
      </c>
      <c r="H1079" s="529" t="s">
        <v>129</v>
      </c>
      <c r="I1079" s="529" t="s">
        <v>129</v>
      </c>
      <c r="J1079" s="529" t="s">
        <v>129</v>
      </c>
      <c r="K1079" s="529" t="s">
        <v>129</v>
      </c>
      <c r="L1079" s="1048" t="s">
        <v>129</v>
      </c>
      <c r="M1079" s="3"/>
      <c r="N1079" s="3"/>
      <c r="O1079" s="3"/>
      <c r="P1079" s="3"/>
      <c r="Q1079" s="3"/>
      <c r="R1079" s="3"/>
      <c r="S1079" s="3"/>
      <c r="T1079" s="3"/>
      <c r="U1079" s="3"/>
      <c r="V1079" s="3"/>
      <c r="W1079" s="3"/>
      <c r="X1079" s="3"/>
      <c r="Y1079" s="3"/>
      <c r="Z1079" s="3"/>
      <c r="AA1079" s="3"/>
      <c r="AB1079" s="3"/>
      <c r="AC1079" s="3"/>
    </row>
    <row r="1080" spans="1:29" hidden="1" outlineLevel="1" x14ac:dyDescent="0.2">
      <c r="A1080" s="3"/>
      <c r="B1080" s="1047" t="s">
        <v>129</v>
      </c>
      <c r="C1080" s="529" t="s">
        <v>129</v>
      </c>
      <c r="D1080" s="529" t="s">
        <v>129</v>
      </c>
      <c r="E1080" s="529" t="s">
        <v>129</v>
      </c>
      <c r="F1080" s="529" t="s">
        <v>129</v>
      </c>
      <c r="G1080" s="529" t="s">
        <v>129</v>
      </c>
      <c r="H1080" s="529" t="s">
        <v>129</v>
      </c>
      <c r="I1080" s="529" t="s">
        <v>129</v>
      </c>
      <c r="J1080" s="529" t="s">
        <v>129</v>
      </c>
      <c r="K1080" s="529" t="s">
        <v>129</v>
      </c>
      <c r="L1080" s="1048" t="s">
        <v>129</v>
      </c>
      <c r="M1080" s="3"/>
      <c r="N1080" s="3"/>
      <c r="O1080" s="3"/>
      <c r="P1080" s="3"/>
      <c r="Q1080" s="3"/>
      <c r="R1080" s="3"/>
      <c r="S1080" s="3"/>
      <c r="T1080" s="3"/>
      <c r="U1080" s="3"/>
      <c r="V1080" s="3"/>
      <c r="W1080" s="3"/>
      <c r="X1080" s="3"/>
      <c r="Y1080" s="3"/>
      <c r="Z1080" s="3"/>
      <c r="AA1080" s="3"/>
      <c r="AB1080" s="3"/>
      <c r="AC1080" s="3"/>
    </row>
    <row r="1081" spans="1:29" hidden="1" outlineLevel="1" x14ac:dyDescent="0.2">
      <c r="A1081" s="3"/>
      <c r="B1081" s="1047" t="s">
        <v>129</v>
      </c>
      <c r="C1081" s="529" t="s">
        <v>129</v>
      </c>
      <c r="D1081" s="529" t="s">
        <v>129</v>
      </c>
      <c r="E1081" s="529" t="s">
        <v>129</v>
      </c>
      <c r="F1081" s="529" t="s">
        <v>129</v>
      </c>
      <c r="G1081" s="529" t="s">
        <v>129</v>
      </c>
      <c r="H1081" s="529" t="s">
        <v>129</v>
      </c>
      <c r="I1081" s="529" t="s">
        <v>129</v>
      </c>
      <c r="J1081" s="529" t="s">
        <v>129</v>
      </c>
      <c r="K1081" s="529" t="s">
        <v>129</v>
      </c>
      <c r="L1081" s="1048" t="s">
        <v>129</v>
      </c>
      <c r="M1081" s="3"/>
      <c r="N1081" s="3"/>
      <c r="O1081" s="3"/>
      <c r="P1081" s="3"/>
      <c r="Q1081" s="3"/>
      <c r="R1081" s="3"/>
      <c r="S1081" s="3"/>
      <c r="T1081" s="3"/>
      <c r="U1081" s="3"/>
      <c r="V1081" s="3"/>
      <c r="W1081" s="3"/>
      <c r="X1081" s="3"/>
      <c r="Y1081" s="3"/>
      <c r="Z1081" s="3"/>
      <c r="AA1081" s="3"/>
      <c r="AB1081" s="3"/>
      <c r="AC1081" s="3"/>
    </row>
    <row r="1082" spans="1:29" hidden="1" outlineLevel="1" x14ac:dyDescent="0.2">
      <c r="A1082" s="3"/>
      <c r="B1082" s="1047" t="s">
        <v>129</v>
      </c>
      <c r="C1082" s="529" t="s">
        <v>129</v>
      </c>
      <c r="D1082" s="529" t="s">
        <v>129</v>
      </c>
      <c r="E1082" s="529" t="s">
        <v>129</v>
      </c>
      <c r="F1082" s="529" t="s">
        <v>129</v>
      </c>
      <c r="G1082" s="529" t="s">
        <v>129</v>
      </c>
      <c r="H1082" s="529" t="s">
        <v>129</v>
      </c>
      <c r="I1082" s="529" t="s">
        <v>129</v>
      </c>
      <c r="J1082" s="529" t="s">
        <v>129</v>
      </c>
      <c r="K1082" s="529" t="s">
        <v>129</v>
      </c>
      <c r="L1082" s="1048" t="s">
        <v>129</v>
      </c>
      <c r="M1082" s="3"/>
      <c r="N1082" s="3"/>
      <c r="O1082" s="3"/>
      <c r="P1082" s="3"/>
      <c r="Q1082" s="3"/>
      <c r="R1082" s="3"/>
      <c r="S1082" s="3"/>
      <c r="T1082" s="3"/>
      <c r="U1082" s="3"/>
      <c r="V1082" s="3"/>
      <c r="W1082" s="3"/>
      <c r="X1082" s="3"/>
      <c r="Y1082" s="3"/>
      <c r="Z1082" s="3"/>
      <c r="AA1082" s="3"/>
      <c r="AB1082" s="3"/>
      <c r="AC1082" s="3"/>
    </row>
    <row r="1083" spans="1:29" hidden="1" outlineLevel="1" x14ac:dyDescent="0.2">
      <c r="A1083" s="3"/>
      <c r="B1083" s="1047" t="s">
        <v>129</v>
      </c>
      <c r="C1083" s="529" t="s">
        <v>129</v>
      </c>
      <c r="D1083" s="529" t="s">
        <v>129</v>
      </c>
      <c r="E1083" s="529" t="s">
        <v>129</v>
      </c>
      <c r="F1083" s="529" t="s">
        <v>129</v>
      </c>
      <c r="G1083" s="529" t="s">
        <v>129</v>
      </c>
      <c r="H1083" s="529" t="s">
        <v>129</v>
      </c>
      <c r="I1083" s="529" t="s">
        <v>129</v>
      </c>
      <c r="J1083" s="529" t="s">
        <v>129</v>
      </c>
      <c r="K1083" s="529" t="s">
        <v>129</v>
      </c>
      <c r="L1083" s="1048" t="s">
        <v>129</v>
      </c>
      <c r="M1083" s="3"/>
      <c r="N1083" s="3"/>
      <c r="O1083" s="3"/>
      <c r="P1083" s="3"/>
      <c r="Q1083" s="3"/>
      <c r="R1083" s="3"/>
      <c r="S1083" s="3"/>
      <c r="T1083" s="3"/>
      <c r="U1083" s="3"/>
      <c r="V1083" s="3"/>
      <c r="W1083" s="3"/>
      <c r="X1083" s="3"/>
      <c r="Y1083" s="3"/>
      <c r="Z1083" s="3"/>
      <c r="AA1083" s="3"/>
      <c r="AB1083" s="3"/>
      <c r="AC1083" s="3"/>
    </row>
    <row r="1084" spans="1:29" hidden="1" outlineLevel="1" x14ac:dyDescent="0.2">
      <c r="A1084" s="3"/>
      <c r="B1084" s="1047" t="s">
        <v>129</v>
      </c>
      <c r="C1084" s="529" t="s">
        <v>129</v>
      </c>
      <c r="D1084" s="529" t="s">
        <v>129</v>
      </c>
      <c r="E1084" s="529" t="s">
        <v>129</v>
      </c>
      <c r="F1084" s="529" t="s">
        <v>129</v>
      </c>
      <c r="G1084" s="529" t="s">
        <v>129</v>
      </c>
      <c r="H1084" s="529" t="s">
        <v>129</v>
      </c>
      <c r="I1084" s="529" t="s">
        <v>129</v>
      </c>
      <c r="J1084" s="529" t="s">
        <v>129</v>
      </c>
      <c r="K1084" s="529" t="s">
        <v>129</v>
      </c>
      <c r="L1084" s="1048" t="s">
        <v>129</v>
      </c>
      <c r="M1084" s="3"/>
      <c r="N1084" s="3"/>
      <c r="O1084" s="3"/>
      <c r="P1084" s="3"/>
      <c r="Q1084" s="3"/>
      <c r="R1084" s="3"/>
      <c r="S1084" s="3"/>
      <c r="T1084" s="3"/>
      <c r="U1084" s="3"/>
      <c r="V1084" s="3"/>
      <c r="W1084" s="3"/>
      <c r="X1084" s="3"/>
      <c r="Y1084" s="3"/>
      <c r="Z1084" s="3"/>
      <c r="AA1084" s="3"/>
      <c r="AB1084" s="3"/>
      <c r="AC1084" s="3"/>
    </row>
    <row r="1085" spans="1:29" hidden="1" outlineLevel="1" x14ac:dyDescent="0.2">
      <c r="A1085" s="3"/>
      <c r="B1085" s="1047" t="s">
        <v>129</v>
      </c>
      <c r="C1085" s="529" t="s">
        <v>129</v>
      </c>
      <c r="D1085" s="529" t="s">
        <v>129</v>
      </c>
      <c r="E1085" s="529" t="s">
        <v>129</v>
      </c>
      <c r="F1085" s="529" t="s">
        <v>129</v>
      </c>
      <c r="G1085" s="529" t="s">
        <v>129</v>
      </c>
      <c r="H1085" s="529" t="s">
        <v>129</v>
      </c>
      <c r="I1085" s="529" t="s">
        <v>129</v>
      </c>
      <c r="J1085" s="529" t="s">
        <v>129</v>
      </c>
      <c r="K1085" s="529" t="s">
        <v>129</v>
      </c>
      <c r="L1085" s="1048" t="s">
        <v>129</v>
      </c>
      <c r="M1085" s="3"/>
      <c r="N1085" s="3"/>
      <c r="O1085" s="3"/>
      <c r="P1085" s="3"/>
      <c r="Q1085" s="3"/>
      <c r="R1085" s="3"/>
      <c r="S1085" s="3"/>
      <c r="T1085" s="3"/>
      <c r="U1085" s="3"/>
      <c r="V1085" s="3"/>
      <c r="W1085" s="3"/>
      <c r="X1085" s="3"/>
      <c r="Y1085" s="3"/>
      <c r="Z1085" s="3"/>
      <c r="AA1085" s="3"/>
      <c r="AB1085" s="3"/>
      <c r="AC1085" s="3"/>
    </row>
    <row r="1086" spans="1:29" hidden="1" outlineLevel="1" x14ac:dyDescent="0.2">
      <c r="A1086" s="3"/>
      <c r="B1086" s="1047" t="s">
        <v>129</v>
      </c>
      <c r="C1086" s="529" t="s">
        <v>129</v>
      </c>
      <c r="D1086" s="529" t="s">
        <v>129</v>
      </c>
      <c r="E1086" s="529" t="s">
        <v>129</v>
      </c>
      <c r="F1086" s="529" t="s">
        <v>129</v>
      </c>
      <c r="G1086" s="529" t="s">
        <v>129</v>
      </c>
      <c r="H1086" s="529" t="s">
        <v>129</v>
      </c>
      <c r="I1086" s="529" t="s">
        <v>129</v>
      </c>
      <c r="J1086" s="529" t="s">
        <v>129</v>
      </c>
      <c r="K1086" s="529" t="s">
        <v>129</v>
      </c>
      <c r="L1086" s="1048" t="s">
        <v>129</v>
      </c>
      <c r="M1086" s="3"/>
      <c r="N1086" s="3"/>
      <c r="O1086" s="3"/>
      <c r="P1086" s="3"/>
      <c r="Q1086" s="3"/>
      <c r="R1086" s="3"/>
      <c r="S1086" s="3"/>
      <c r="T1086" s="3"/>
      <c r="U1086" s="3"/>
      <c r="V1086" s="3"/>
      <c r="W1086" s="3"/>
      <c r="X1086" s="3"/>
      <c r="Y1086" s="3"/>
      <c r="Z1086" s="3"/>
      <c r="AA1086" s="3"/>
      <c r="AB1086" s="3"/>
      <c r="AC1086" s="3"/>
    </row>
    <row r="1087" spans="1:29" hidden="1" outlineLevel="1" x14ac:dyDescent="0.2">
      <c r="A1087" s="3"/>
      <c r="B1087" s="1047" t="s">
        <v>129</v>
      </c>
      <c r="C1087" s="529" t="s">
        <v>129</v>
      </c>
      <c r="D1087" s="529" t="s">
        <v>129</v>
      </c>
      <c r="E1087" s="529" t="s">
        <v>129</v>
      </c>
      <c r="F1087" s="529" t="s">
        <v>129</v>
      </c>
      <c r="G1087" s="529" t="s">
        <v>129</v>
      </c>
      <c r="H1087" s="529" t="s">
        <v>129</v>
      </c>
      <c r="I1087" s="529" t="s">
        <v>129</v>
      </c>
      <c r="J1087" s="529" t="s">
        <v>129</v>
      </c>
      <c r="K1087" s="529" t="s">
        <v>129</v>
      </c>
      <c r="L1087" s="1048" t="s">
        <v>129</v>
      </c>
      <c r="M1087" s="3"/>
      <c r="N1087" s="3"/>
      <c r="O1087" s="3"/>
      <c r="P1087" s="3"/>
      <c r="Q1087" s="3"/>
      <c r="R1087" s="3"/>
      <c r="S1087" s="3"/>
      <c r="T1087" s="3"/>
      <c r="U1087" s="3"/>
      <c r="V1087" s="3"/>
      <c r="W1087" s="3"/>
      <c r="X1087" s="3"/>
      <c r="Y1087" s="3"/>
      <c r="Z1087" s="3"/>
      <c r="AA1087" s="3"/>
      <c r="AB1087" s="3"/>
      <c r="AC1087" s="3"/>
    </row>
    <row r="1088" spans="1:29" hidden="1" outlineLevel="1" x14ac:dyDescent="0.2">
      <c r="A1088" s="3"/>
      <c r="B1088" s="1047" t="s">
        <v>129</v>
      </c>
      <c r="C1088" s="529" t="s">
        <v>129</v>
      </c>
      <c r="D1088" s="529" t="s">
        <v>129</v>
      </c>
      <c r="E1088" s="529" t="s">
        <v>129</v>
      </c>
      <c r="F1088" s="529" t="s">
        <v>129</v>
      </c>
      <c r="G1088" s="529" t="s">
        <v>129</v>
      </c>
      <c r="H1088" s="529" t="s">
        <v>129</v>
      </c>
      <c r="I1088" s="529" t="s">
        <v>129</v>
      </c>
      <c r="J1088" s="529" t="s">
        <v>129</v>
      </c>
      <c r="K1088" s="529" t="s">
        <v>129</v>
      </c>
      <c r="L1088" s="1048" t="s">
        <v>129</v>
      </c>
      <c r="M1088" s="3"/>
      <c r="N1088" s="3"/>
      <c r="O1088" s="3"/>
      <c r="P1088" s="3"/>
      <c r="Q1088" s="3"/>
      <c r="R1088" s="3"/>
      <c r="S1088" s="3"/>
      <c r="T1088" s="3"/>
      <c r="U1088" s="3"/>
      <c r="V1088" s="3"/>
      <c r="W1088" s="3"/>
      <c r="X1088" s="3"/>
      <c r="Y1088" s="3"/>
      <c r="Z1088" s="3"/>
      <c r="AA1088" s="3"/>
      <c r="AB1088" s="3"/>
      <c r="AC1088" s="3"/>
    </row>
    <row r="1089" spans="1:29" hidden="1" outlineLevel="1" x14ac:dyDescent="0.2">
      <c r="A1089" s="3"/>
      <c r="B1089" s="1047" t="s">
        <v>129</v>
      </c>
      <c r="C1089" s="529" t="s">
        <v>129</v>
      </c>
      <c r="D1089" s="529" t="s">
        <v>129</v>
      </c>
      <c r="E1089" s="529" t="s">
        <v>129</v>
      </c>
      <c r="F1089" s="529" t="s">
        <v>129</v>
      </c>
      <c r="G1089" s="529" t="s">
        <v>129</v>
      </c>
      <c r="H1089" s="529" t="s">
        <v>129</v>
      </c>
      <c r="I1089" s="529" t="s">
        <v>129</v>
      </c>
      <c r="J1089" s="529" t="s">
        <v>129</v>
      </c>
      <c r="K1089" s="529" t="s">
        <v>129</v>
      </c>
      <c r="L1089" s="1048" t="s">
        <v>129</v>
      </c>
      <c r="M1089" s="3"/>
      <c r="N1089" s="3"/>
      <c r="O1089" s="3"/>
      <c r="P1089" s="3"/>
      <c r="Q1089" s="3"/>
      <c r="R1089" s="3"/>
      <c r="S1089" s="3"/>
      <c r="T1089" s="3"/>
      <c r="U1089" s="3"/>
      <c r="V1089" s="3"/>
      <c r="W1089" s="3"/>
      <c r="X1089" s="3"/>
      <c r="Y1089" s="3"/>
      <c r="Z1089" s="3"/>
      <c r="AA1089" s="3"/>
      <c r="AB1089" s="3"/>
      <c r="AC1089" s="3"/>
    </row>
    <row r="1090" spans="1:29" hidden="1" outlineLevel="1" x14ac:dyDescent="0.2">
      <c r="A1090" s="3"/>
      <c r="B1090" s="1047" t="s">
        <v>129</v>
      </c>
      <c r="C1090" s="529" t="s">
        <v>129</v>
      </c>
      <c r="D1090" s="529" t="s">
        <v>129</v>
      </c>
      <c r="E1090" s="529" t="s">
        <v>129</v>
      </c>
      <c r="F1090" s="529" t="s">
        <v>129</v>
      </c>
      <c r="G1090" s="529" t="s">
        <v>129</v>
      </c>
      <c r="H1090" s="529" t="s">
        <v>129</v>
      </c>
      <c r="I1090" s="529" t="s">
        <v>129</v>
      </c>
      <c r="J1090" s="529" t="s">
        <v>129</v>
      </c>
      <c r="K1090" s="529" t="s">
        <v>129</v>
      </c>
      <c r="L1090" s="1048" t="s">
        <v>129</v>
      </c>
      <c r="M1090" s="3"/>
      <c r="N1090" s="3"/>
      <c r="O1090" s="3"/>
      <c r="P1090" s="3"/>
      <c r="Q1090" s="3"/>
      <c r="R1090" s="3"/>
      <c r="S1090" s="3"/>
      <c r="T1090" s="3"/>
      <c r="U1090" s="3"/>
      <c r="V1090" s="3"/>
      <c r="W1090" s="3"/>
      <c r="X1090" s="3"/>
      <c r="Y1090" s="3"/>
      <c r="Z1090" s="3"/>
      <c r="AA1090" s="3"/>
      <c r="AB1090" s="3"/>
      <c r="AC1090" s="3"/>
    </row>
    <row r="1091" spans="1:29" hidden="1" outlineLevel="1" x14ac:dyDescent="0.2">
      <c r="A1091" s="3"/>
      <c r="B1091" s="1047" t="s">
        <v>129</v>
      </c>
      <c r="C1091" s="529" t="s">
        <v>129</v>
      </c>
      <c r="D1091" s="529" t="s">
        <v>129</v>
      </c>
      <c r="E1091" s="529" t="s">
        <v>129</v>
      </c>
      <c r="F1091" s="529" t="s">
        <v>129</v>
      </c>
      <c r="G1091" s="529" t="s">
        <v>129</v>
      </c>
      <c r="H1091" s="529" t="s">
        <v>129</v>
      </c>
      <c r="I1091" s="529" t="s">
        <v>129</v>
      </c>
      <c r="J1091" s="529" t="s">
        <v>129</v>
      </c>
      <c r="K1091" s="529" t="s">
        <v>129</v>
      </c>
      <c r="L1091" s="1048" t="s">
        <v>129</v>
      </c>
      <c r="M1091" s="3"/>
      <c r="N1091" s="3"/>
      <c r="O1091" s="3"/>
      <c r="P1091" s="3"/>
      <c r="Q1091" s="3"/>
      <c r="R1091" s="3"/>
      <c r="S1091" s="3"/>
      <c r="T1091" s="3"/>
      <c r="U1091" s="3"/>
      <c r="V1091" s="3"/>
      <c r="W1091" s="3"/>
      <c r="X1091" s="3"/>
      <c r="Y1091" s="3"/>
      <c r="Z1091" s="3"/>
      <c r="AA1091" s="3"/>
      <c r="AB1091" s="3"/>
      <c r="AC1091" s="3"/>
    </row>
    <row r="1092" spans="1:29" hidden="1" outlineLevel="1" x14ac:dyDescent="0.2">
      <c r="A1092" s="3"/>
      <c r="B1092" s="1047" t="s">
        <v>129</v>
      </c>
      <c r="C1092" s="529" t="s">
        <v>129</v>
      </c>
      <c r="D1092" s="529" t="s">
        <v>129</v>
      </c>
      <c r="E1092" s="529" t="s">
        <v>129</v>
      </c>
      <c r="F1092" s="529" t="s">
        <v>129</v>
      </c>
      <c r="G1092" s="529" t="s">
        <v>129</v>
      </c>
      <c r="H1092" s="529" t="s">
        <v>129</v>
      </c>
      <c r="I1092" s="529" t="s">
        <v>129</v>
      </c>
      <c r="J1092" s="529" t="s">
        <v>129</v>
      </c>
      <c r="K1092" s="529" t="s">
        <v>129</v>
      </c>
      <c r="L1092" s="1048" t="s">
        <v>129</v>
      </c>
      <c r="M1092" s="3"/>
      <c r="N1092" s="3"/>
      <c r="O1092" s="3"/>
      <c r="P1092" s="3"/>
      <c r="Q1092" s="3"/>
      <c r="R1092" s="3"/>
      <c r="S1092" s="3"/>
      <c r="T1092" s="3"/>
      <c r="U1092" s="3"/>
      <c r="V1092" s="3"/>
      <c r="W1092" s="3"/>
      <c r="X1092" s="3"/>
      <c r="Y1092" s="3"/>
      <c r="Z1092" s="3"/>
      <c r="AA1092" s="3"/>
      <c r="AB1092" s="3"/>
      <c r="AC1092" s="3"/>
    </row>
    <row r="1093" spans="1:29" hidden="1" outlineLevel="1" x14ac:dyDescent="0.2">
      <c r="A1093" s="3"/>
      <c r="B1093" s="1047" t="s">
        <v>129</v>
      </c>
      <c r="C1093" s="529" t="s">
        <v>129</v>
      </c>
      <c r="D1093" s="529" t="s">
        <v>129</v>
      </c>
      <c r="E1093" s="529" t="s">
        <v>129</v>
      </c>
      <c r="F1093" s="529" t="s">
        <v>129</v>
      </c>
      <c r="G1093" s="529" t="s">
        <v>129</v>
      </c>
      <c r="H1093" s="529" t="s">
        <v>129</v>
      </c>
      <c r="I1093" s="529" t="s">
        <v>129</v>
      </c>
      <c r="J1093" s="529" t="s">
        <v>129</v>
      </c>
      <c r="K1093" s="529" t="s">
        <v>129</v>
      </c>
      <c r="L1093" s="1048" t="s">
        <v>129</v>
      </c>
      <c r="M1093" s="3"/>
      <c r="N1093" s="3"/>
      <c r="O1093" s="3"/>
      <c r="P1093" s="3"/>
      <c r="Q1093" s="3"/>
      <c r="R1093" s="3"/>
      <c r="S1093" s="3"/>
      <c r="T1093" s="3"/>
      <c r="U1093" s="3"/>
      <c r="V1093" s="3"/>
      <c r="W1093" s="3"/>
      <c r="X1093" s="3"/>
      <c r="Y1093" s="3"/>
      <c r="Z1093" s="3"/>
      <c r="AA1093" s="3"/>
      <c r="AB1093" s="3"/>
      <c r="AC1093" s="3"/>
    </row>
    <row r="1094" spans="1:29" hidden="1" outlineLevel="1" x14ac:dyDescent="0.2">
      <c r="A1094" s="3"/>
      <c r="B1094" s="1047" t="s">
        <v>129</v>
      </c>
      <c r="C1094" s="529" t="s">
        <v>129</v>
      </c>
      <c r="D1094" s="529" t="s">
        <v>129</v>
      </c>
      <c r="E1094" s="529" t="s">
        <v>129</v>
      </c>
      <c r="F1094" s="529" t="s">
        <v>129</v>
      </c>
      <c r="G1094" s="529" t="s">
        <v>129</v>
      </c>
      <c r="H1094" s="529" t="s">
        <v>129</v>
      </c>
      <c r="I1094" s="529" t="s">
        <v>129</v>
      </c>
      <c r="J1094" s="529" t="s">
        <v>129</v>
      </c>
      <c r="K1094" s="529" t="s">
        <v>129</v>
      </c>
      <c r="L1094" s="1048" t="s">
        <v>129</v>
      </c>
      <c r="M1094" s="3"/>
      <c r="N1094" s="3"/>
      <c r="O1094" s="3"/>
      <c r="P1094" s="3"/>
      <c r="Q1094" s="3"/>
      <c r="R1094" s="3"/>
      <c r="S1094" s="3"/>
      <c r="T1094" s="3"/>
      <c r="U1094" s="3"/>
      <c r="V1094" s="3"/>
      <c r="W1094" s="3"/>
      <c r="X1094" s="3"/>
      <c r="Y1094" s="3"/>
      <c r="Z1094" s="3"/>
      <c r="AA1094" s="3"/>
      <c r="AB1094" s="3"/>
      <c r="AC1094" s="3"/>
    </row>
    <row r="1095" spans="1:29" hidden="1" outlineLevel="1" x14ac:dyDescent="0.2">
      <c r="A1095" s="3"/>
      <c r="B1095" s="1047" t="s">
        <v>129</v>
      </c>
      <c r="C1095" s="529" t="s">
        <v>129</v>
      </c>
      <c r="D1095" s="529" t="s">
        <v>129</v>
      </c>
      <c r="E1095" s="529" t="s">
        <v>129</v>
      </c>
      <c r="F1095" s="529" t="s">
        <v>129</v>
      </c>
      <c r="G1095" s="529" t="s">
        <v>129</v>
      </c>
      <c r="H1095" s="529" t="s">
        <v>129</v>
      </c>
      <c r="I1095" s="529" t="s">
        <v>129</v>
      </c>
      <c r="J1095" s="529" t="s">
        <v>129</v>
      </c>
      <c r="K1095" s="529" t="s">
        <v>129</v>
      </c>
      <c r="L1095" s="1048" t="s">
        <v>129</v>
      </c>
      <c r="M1095" s="3"/>
      <c r="N1095" s="3"/>
      <c r="O1095" s="3"/>
      <c r="P1095" s="3"/>
      <c r="Q1095" s="3"/>
      <c r="R1095" s="3"/>
      <c r="S1095" s="3"/>
      <c r="T1095" s="3"/>
      <c r="U1095" s="3"/>
      <c r="V1095" s="3"/>
      <c r="W1095" s="3"/>
      <c r="X1095" s="3"/>
      <c r="Y1095" s="3"/>
      <c r="Z1095" s="3"/>
      <c r="AA1095" s="3"/>
      <c r="AB1095" s="3"/>
      <c r="AC1095" s="3"/>
    </row>
    <row r="1096" spans="1:29" hidden="1" outlineLevel="1" x14ac:dyDescent="0.2">
      <c r="A1096" s="3"/>
      <c r="B1096" s="1047" t="s">
        <v>129</v>
      </c>
      <c r="C1096" s="529" t="s">
        <v>129</v>
      </c>
      <c r="D1096" s="529" t="s">
        <v>129</v>
      </c>
      <c r="E1096" s="529" t="s">
        <v>129</v>
      </c>
      <c r="F1096" s="529" t="s">
        <v>129</v>
      </c>
      <c r="G1096" s="529" t="s">
        <v>129</v>
      </c>
      <c r="H1096" s="529" t="s">
        <v>129</v>
      </c>
      <c r="I1096" s="529" t="s">
        <v>129</v>
      </c>
      <c r="J1096" s="529" t="s">
        <v>129</v>
      </c>
      <c r="K1096" s="529" t="s">
        <v>129</v>
      </c>
      <c r="L1096" s="1048" t="s">
        <v>129</v>
      </c>
      <c r="M1096" s="3"/>
      <c r="N1096" s="3"/>
      <c r="O1096" s="3"/>
      <c r="P1096" s="3"/>
      <c r="Q1096" s="3"/>
      <c r="R1096" s="3"/>
      <c r="S1096" s="3"/>
      <c r="T1096" s="3"/>
      <c r="U1096" s="3"/>
      <c r="V1096" s="3"/>
      <c r="W1096" s="3"/>
      <c r="X1096" s="3"/>
      <c r="Y1096" s="3"/>
      <c r="Z1096" s="3"/>
      <c r="AA1096" s="3"/>
      <c r="AB1096" s="3"/>
      <c r="AC1096" s="3"/>
    </row>
    <row r="1097" spans="1:29" hidden="1" outlineLevel="1" x14ac:dyDescent="0.2">
      <c r="A1097" s="3"/>
      <c r="B1097" s="1047" t="s">
        <v>129</v>
      </c>
      <c r="C1097" s="529" t="s">
        <v>129</v>
      </c>
      <c r="D1097" s="529" t="s">
        <v>129</v>
      </c>
      <c r="E1097" s="529" t="s">
        <v>129</v>
      </c>
      <c r="F1097" s="529" t="s">
        <v>129</v>
      </c>
      <c r="G1097" s="529" t="s">
        <v>129</v>
      </c>
      <c r="H1097" s="529" t="s">
        <v>129</v>
      </c>
      <c r="I1097" s="529" t="s">
        <v>129</v>
      </c>
      <c r="J1097" s="529" t="s">
        <v>129</v>
      </c>
      <c r="K1097" s="529" t="s">
        <v>129</v>
      </c>
      <c r="L1097" s="1048" t="s">
        <v>129</v>
      </c>
      <c r="M1097" s="3"/>
      <c r="N1097" s="3"/>
      <c r="O1097" s="3"/>
      <c r="P1097" s="3"/>
      <c r="Q1097" s="3"/>
      <c r="R1097" s="3"/>
      <c r="S1097" s="3"/>
      <c r="T1097" s="3"/>
      <c r="U1097" s="3"/>
      <c r="V1097" s="3"/>
      <c r="W1097" s="3"/>
      <c r="X1097" s="3"/>
      <c r="Y1097" s="3"/>
      <c r="Z1097" s="3"/>
      <c r="AA1097" s="3"/>
      <c r="AB1097" s="3"/>
      <c r="AC1097" s="3"/>
    </row>
    <row r="1098" spans="1:29" hidden="1" outlineLevel="1" x14ac:dyDescent="0.2">
      <c r="A1098" s="3"/>
      <c r="B1098" s="1047" t="s">
        <v>129</v>
      </c>
      <c r="C1098" s="529" t="s">
        <v>129</v>
      </c>
      <c r="D1098" s="529" t="s">
        <v>129</v>
      </c>
      <c r="E1098" s="529" t="s">
        <v>129</v>
      </c>
      <c r="F1098" s="529" t="s">
        <v>129</v>
      </c>
      <c r="G1098" s="529" t="s">
        <v>129</v>
      </c>
      <c r="H1098" s="529" t="s">
        <v>129</v>
      </c>
      <c r="I1098" s="529" t="s">
        <v>129</v>
      </c>
      <c r="J1098" s="529" t="s">
        <v>129</v>
      </c>
      <c r="K1098" s="529" t="s">
        <v>129</v>
      </c>
      <c r="L1098" s="1048" t="s">
        <v>129</v>
      </c>
      <c r="M1098" s="3"/>
      <c r="N1098" s="3"/>
      <c r="O1098" s="3"/>
      <c r="P1098" s="3"/>
      <c r="Q1098" s="3"/>
      <c r="R1098" s="3"/>
      <c r="S1098" s="3"/>
      <c r="T1098" s="3"/>
      <c r="U1098" s="3"/>
      <c r="V1098" s="3"/>
      <c r="W1098" s="3"/>
      <c r="X1098" s="3"/>
      <c r="Y1098" s="3"/>
      <c r="Z1098" s="3"/>
      <c r="AA1098" s="3"/>
      <c r="AB1098" s="3"/>
      <c r="AC1098" s="3"/>
    </row>
    <row r="1099" spans="1:29" hidden="1" outlineLevel="1" x14ac:dyDescent="0.2">
      <c r="A1099" s="3"/>
      <c r="B1099" s="1047" t="s">
        <v>129</v>
      </c>
      <c r="C1099" s="529" t="s">
        <v>129</v>
      </c>
      <c r="D1099" s="529" t="s">
        <v>129</v>
      </c>
      <c r="E1099" s="529" t="s">
        <v>129</v>
      </c>
      <c r="F1099" s="529" t="s">
        <v>129</v>
      </c>
      <c r="G1099" s="529" t="s">
        <v>129</v>
      </c>
      <c r="H1099" s="529" t="s">
        <v>129</v>
      </c>
      <c r="I1099" s="529" t="s">
        <v>129</v>
      </c>
      <c r="J1099" s="529" t="s">
        <v>129</v>
      </c>
      <c r="K1099" s="529" t="s">
        <v>129</v>
      </c>
      <c r="L1099" s="1048" t="s">
        <v>129</v>
      </c>
      <c r="M1099" s="3"/>
      <c r="N1099" s="3"/>
      <c r="O1099" s="3"/>
      <c r="P1099" s="3"/>
      <c r="Q1099" s="3"/>
      <c r="R1099" s="3"/>
      <c r="S1099" s="3"/>
      <c r="T1099" s="3"/>
      <c r="U1099" s="3"/>
      <c r="V1099" s="3"/>
      <c r="W1099" s="3"/>
      <c r="X1099" s="3"/>
      <c r="Y1099" s="3"/>
      <c r="Z1099" s="3"/>
      <c r="AA1099" s="3"/>
      <c r="AB1099" s="3"/>
      <c r="AC1099" s="3"/>
    </row>
    <row r="1100" spans="1:29" hidden="1" outlineLevel="1" x14ac:dyDescent="0.2">
      <c r="A1100" s="3"/>
      <c r="B1100" s="1047" t="s">
        <v>129</v>
      </c>
      <c r="C1100" s="529" t="s">
        <v>129</v>
      </c>
      <c r="D1100" s="529" t="s">
        <v>129</v>
      </c>
      <c r="E1100" s="529" t="s">
        <v>129</v>
      </c>
      <c r="F1100" s="529" t="s">
        <v>129</v>
      </c>
      <c r="G1100" s="529" t="s">
        <v>129</v>
      </c>
      <c r="H1100" s="529" t="s">
        <v>129</v>
      </c>
      <c r="I1100" s="529" t="s">
        <v>129</v>
      </c>
      <c r="J1100" s="529" t="s">
        <v>129</v>
      </c>
      <c r="K1100" s="529" t="s">
        <v>129</v>
      </c>
      <c r="L1100" s="1048" t="s">
        <v>129</v>
      </c>
      <c r="M1100" s="3"/>
      <c r="N1100" s="3"/>
      <c r="O1100" s="3"/>
      <c r="P1100" s="3"/>
      <c r="Q1100" s="3"/>
      <c r="R1100" s="3"/>
      <c r="S1100" s="3"/>
      <c r="T1100" s="3"/>
      <c r="U1100" s="3"/>
      <c r="V1100" s="3"/>
      <c r="W1100" s="3"/>
      <c r="X1100" s="3"/>
      <c r="Y1100" s="3"/>
      <c r="Z1100" s="3"/>
      <c r="AA1100" s="3"/>
      <c r="AB1100" s="3"/>
      <c r="AC1100" s="3"/>
    </row>
    <row r="1101" spans="1:29" hidden="1" outlineLevel="1" x14ac:dyDescent="0.2">
      <c r="A1101" s="3"/>
      <c r="B1101" s="1047" t="s">
        <v>129</v>
      </c>
      <c r="C1101" s="529" t="s">
        <v>129</v>
      </c>
      <c r="D1101" s="529" t="s">
        <v>129</v>
      </c>
      <c r="E1101" s="529" t="s">
        <v>129</v>
      </c>
      <c r="F1101" s="529" t="s">
        <v>129</v>
      </c>
      <c r="G1101" s="529" t="s">
        <v>129</v>
      </c>
      <c r="H1101" s="529" t="s">
        <v>129</v>
      </c>
      <c r="I1101" s="529" t="s">
        <v>129</v>
      </c>
      <c r="J1101" s="529" t="s">
        <v>129</v>
      </c>
      <c r="K1101" s="529" t="s">
        <v>129</v>
      </c>
      <c r="L1101" s="1048" t="s">
        <v>129</v>
      </c>
      <c r="M1101" s="3"/>
      <c r="N1101" s="3"/>
      <c r="O1101" s="3"/>
      <c r="P1101" s="3"/>
      <c r="Q1101" s="3"/>
      <c r="R1101" s="3"/>
      <c r="S1101" s="3"/>
      <c r="T1101" s="3"/>
      <c r="U1101" s="3"/>
      <c r="V1101" s="3"/>
      <c r="W1101" s="3"/>
      <c r="X1101" s="3"/>
      <c r="Y1101" s="3"/>
      <c r="Z1101" s="3"/>
      <c r="AA1101" s="3"/>
      <c r="AB1101" s="3"/>
      <c r="AC1101" s="3"/>
    </row>
    <row r="1102" spans="1:29" hidden="1" outlineLevel="1" x14ac:dyDescent="0.2">
      <c r="A1102" s="3"/>
      <c r="B1102" s="1047" t="s">
        <v>129</v>
      </c>
      <c r="C1102" s="529" t="s">
        <v>129</v>
      </c>
      <c r="D1102" s="529" t="s">
        <v>129</v>
      </c>
      <c r="E1102" s="529" t="s">
        <v>129</v>
      </c>
      <c r="F1102" s="529" t="s">
        <v>129</v>
      </c>
      <c r="G1102" s="529" t="s">
        <v>129</v>
      </c>
      <c r="H1102" s="529" t="s">
        <v>129</v>
      </c>
      <c r="I1102" s="529" t="s">
        <v>129</v>
      </c>
      <c r="J1102" s="529" t="s">
        <v>129</v>
      </c>
      <c r="K1102" s="529" t="s">
        <v>129</v>
      </c>
      <c r="L1102" s="1048" t="s">
        <v>129</v>
      </c>
      <c r="M1102" s="3"/>
      <c r="N1102" s="3"/>
      <c r="O1102" s="3"/>
      <c r="P1102" s="3"/>
      <c r="Q1102" s="3"/>
      <c r="R1102" s="3"/>
      <c r="S1102" s="3"/>
      <c r="T1102" s="3"/>
      <c r="U1102" s="3"/>
      <c r="V1102" s="3"/>
      <c r="W1102" s="3"/>
      <c r="X1102" s="3"/>
      <c r="Y1102" s="3"/>
      <c r="Z1102" s="3"/>
      <c r="AA1102" s="3"/>
      <c r="AB1102" s="3"/>
      <c r="AC1102" s="3"/>
    </row>
    <row r="1103" spans="1:29" hidden="1" outlineLevel="1" x14ac:dyDescent="0.2">
      <c r="A1103" s="3"/>
      <c r="B1103" s="1047" t="s">
        <v>129</v>
      </c>
      <c r="C1103" s="529" t="s">
        <v>129</v>
      </c>
      <c r="D1103" s="529" t="s">
        <v>129</v>
      </c>
      <c r="E1103" s="529" t="s">
        <v>129</v>
      </c>
      <c r="F1103" s="529" t="s">
        <v>129</v>
      </c>
      <c r="G1103" s="529" t="s">
        <v>129</v>
      </c>
      <c r="H1103" s="529" t="s">
        <v>129</v>
      </c>
      <c r="I1103" s="529" t="s">
        <v>129</v>
      </c>
      <c r="J1103" s="529" t="s">
        <v>129</v>
      </c>
      <c r="K1103" s="529" t="s">
        <v>129</v>
      </c>
      <c r="L1103" s="1048" t="s">
        <v>129</v>
      </c>
      <c r="M1103" s="3"/>
      <c r="N1103" s="3"/>
      <c r="O1103" s="3"/>
      <c r="P1103" s="3"/>
      <c r="Q1103" s="3"/>
      <c r="R1103" s="3"/>
      <c r="S1103" s="3"/>
      <c r="T1103" s="3"/>
      <c r="U1103" s="3"/>
      <c r="V1103" s="3"/>
      <c r="W1103" s="3"/>
      <c r="X1103" s="3"/>
      <c r="Y1103" s="3"/>
      <c r="Z1103" s="3"/>
      <c r="AA1103" s="3"/>
      <c r="AB1103" s="3"/>
      <c r="AC1103" s="3"/>
    </row>
    <row r="1104" spans="1:29" hidden="1" outlineLevel="1" x14ac:dyDescent="0.2">
      <c r="A1104" s="3"/>
      <c r="B1104" s="1047" t="s">
        <v>129</v>
      </c>
      <c r="C1104" s="529" t="s">
        <v>129</v>
      </c>
      <c r="D1104" s="529" t="s">
        <v>129</v>
      </c>
      <c r="E1104" s="529" t="s">
        <v>129</v>
      </c>
      <c r="F1104" s="529" t="s">
        <v>129</v>
      </c>
      <c r="G1104" s="529" t="s">
        <v>129</v>
      </c>
      <c r="H1104" s="529" t="s">
        <v>129</v>
      </c>
      <c r="I1104" s="529" t="s">
        <v>129</v>
      </c>
      <c r="J1104" s="529" t="s">
        <v>129</v>
      </c>
      <c r="K1104" s="529" t="s">
        <v>129</v>
      </c>
      <c r="L1104" s="1048" t="s">
        <v>129</v>
      </c>
      <c r="M1104" s="3"/>
      <c r="N1104" s="3"/>
      <c r="O1104" s="3"/>
      <c r="P1104" s="3"/>
      <c r="Q1104" s="3"/>
      <c r="R1104" s="3"/>
      <c r="S1104" s="3"/>
      <c r="T1104" s="3"/>
      <c r="U1104" s="3"/>
      <c r="V1104" s="3"/>
      <c r="W1104" s="3"/>
      <c r="X1104" s="3"/>
      <c r="Y1104" s="3"/>
      <c r="Z1104" s="3"/>
      <c r="AA1104" s="3"/>
      <c r="AB1104" s="3"/>
      <c r="AC1104" s="3"/>
    </row>
    <row r="1105" spans="1:29" hidden="1" outlineLevel="1" x14ac:dyDescent="0.2">
      <c r="A1105" s="3"/>
      <c r="B1105" s="1047" t="s">
        <v>129</v>
      </c>
      <c r="C1105" s="529" t="s">
        <v>129</v>
      </c>
      <c r="D1105" s="529" t="s">
        <v>129</v>
      </c>
      <c r="E1105" s="529" t="s">
        <v>129</v>
      </c>
      <c r="F1105" s="529" t="s">
        <v>129</v>
      </c>
      <c r="G1105" s="529" t="s">
        <v>129</v>
      </c>
      <c r="H1105" s="529" t="s">
        <v>129</v>
      </c>
      <c r="I1105" s="529" t="s">
        <v>129</v>
      </c>
      <c r="J1105" s="529" t="s">
        <v>129</v>
      </c>
      <c r="K1105" s="529" t="s">
        <v>129</v>
      </c>
      <c r="L1105" s="1048" t="s">
        <v>129</v>
      </c>
      <c r="M1105" s="3"/>
      <c r="N1105" s="3"/>
      <c r="O1105" s="3"/>
      <c r="P1105" s="3"/>
      <c r="Q1105" s="3"/>
      <c r="R1105" s="3"/>
      <c r="S1105" s="3"/>
      <c r="T1105" s="3"/>
      <c r="U1105" s="3"/>
      <c r="V1105" s="3"/>
      <c r="W1105" s="3"/>
      <c r="X1105" s="3"/>
      <c r="Y1105" s="3"/>
      <c r="Z1105" s="3"/>
      <c r="AA1105" s="3"/>
      <c r="AB1105" s="3"/>
      <c r="AC1105" s="3"/>
    </row>
    <row r="1106" spans="1:29" hidden="1" outlineLevel="1" x14ac:dyDescent="0.2">
      <c r="A1106" s="3"/>
      <c r="B1106" s="1047" t="s">
        <v>129</v>
      </c>
      <c r="C1106" s="529" t="s">
        <v>129</v>
      </c>
      <c r="D1106" s="529" t="s">
        <v>129</v>
      </c>
      <c r="E1106" s="529" t="s">
        <v>129</v>
      </c>
      <c r="F1106" s="529" t="s">
        <v>129</v>
      </c>
      <c r="G1106" s="529" t="s">
        <v>129</v>
      </c>
      <c r="H1106" s="529" t="s">
        <v>129</v>
      </c>
      <c r="I1106" s="529" t="s">
        <v>129</v>
      </c>
      <c r="J1106" s="529" t="s">
        <v>129</v>
      </c>
      <c r="K1106" s="529" t="s">
        <v>129</v>
      </c>
      <c r="L1106" s="1048" t="s">
        <v>129</v>
      </c>
      <c r="M1106" s="3"/>
      <c r="N1106" s="3"/>
      <c r="O1106" s="3"/>
      <c r="P1106" s="3"/>
      <c r="Q1106" s="3"/>
      <c r="R1106" s="3"/>
      <c r="S1106" s="3"/>
      <c r="T1106" s="3"/>
      <c r="U1106" s="3"/>
      <c r="V1106" s="3"/>
      <c r="W1106" s="3"/>
      <c r="X1106" s="3"/>
      <c r="Y1106" s="3"/>
      <c r="Z1106" s="3"/>
      <c r="AA1106" s="3"/>
      <c r="AB1106" s="3"/>
      <c r="AC1106" s="3"/>
    </row>
    <row r="1107" spans="1:29" hidden="1" outlineLevel="1" x14ac:dyDescent="0.2">
      <c r="A1107" s="3"/>
      <c r="B1107" s="1047" t="s">
        <v>129</v>
      </c>
      <c r="C1107" s="529" t="s">
        <v>129</v>
      </c>
      <c r="D1107" s="529" t="s">
        <v>129</v>
      </c>
      <c r="E1107" s="529" t="s">
        <v>129</v>
      </c>
      <c r="F1107" s="529" t="s">
        <v>129</v>
      </c>
      <c r="G1107" s="529" t="s">
        <v>129</v>
      </c>
      <c r="H1107" s="529" t="s">
        <v>129</v>
      </c>
      <c r="I1107" s="529" t="s">
        <v>129</v>
      </c>
      <c r="J1107" s="529" t="s">
        <v>129</v>
      </c>
      <c r="K1107" s="529" t="s">
        <v>129</v>
      </c>
      <c r="L1107" s="1048" t="s">
        <v>129</v>
      </c>
      <c r="M1107" s="3"/>
      <c r="N1107" s="3"/>
      <c r="O1107" s="3"/>
      <c r="P1107" s="3"/>
      <c r="Q1107" s="3"/>
      <c r="R1107" s="3"/>
      <c r="S1107" s="3"/>
      <c r="T1107" s="3"/>
      <c r="U1107" s="3"/>
      <c r="V1107" s="3"/>
      <c r="W1107" s="3"/>
      <c r="X1107" s="3"/>
      <c r="Y1107" s="3"/>
      <c r="Z1107" s="3"/>
      <c r="AA1107" s="3"/>
      <c r="AB1107" s="3"/>
      <c r="AC1107" s="3"/>
    </row>
    <row r="1108" spans="1:29" hidden="1" outlineLevel="1" x14ac:dyDescent="0.2">
      <c r="A1108" s="3"/>
      <c r="B1108" s="1047" t="s">
        <v>129</v>
      </c>
      <c r="C1108" s="529" t="s">
        <v>129</v>
      </c>
      <c r="D1108" s="529" t="s">
        <v>129</v>
      </c>
      <c r="E1108" s="529" t="s">
        <v>129</v>
      </c>
      <c r="F1108" s="529" t="s">
        <v>129</v>
      </c>
      <c r="G1108" s="529" t="s">
        <v>129</v>
      </c>
      <c r="H1108" s="529" t="s">
        <v>129</v>
      </c>
      <c r="I1108" s="529" t="s">
        <v>129</v>
      </c>
      <c r="J1108" s="529" t="s">
        <v>129</v>
      </c>
      <c r="K1108" s="529" t="s">
        <v>129</v>
      </c>
      <c r="L1108" s="1048" t="s">
        <v>129</v>
      </c>
      <c r="M1108" s="3"/>
      <c r="N1108" s="3"/>
      <c r="O1108" s="3"/>
      <c r="P1108" s="3"/>
      <c r="Q1108" s="3"/>
      <c r="R1108" s="3"/>
      <c r="S1108" s="3"/>
      <c r="T1108" s="3"/>
      <c r="U1108" s="3"/>
      <c r="V1108" s="3"/>
      <c r="W1108" s="3"/>
      <c r="X1108" s="3"/>
      <c r="Y1108" s="3"/>
      <c r="Z1108" s="3"/>
      <c r="AA1108" s="3"/>
      <c r="AB1108" s="3"/>
      <c r="AC1108" s="3"/>
    </row>
    <row r="1109" spans="1:29" hidden="1" outlineLevel="1" x14ac:dyDescent="0.2">
      <c r="A1109" s="3"/>
      <c r="B1109" s="1047" t="s">
        <v>129</v>
      </c>
      <c r="C1109" s="529" t="s">
        <v>129</v>
      </c>
      <c r="D1109" s="529" t="s">
        <v>129</v>
      </c>
      <c r="E1109" s="529" t="s">
        <v>129</v>
      </c>
      <c r="F1109" s="529" t="s">
        <v>129</v>
      </c>
      <c r="G1109" s="529" t="s">
        <v>129</v>
      </c>
      <c r="H1109" s="529" t="s">
        <v>129</v>
      </c>
      <c r="I1109" s="529" t="s">
        <v>129</v>
      </c>
      <c r="J1109" s="529" t="s">
        <v>129</v>
      </c>
      <c r="K1109" s="529" t="s">
        <v>129</v>
      </c>
      <c r="L1109" s="1048" t="s">
        <v>129</v>
      </c>
      <c r="M1109" s="3"/>
      <c r="N1109" s="3"/>
      <c r="O1109" s="3"/>
      <c r="P1109" s="3"/>
      <c r="Q1109" s="3"/>
      <c r="R1109" s="3"/>
      <c r="S1109" s="3"/>
      <c r="T1109" s="3"/>
      <c r="U1109" s="3"/>
      <c r="V1109" s="3"/>
      <c r="W1109" s="3"/>
      <c r="X1109" s="3"/>
      <c r="Y1109" s="3"/>
      <c r="Z1109" s="3"/>
      <c r="AA1109" s="3"/>
      <c r="AB1109" s="3"/>
      <c r="AC1109" s="3"/>
    </row>
    <row r="1110" spans="1:29" hidden="1" outlineLevel="1" x14ac:dyDescent="0.2">
      <c r="A1110" s="3"/>
      <c r="B1110" s="1047" t="s">
        <v>129</v>
      </c>
      <c r="C1110" s="529" t="s">
        <v>129</v>
      </c>
      <c r="D1110" s="529" t="s">
        <v>129</v>
      </c>
      <c r="E1110" s="529" t="s">
        <v>129</v>
      </c>
      <c r="F1110" s="529" t="s">
        <v>129</v>
      </c>
      <c r="G1110" s="529" t="s">
        <v>129</v>
      </c>
      <c r="H1110" s="529" t="s">
        <v>129</v>
      </c>
      <c r="I1110" s="529" t="s">
        <v>129</v>
      </c>
      <c r="J1110" s="529" t="s">
        <v>129</v>
      </c>
      <c r="K1110" s="529" t="s">
        <v>129</v>
      </c>
      <c r="L1110" s="1048" t="s">
        <v>129</v>
      </c>
      <c r="M1110" s="3"/>
      <c r="N1110" s="3"/>
      <c r="O1110" s="3"/>
      <c r="P1110" s="3"/>
      <c r="Q1110" s="3"/>
      <c r="R1110" s="3"/>
      <c r="S1110" s="3"/>
      <c r="T1110" s="3"/>
      <c r="U1110" s="3"/>
      <c r="V1110" s="3"/>
      <c r="W1110" s="3"/>
      <c r="X1110" s="3"/>
      <c r="Y1110" s="3"/>
      <c r="Z1110" s="3"/>
      <c r="AA1110" s="3"/>
      <c r="AB1110" s="3"/>
      <c r="AC1110" s="3"/>
    </row>
    <row r="1111" spans="1:29" hidden="1" outlineLevel="1" x14ac:dyDescent="0.2">
      <c r="A1111" s="3"/>
      <c r="B1111" s="1047" t="s">
        <v>129</v>
      </c>
      <c r="C1111" s="529" t="s">
        <v>129</v>
      </c>
      <c r="D1111" s="529" t="s">
        <v>129</v>
      </c>
      <c r="E1111" s="529" t="s">
        <v>129</v>
      </c>
      <c r="F1111" s="529" t="s">
        <v>129</v>
      </c>
      <c r="G1111" s="529" t="s">
        <v>129</v>
      </c>
      <c r="H1111" s="529" t="s">
        <v>129</v>
      </c>
      <c r="I1111" s="529" t="s">
        <v>129</v>
      </c>
      <c r="J1111" s="529" t="s">
        <v>129</v>
      </c>
      <c r="K1111" s="529" t="s">
        <v>129</v>
      </c>
      <c r="L1111" s="1048" t="s">
        <v>129</v>
      </c>
      <c r="M1111" s="3"/>
      <c r="N1111" s="3"/>
      <c r="O1111" s="3"/>
      <c r="P1111" s="3"/>
      <c r="Q1111" s="3"/>
      <c r="R1111" s="3"/>
      <c r="S1111" s="3"/>
      <c r="T1111" s="3"/>
      <c r="U1111" s="3"/>
      <c r="V1111" s="3"/>
      <c r="W1111" s="3"/>
      <c r="X1111" s="3"/>
      <c r="Y1111" s="3"/>
      <c r="Z1111" s="3"/>
      <c r="AA1111" s="3"/>
      <c r="AB1111" s="3"/>
      <c r="AC1111" s="3"/>
    </row>
    <row r="1112" spans="1:29" hidden="1" outlineLevel="1" x14ac:dyDescent="0.2">
      <c r="A1112" s="3"/>
      <c r="B1112" s="1047" t="s">
        <v>129</v>
      </c>
      <c r="C1112" s="529" t="s">
        <v>129</v>
      </c>
      <c r="D1112" s="529" t="s">
        <v>129</v>
      </c>
      <c r="E1112" s="529" t="s">
        <v>129</v>
      </c>
      <c r="F1112" s="529" t="s">
        <v>129</v>
      </c>
      <c r="G1112" s="529" t="s">
        <v>129</v>
      </c>
      <c r="H1112" s="529" t="s">
        <v>129</v>
      </c>
      <c r="I1112" s="529" t="s">
        <v>129</v>
      </c>
      <c r="J1112" s="529" t="s">
        <v>129</v>
      </c>
      <c r="K1112" s="529" t="s">
        <v>129</v>
      </c>
      <c r="L1112" s="1048" t="s">
        <v>129</v>
      </c>
      <c r="M1112" s="3"/>
      <c r="N1112" s="3"/>
      <c r="O1112" s="3"/>
      <c r="P1112" s="3"/>
      <c r="Q1112" s="3"/>
      <c r="R1112" s="3"/>
      <c r="S1112" s="3"/>
      <c r="T1112" s="3"/>
      <c r="U1112" s="3"/>
      <c r="V1112" s="3"/>
      <c r="W1112" s="3"/>
      <c r="X1112" s="3"/>
      <c r="Y1112" s="3"/>
      <c r="Z1112" s="3"/>
      <c r="AA1112" s="3"/>
      <c r="AB1112" s="3"/>
      <c r="AC1112" s="3"/>
    </row>
    <row r="1113" spans="1:29" hidden="1" outlineLevel="1" x14ac:dyDescent="0.2">
      <c r="A1113" s="3"/>
      <c r="B1113" s="1047" t="s">
        <v>129</v>
      </c>
      <c r="C1113" s="529" t="s">
        <v>129</v>
      </c>
      <c r="D1113" s="529" t="s">
        <v>129</v>
      </c>
      <c r="E1113" s="529" t="s">
        <v>129</v>
      </c>
      <c r="F1113" s="529" t="s">
        <v>129</v>
      </c>
      <c r="G1113" s="529" t="s">
        <v>129</v>
      </c>
      <c r="H1113" s="529" t="s">
        <v>129</v>
      </c>
      <c r="I1113" s="529" t="s">
        <v>129</v>
      </c>
      <c r="J1113" s="529" t="s">
        <v>129</v>
      </c>
      <c r="K1113" s="529" t="s">
        <v>129</v>
      </c>
      <c r="L1113" s="1048" t="s">
        <v>129</v>
      </c>
      <c r="M1113" s="3"/>
      <c r="N1113" s="3"/>
      <c r="O1113" s="3"/>
      <c r="P1113" s="3"/>
      <c r="Q1113" s="3"/>
      <c r="R1113" s="3"/>
      <c r="S1113" s="3"/>
      <c r="T1113" s="3"/>
      <c r="U1113" s="3"/>
      <c r="V1113" s="3"/>
      <c r="W1113" s="3"/>
      <c r="X1113" s="3"/>
      <c r="Y1113" s="3"/>
      <c r="Z1113" s="3"/>
      <c r="AA1113" s="3"/>
      <c r="AB1113" s="3"/>
      <c r="AC1113" s="3"/>
    </row>
    <row r="1114" spans="1:29" hidden="1" outlineLevel="1" x14ac:dyDescent="0.2">
      <c r="A1114" s="3"/>
      <c r="B1114" s="1047" t="s">
        <v>129</v>
      </c>
      <c r="C1114" s="529" t="s">
        <v>129</v>
      </c>
      <c r="D1114" s="529" t="s">
        <v>129</v>
      </c>
      <c r="E1114" s="529" t="s">
        <v>129</v>
      </c>
      <c r="F1114" s="529" t="s">
        <v>129</v>
      </c>
      <c r="G1114" s="529" t="s">
        <v>129</v>
      </c>
      <c r="H1114" s="529" t="s">
        <v>129</v>
      </c>
      <c r="I1114" s="529" t="s">
        <v>129</v>
      </c>
      <c r="J1114" s="529" t="s">
        <v>129</v>
      </c>
      <c r="K1114" s="529" t="s">
        <v>129</v>
      </c>
      <c r="L1114" s="1048" t="s">
        <v>129</v>
      </c>
      <c r="M1114" s="3"/>
      <c r="N1114" s="3"/>
      <c r="O1114" s="3"/>
      <c r="P1114" s="3"/>
      <c r="Q1114" s="3"/>
      <c r="R1114" s="3"/>
      <c r="S1114" s="3"/>
      <c r="T1114" s="3"/>
      <c r="U1114" s="3"/>
      <c r="V1114" s="3"/>
      <c r="W1114" s="3"/>
      <c r="X1114" s="3"/>
      <c r="Y1114" s="3"/>
      <c r="Z1114" s="3"/>
      <c r="AA1114" s="3"/>
      <c r="AB1114" s="3"/>
      <c r="AC1114" s="3"/>
    </row>
    <row r="1115" spans="1:29" hidden="1" outlineLevel="1" x14ac:dyDescent="0.2">
      <c r="A1115" s="3"/>
      <c r="B1115" s="1047" t="s">
        <v>129</v>
      </c>
      <c r="C1115" s="529" t="s">
        <v>129</v>
      </c>
      <c r="D1115" s="529" t="s">
        <v>129</v>
      </c>
      <c r="E1115" s="529" t="s">
        <v>129</v>
      </c>
      <c r="F1115" s="529" t="s">
        <v>129</v>
      </c>
      <c r="G1115" s="529" t="s">
        <v>129</v>
      </c>
      <c r="H1115" s="529" t="s">
        <v>129</v>
      </c>
      <c r="I1115" s="529" t="s">
        <v>129</v>
      </c>
      <c r="J1115" s="529" t="s">
        <v>129</v>
      </c>
      <c r="K1115" s="529" t="s">
        <v>129</v>
      </c>
      <c r="L1115" s="1048" t="s">
        <v>129</v>
      </c>
      <c r="M1115" s="3"/>
      <c r="N1115" s="3"/>
      <c r="O1115" s="3"/>
      <c r="P1115" s="3"/>
      <c r="Q1115" s="3"/>
      <c r="R1115" s="3"/>
      <c r="S1115" s="3"/>
      <c r="T1115" s="3"/>
      <c r="U1115" s="3"/>
      <c r="V1115" s="3"/>
      <c r="W1115" s="3"/>
      <c r="X1115" s="3"/>
      <c r="Y1115" s="3"/>
      <c r="Z1115" s="3"/>
      <c r="AA1115" s="3"/>
      <c r="AB1115" s="3"/>
      <c r="AC1115" s="3"/>
    </row>
    <row r="1116" spans="1:29" hidden="1" outlineLevel="1" x14ac:dyDescent="0.2">
      <c r="A1116" s="3"/>
      <c r="B1116" s="1047" t="s">
        <v>129</v>
      </c>
      <c r="C1116" s="529" t="s">
        <v>129</v>
      </c>
      <c r="D1116" s="529" t="s">
        <v>129</v>
      </c>
      <c r="E1116" s="529" t="s">
        <v>129</v>
      </c>
      <c r="F1116" s="529" t="s">
        <v>129</v>
      </c>
      <c r="G1116" s="529" t="s">
        <v>129</v>
      </c>
      <c r="H1116" s="529" t="s">
        <v>129</v>
      </c>
      <c r="I1116" s="529" t="s">
        <v>129</v>
      </c>
      <c r="J1116" s="529" t="s">
        <v>129</v>
      </c>
      <c r="K1116" s="529" t="s">
        <v>129</v>
      </c>
      <c r="L1116" s="1048" t="s">
        <v>129</v>
      </c>
      <c r="M1116" s="3"/>
      <c r="N1116" s="3"/>
      <c r="O1116" s="3"/>
      <c r="P1116" s="3"/>
      <c r="Q1116" s="3"/>
      <c r="R1116" s="3"/>
      <c r="S1116" s="3"/>
      <c r="T1116" s="3"/>
      <c r="U1116" s="3"/>
      <c r="V1116" s="3"/>
      <c r="W1116" s="3"/>
      <c r="X1116" s="3"/>
      <c r="Y1116" s="3"/>
      <c r="Z1116" s="3"/>
      <c r="AA1116" s="3"/>
      <c r="AB1116" s="3"/>
      <c r="AC1116" s="3"/>
    </row>
    <row r="1117" spans="1:29" hidden="1" outlineLevel="1" x14ac:dyDescent="0.2">
      <c r="A1117" s="3"/>
      <c r="B1117" s="1047" t="s">
        <v>129</v>
      </c>
      <c r="C1117" s="529" t="s">
        <v>129</v>
      </c>
      <c r="D1117" s="529" t="s">
        <v>129</v>
      </c>
      <c r="E1117" s="529" t="s">
        <v>129</v>
      </c>
      <c r="F1117" s="529" t="s">
        <v>129</v>
      </c>
      <c r="G1117" s="529" t="s">
        <v>129</v>
      </c>
      <c r="H1117" s="529" t="s">
        <v>129</v>
      </c>
      <c r="I1117" s="529" t="s">
        <v>129</v>
      </c>
      <c r="J1117" s="529" t="s">
        <v>129</v>
      </c>
      <c r="K1117" s="529" t="s">
        <v>129</v>
      </c>
      <c r="L1117" s="1048" t="s">
        <v>129</v>
      </c>
      <c r="M1117" s="3"/>
      <c r="N1117" s="3"/>
      <c r="O1117" s="3"/>
      <c r="P1117" s="3"/>
      <c r="Q1117" s="3"/>
      <c r="R1117" s="3"/>
      <c r="S1117" s="3"/>
      <c r="T1117" s="3"/>
      <c r="U1117" s="3"/>
      <c r="V1117" s="3"/>
      <c r="W1117" s="3"/>
      <c r="X1117" s="3"/>
      <c r="Y1117" s="3"/>
      <c r="Z1117" s="3"/>
      <c r="AA1117" s="3"/>
      <c r="AB1117" s="3"/>
      <c r="AC1117" s="3"/>
    </row>
    <row r="1118" spans="1:29" hidden="1" outlineLevel="1" x14ac:dyDescent="0.2">
      <c r="A1118" s="3"/>
      <c r="B1118" s="1047" t="s">
        <v>129</v>
      </c>
      <c r="C1118" s="529" t="s">
        <v>129</v>
      </c>
      <c r="D1118" s="529" t="s">
        <v>129</v>
      </c>
      <c r="E1118" s="529" t="s">
        <v>129</v>
      </c>
      <c r="F1118" s="529" t="s">
        <v>129</v>
      </c>
      <c r="G1118" s="529" t="s">
        <v>129</v>
      </c>
      <c r="H1118" s="529" t="s">
        <v>129</v>
      </c>
      <c r="I1118" s="529" t="s">
        <v>129</v>
      </c>
      <c r="J1118" s="529" t="s">
        <v>129</v>
      </c>
      <c r="K1118" s="529" t="s">
        <v>129</v>
      </c>
      <c r="L1118" s="1048" t="s">
        <v>129</v>
      </c>
      <c r="M1118" s="3"/>
      <c r="N1118" s="3"/>
      <c r="O1118" s="3"/>
      <c r="P1118" s="3"/>
      <c r="Q1118" s="3"/>
      <c r="R1118" s="3"/>
      <c r="S1118" s="3"/>
      <c r="T1118" s="3"/>
      <c r="U1118" s="3"/>
      <c r="V1118" s="3"/>
      <c r="W1118" s="3"/>
      <c r="X1118" s="3"/>
      <c r="Y1118" s="3"/>
      <c r="Z1118" s="3"/>
      <c r="AA1118" s="3"/>
      <c r="AB1118" s="3"/>
      <c r="AC1118" s="3"/>
    </row>
    <row r="1119" spans="1:29" hidden="1" outlineLevel="1" x14ac:dyDescent="0.2">
      <c r="A1119" s="3"/>
      <c r="B1119" s="1047" t="s">
        <v>129</v>
      </c>
      <c r="C1119" s="529" t="s">
        <v>129</v>
      </c>
      <c r="D1119" s="529" t="s">
        <v>129</v>
      </c>
      <c r="E1119" s="529" t="s">
        <v>129</v>
      </c>
      <c r="F1119" s="529" t="s">
        <v>129</v>
      </c>
      <c r="G1119" s="529" t="s">
        <v>129</v>
      </c>
      <c r="H1119" s="529" t="s">
        <v>129</v>
      </c>
      <c r="I1119" s="529" t="s">
        <v>129</v>
      </c>
      <c r="J1119" s="529" t="s">
        <v>129</v>
      </c>
      <c r="K1119" s="529" t="s">
        <v>129</v>
      </c>
      <c r="L1119" s="1048" t="s">
        <v>129</v>
      </c>
      <c r="M1119" s="3"/>
      <c r="N1119" s="3"/>
      <c r="O1119" s="3"/>
      <c r="P1119" s="3"/>
      <c r="Q1119" s="3"/>
      <c r="R1119" s="3"/>
      <c r="S1119" s="3"/>
      <c r="T1119" s="3"/>
      <c r="U1119" s="3"/>
      <c r="V1119" s="3"/>
      <c r="W1119" s="3"/>
      <c r="X1119" s="3"/>
      <c r="Y1119" s="3"/>
      <c r="Z1119" s="3"/>
      <c r="AA1119" s="3"/>
      <c r="AB1119" s="3"/>
      <c r="AC1119" s="3"/>
    </row>
    <row r="1120" spans="1:29" hidden="1" outlineLevel="1" x14ac:dyDescent="0.2">
      <c r="A1120" s="3"/>
      <c r="B1120" s="1047" t="s">
        <v>129</v>
      </c>
      <c r="C1120" s="529" t="s">
        <v>129</v>
      </c>
      <c r="D1120" s="529" t="s">
        <v>129</v>
      </c>
      <c r="E1120" s="529" t="s">
        <v>129</v>
      </c>
      <c r="F1120" s="529" t="s">
        <v>129</v>
      </c>
      <c r="G1120" s="529" t="s">
        <v>129</v>
      </c>
      <c r="H1120" s="529" t="s">
        <v>129</v>
      </c>
      <c r="I1120" s="529" t="s">
        <v>129</v>
      </c>
      <c r="J1120" s="529" t="s">
        <v>129</v>
      </c>
      <c r="K1120" s="529" t="s">
        <v>129</v>
      </c>
      <c r="L1120" s="1048" t="s">
        <v>129</v>
      </c>
      <c r="M1120" s="3"/>
      <c r="N1120" s="3"/>
      <c r="O1120" s="3"/>
      <c r="P1120" s="3"/>
      <c r="Q1120" s="3"/>
      <c r="R1120" s="3"/>
      <c r="S1120" s="3"/>
      <c r="T1120" s="3"/>
      <c r="U1120" s="3"/>
      <c r="V1120" s="3"/>
      <c r="W1120" s="3"/>
      <c r="X1120" s="3"/>
      <c r="Y1120" s="3"/>
      <c r="Z1120" s="3"/>
      <c r="AA1120" s="3"/>
      <c r="AB1120" s="3"/>
      <c r="AC1120" s="3"/>
    </row>
    <row r="1121" spans="1:29" hidden="1" outlineLevel="1" x14ac:dyDescent="0.2">
      <c r="A1121" s="3"/>
      <c r="B1121" s="1047" t="s">
        <v>129</v>
      </c>
      <c r="C1121" s="529" t="s">
        <v>129</v>
      </c>
      <c r="D1121" s="529" t="s">
        <v>129</v>
      </c>
      <c r="E1121" s="529" t="s">
        <v>129</v>
      </c>
      <c r="F1121" s="529" t="s">
        <v>129</v>
      </c>
      <c r="G1121" s="529" t="s">
        <v>129</v>
      </c>
      <c r="H1121" s="529" t="s">
        <v>129</v>
      </c>
      <c r="I1121" s="529" t="s">
        <v>129</v>
      </c>
      <c r="J1121" s="529" t="s">
        <v>129</v>
      </c>
      <c r="K1121" s="529" t="s">
        <v>129</v>
      </c>
      <c r="L1121" s="1048" t="s">
        <v>129</v>
      </c>
      <c r="M1121" s="3"/>
      <c r="N1121" s="3"/>
      <c r="O1121" s="3"/>
      <c r="P1121" s="3"/>
      <c r="Q1121" s="3"/>
      <c r="R1121" s="3"/>
      <c r="S1121" s="3"/>
      <c r="T1121" s="3"/>
      <c r="U1121" s="3"/>
      <c r="V1121" s="3"/>
      <c r="W1121" s="3"/>
      <c r="X1121" s="3"/>
      <c r="Y1121" s="3"/>
      <c r="Z1121" s="3"/>
      <c r="AA1121" s="3"/>
      <c r="AB1121" s="3"/>
      <c r="AC1121" s="3"/>
    </row>
    <row r="1122" spans="1:29" hidden="1" outlineLevel="1" x14ac:dyDescent="0.2">
      <c r="A1122" s="3"/>
      <c r="B1122" s="1047" t="s">
        <v>129</v>
      </c>
      <c r="C1122" s="529" t="s">
        <v>129</v>
      </c>
      <c r="D1122" s="529" t="s">
        <v>129</v>
      </c>
      <c r="E1122" s="529" t="s">
        <v>129</v>
      </c>
      <c r="F1122" s="529" t="s">
        <v>129</v>
      </c>
      <c r="G1122" s="529" t="s">
        <v>129</v>
      </c>
      <c r="H1122" s="529" t="s">
        <v>129</v>
      </c>
      <c r="I1122" s="529" t="s">
        <v>129</v>
      </c>
      <c r="J1122" s="529" t="s">
        <v>129</v>
      </c>
      <c r="K1122" s="529" t="s">
        <v>129</v>
      </c>
      <c r="L1122" s="1048" t="s">
        <v>129</v>
      </c>
      <c r="M1122" s="3"/>
      <c r="N1122" s="3"/>
      <c r="O1122" s="3"/>
      <c r="P1122" s="3"/>
      <c r="Q1122" s="3"/>
      <c r="R1122" s="3"/>
      <c r="S1122" s="3"/>
      <c r="T1122" s="3"/>
      <c r="U1122" s="3"/>
      <c r="V1122" s="3"/>
      <c r="W1122" s="3"/>
      <c r="X1122" s="3"/>
      <c r="Y1122" s="3"/>
      <c r="Z1122" s="3"/>
      <c r="AA1122" s="3"/>
      <c r="AB1122" s="3"/>
      <c r="AC1122" s="3"/>
    </row>
    <row r="1123" spans="1:29" hidden="1" outlineLevel="1" x14ac:dyDescent="0.2">
      <c r="A1123" s="3"/>
      <c r="B1123" s="1047" t="s">
        <v>129</v>
      </c>
      <c r="C1123" s="529" t="s">
        <v>129</v>
      </c>
      <c r="D1123" s="529" t="s">
        <v>129</v>
      </c>
      <c r="E1123" s="529" t="s">
        <v>129</v>
      </c>
      <c r="F1123" s="529" t="s">
        <v>129</v>
      </c>
      <c r="G1123" s="529" t="s">
        <v>129</v>
      </c>
      <c r="H1123" s="529" t="s">
        <v>129</v>
      </c>
      <c r="I1123" s="529" t="s">
        <v>129</v>
      </c>
      <c r="J1123" s="529" t="s">
        <v>129</v>
      </c>
      <c r="K1123" s="529" t="s">
        <v>129</v>
      </c>
      <c r="L1123" s="1048" t="s">
        <v>129</v>
      </c>
      <c r="M1123" s="3"/>
      <c r="N1123" s="3"/>
      <c r="O1123" s="3"/>
      <c r="P1123" s="3"/>
      <c r="Q1123" s="3"/>
      <c r="R1123" s="3"/>
      <c r="S1123" s="3"/>
      <c r="T1123" s="3"/>
      <c r="U1123" s="3"/>
      <c r="V1123" s="3"/>
      <c r="W1123" s="3"/>
      <c r="X1123" s="3"/>
      <c r="Y1123" s="3"/>
      <c r="Z1123" s="3"/>
      <c r="AA1123" s="3"/>
      <c r="AB1123" s="3"/>
      <c r="AC1123" s="3"/>
    </row>
    <row r="1124" spans="1:29" hidden="1" outlineLevel="1" x14ac:dyDescent="0.2">
      <c r="A1124" s="3"/>
      <c r="B1124" s="1047" t="s">
        <v>129</v>
      </c>
      <c r="C1124" s="529" t="s">
        <v>129</v>
      </c>
      <c r="D1124" s="529" t="s">
        <v>129</v>
      </c>
      <c r="E1124" s="529" t="s">
        <v>129</v>
      </c>
      <c r="F1124" s="529" t="s">
        <v>129</v>
      </c>
      <c r="G1124" s="529" t="s">
        <v>129</v>
      </c>
      <c r="H1124" s="529" t="s">
        <v>129</v>
      </c>
      <c r="I1124" s="529" t="s">
        <v>129</v>
      </c>
      <c r="J1124" s="529" t="s">
        <v>129</v>
      </c>
      <c r="K1124" s="529" t="s">
        <v>129</v>
      </c>
      <c r="L1124" s="1048" t="s">
        <v>129</v>
      </c>
      <c r="M1124" s="3"/>
      <c r="N1124" s="3"/>
      <c r="O1124" s="3"/>
      <c r="P1124" s="3"/>
      <c r="Q1124" s="3"/>
      <c r="R1124" s="3"/>
      <c r="S1124" s="3"/>
      <c r="T1124" s="3"/>
      <c r="U1124" s="3"/>
      <c r="V1124" s="3"/>
      <c r="W1124" s="3"/>
      <c r="X1124" s="3"/>
      <c r="Y1124" s="3"/>
      <c r="Z1124" s="3"/>
      <c r="AA1124" s="3"/>
      <c r="AB1124" s="3"/>
      <c r="AC1124" s="3"/>
    </row>
    <row r="1125" spans="1:29" hidden="1" outlineLevel="1" x14ac:dyDescent="0.2">
      <c r="A1125" s="3"/>
      <c r="B1125" s="1047" t="s">
        <v>129</v>
      </c>
      <c r="C1125" s="529" t="s">
        <v>129</v>
      </c>
      <c r="D1125" s="529" t="s">
        <v>129</v>
      </c>
      <c r="E1125" s="529" t="s">
        <v>129</v>
      </c>
      <c r="F1125" s="529" t="s">
        <v>129</v>
      </c>
      <c r="G1125" s="529" t="s">
        <v>129</v>
      </c>
      <c r="H1125" s="529" t="s">
        <v>129</v>
      </c>
      <c r="I1125" s="529" t="s">
        <v>129</v>
      </c>
      <c r="J1125" s="529" t="s">
        <v>129</v>
      </c>
      <c r="K1125" s="529" t="s">
        <v>129</v>
      </c>
      <c r="L1125" s="1048" t="s">
        <v>129</v>
      </c>
      <c r="M1125" s="3"/>
      <c r="N1125" s="3"/>
      <c r="O1125" s="3"/>
      <c r="P1125" s="3"/>
      <c r="Q1125" s="3"/>
      <c r="R1125" s="3"/>
      <c r="S1125" s="3"/>
      <c r="T1125" s="3"/>
      <c r="U1125" s="3"/>
      <c r="V1125" s="3"/>
      <c r="W1125" s="3"/>
      <c r="X1125" s="3"/>
      <c r="Y1125" s="3"/>
      <c r="Z1125" s="3"/>
      <c r="AA1125" s="3"/>
      <c r="AB1125" s="3"/>
      <c r="AC1125" s="3"/>
    </row>
    <row r="1126" spans="1:29" hidden="1" outlineLevel="1" x14ac:dyDescent="0.2">
      <c r="A1126" s="3"/>
      <c r="B1126" s="1047" t="s">
        <v>129</v>
      </c>
      <c r="C1126" s="529" t="s">
        <v>129</v>
      </c>
      <c r="D1126" s="529" t="s">
        <v>129</v>
      </c>
      <c r="E1126" s="529" t="s">
        <v>129</v>
      </c>
      <c r="F1126" s="529" t="s">
        <v>129</v>
      </c>
      <c r="G1126" s="529" t="s">
        <v>129</v>
      </c>
      <c r="H1126" s="529" t="s">
        <v>129</v>
      </c>
      <c r="I1126" s="529" t="s">
        <v>129</v>
      </c>
      <c r="J1126" s="529" t="s">
        <v>129</v>
      </c>
      <c r="K1126" s="529" t="s">
        <v>129</v>
      </c>
      <c r="L1126" s="1048" t="s">
        <v>129</v>
      </c>
      <c r="M1126" s="3"/>
      <c r="N1126" s="3"/>
      <c r="O1126" s="3"/>
      <c r="P1126" s="3"/>
      <c r="Q1126" s="3"/>
      <c r="R1126" s="3"/>
      <c r="S1126" s="3"/>
      <c r="T1126" s="3"/>
      <c r="U1126" s="3"/>
      <c r="V1126" s="3"/>
      <c r="W1126" s="3"/>
      <c r="X1126" s="3"/>
      <c r="Y1126" s="3"/>
      <c r="Z1126" s="3"/>
      <c r="AA1126" s="3"/>
      <c r="AB1126" s="3"/>
      <c r="AC1126" s="3"/>
    </row>
    <row r="1127" spans="1:29" hidden="1" outlineLevel="1" x14ac:dyDescent="0.2">
      <c r="A1127" s="3"/>
      <c r="B1127" s="1047" t="s">
        <v>129</v>
      </c>
      <c r="C1127" s="529" t="s">
        <v>129</v>
      </c>
      <c r="D1127" s="529" t="s">
        <v>129</v>
      </c>
      <c r="E1127" s="529" t="s">
        <v>129</v>
      </c>
      <c r="F1127" s="529" t="s">
        <v>129</v>
      </c>
      <c r="G1127" s="529" t="s">
        <v>129</v>
      </c>
      <c r="H1127" s="529" t="s">
        <v>129</v>
      </c>
      <c r="I1127" s="529" t="s">
        <v>129</v>
      </c>
      <c r="J1127" s="529" t="s">
        <v>129</v>
      </c>
      <c r="K1127" s="529" t="s">
        <v>129</v>
      </c>
      <c r="L1127" s="1048" t="s">
        <v>129</v>
      </c>
      <c r="M1127" s="3"/>
      <c r="N1127" s="3"/>
      <c r="O1127" s="3"/>
      <c r="P1127" s="3"/>
      <c r="Q1127" s="3"/>
      <c r="R1127" s="3"/>
      <c r="S1127" s="3"/>
      <c r="T1127" s="3"/>
      <c r="U1127" s="3"/>
      <c r="V1127" s="3"/>
      <c r="W1127" s="3"/>
      <c r="X1127" s="3"/>
      <c r="Y1127" s="3"/>
      <c r="Z1127" s="3"/>
      <c r="AA1127" s="3"/>
      <c r="AB1127" s="3"/>
      <c r="AC1127" s="3"/>
    </row>
    <row r="1128" spans="1:29" hidden="1" outlineLevel="1" x14ac:dyDescent="0.2">
      <c r="A1128" s="3"/>
      <c r="B1128" s="1047" t="s">
        <v>129</v>
      </c>
      <c r="C1128" s="529" t="s">
        <v>129</v>
      </c>
      <c r="D1128" s="529" t="s">
        <v>129</v>
      </c>
      <c r="E1128" s="529" t="s">
        <v>129</v>
      </c>
      <c r="F1128" s="529" t="s">
        <v>129</v>
      </c>
      <c r="G1128" s="529" t="s">
        <v>129</v>
      </c>
      <c r="H1128" s="529" t="s">
        <v>129</v>
      </c>
      <c r="I1128" s="529" t="s">
        <v>129</v>
      </c>
      <c r="J1128" s="529" t="s">
        <v>129</v>
      </c>
      <c r="K1128" s="529" t="s">
        <v>129</v>
      </c>
      <c r="L1128" s="1048" t="s">
        <v>129</v>
      </c>
      <c r="M1128" s="3"/>
      <c r="N1128" s="3"/>
      <c r="O1128" s="3"/>
      <c r="P1128" s="3"/>
      <c r="Q1128" s="3"/>
      <c r="R1128" s="3"/>
      <c r="S1128" s="3"/>
      <c r="T1128" s="3"/>
      <c r="U1128" s="3"/>
      <c r="V1128" s="3"/>
      <c r="W1128" s="3"/>
      <c r="X1128" s="3"/>
      <c r="Y1128" s="3"/>
      <c r="Z1128" s="3"/>
      <c r="AA1128" s="3"/>
      <c r="AB1128" s="3"/>
      <c r="AC1128" s="3"/>
    </row>
    <row r="1129" spans="1:29" hidden="1" outlineLevel="1" x14ac:dyDescent="0.2">
      <c r="A1129" s="3"/>
      <c r="B1129" s="1047" t="s">
        <v>129</v>
      </c>
      <c r="C1129" s="529" t="s">
        <v>129</v>
      </c>
      <c r="D1129" s="529" t="s">
        <v>129</v>
      </c>
      <c r="E1129" s="529" t="s">
        <v>129</v>
      </c>
      <c r="F1129" s="529" t="s">
        <v>129</v>
      </c>
      <c r="G1129" s="529" t="s">
        <v>129</v>
      </c>
      <c r="H1129" s="529" t="s">
        <v>129</v>
      </c>
      <c r="I1129" s="529" t="s">
        <v>129</v>
      </c>
      <c r="J1129" s="529" t="s">
        <v>129</v>
      </c>
      <c r="K1129" s="529" t="s">
        <v>129</v>
      </c>
      <c r="L1129" s="1048" t="s">
        <v>129</v>
      </c>
      <c r="M1129" s="3"/>
      <c r="N1129" s="3"/>
      <c r="O1129" s="3"/>
      <c r="P1129" s="3"/>
      <c r="Q1129" s="3"/>
      <c r="R1129" s="3"/>
      <c r="S1129" s="3"/>
      <c r="T1129" s="3"/>
      <c r="U1129" s="3"/>
      <c r="V1129" s="3"/>
      <c r="W1129" s="3"/>
      <c r="X1129" s="3"/>
      <c r="Y1129" s="3"/>
      <c r="Z1129" s="3"/>
      <c r="AA1129" s="3"/>
      <c r="AB1129" s="3"/>
      <c r="AC1129" s="3"/>
    </row>
    <row r="1130" spans="1:29" hidden="1" outlineLevel="1" x14ac:dyDescent="0.2">
      <c r="A1130" s="3"/>
      <c r="B1130" s="1047" t="s">
        <v>129</v>
      </c>
      <c r="C1130" s="529" t="s">
        <v>129</v>
      </c>
      <c r="D1130" s="529" t="s">
        <v>129</v>
      </c>
      <c r="E1130" s="529" t="s">
        <v>129</v>
      </c>
      <c r="F1130" s="529" t="s">
        <v>129</v>
      </c>
      <c r="G1130" s="529" t="s">
        <v>129</v>
      </c>
      <c r="H1130" s="529" t="s">
        <v>129</v>
      </c>
      <c r="I1130" s="529" t="s">
        <v>129</v>
      </c>
      <c r="J1130" s="529" t="s">
        <v>129</v>
      </c>
      <c r="K1130" s="529" t="s">
        <v>129</v>
      </c>
      <c r="L1130" s="1048" t="s">
        <v>129</v>
      </c>
    </row>
    <row r="1131" spans="1:29" hidden="1" outlineLevel="1" x14ac:dyDescent="0.2">
      <c r="B1131" s="1047" t="s">
        <v>129</v>
      </c>
      <c r="C1131" s="529" t="s">
        <v>129</v>
      </c>
      <c r="D1131" s="529" t="s">
        <v>129</v>
      </c>
      <c r="E1131" s="529" t="s">
        <v>129</v>
      </c>
      <c r="F1131" s="529" t="s">
        <v>129</v>
      </c>
      <c r="G1131" s="529" t="s">
        <v>129</v>
      </c>
      <c r="H1131" s="529" t="s">
        <v>129</v>
      </c>
      <c r="I1131" s="529" t="s">
        <v>129</v>
      </c>
      <c r="J1131" s="529" t="s">
        <v>129</v>
      </c>
      <c r="K1131" s="529" t="s">
        <v>129</v>
      </c>
      <c r="L1131" s="1048" t="s">
        <v>129</v>
      </c>
    </row>
    <row r="1132" spans="1:29" hidden="1" outlineLevel="1" x14ac:dyDescent="0.2">
      <c r="B1132" s="1047" t="s">
        <v>129</v>
      </c>
      <c r="C1132" s="529" t="s">
        <v>129</v>
      </c>
      <c r="D1132" s="529" t="s">
        <v>129</v>
      </c>
      <c r="E1132" s="529" t="s">
        <v>129</v>
      </c>
      <c r="F1132" s="529" t="s">
        <v>129</v>
      </c>
      <c r="G1132" s="529" t="s">
        <v>129</v>
      </c>
      <c r="H1132" s="529" t="s">
        <v>129</v>
      </c>
      <c r="I1132" s="529" t="s">
        <v>129</v>
      </c>
      <c r="J1132" s="529" t="s">
        <v>129</v>
      </c>
      <c r="K1132" s="529" t="s">
        <v>129</v>
      </c>
      <c r="L1132" s="1048" t="s">
        <v>129</v>
      </c>
    </row>
    <row r="1133" spans="1:29" hidden="1" outlineLevel="1" x14ac:dyDescent="0.2">
      <c r="B1133" s="1047" t="s">
        <v>129</v>
      </c>
      <c r="C1133" s="529" t="s">
        <v>129</v>
      </c>
      <c r="D1133" s="529" t="s">
        <v>129</v>
      </c>
      <c r="E1133" s="529" t="s">
        <v>129</v>
      </c>
      <c r="F1133" s="529" t="s">
        <v>129</v>
      </c>
      <c r="G1133" s="529" t="s">
        <v>129</v>
      </c>
      <c r="H1133" s="529" t="s">
        <v>129</v>
      </c>
      <c r="I1133" s="529" t="s">
        <v>129</v>
      </c>
      <c r="J1133" s="529" t="s">
        <v>129</v>
      </c>
      <c r="K1133" s="529" t="s">
        <v>129</v>
      </c>
      <c r="L1133" s="1048" t="s">
        <v>129</v>
      </c>
    </row>
    <row r="1134" spans="1:29" hidden="1" outlineLevel="1" x14ac:dyDescent="0.2">
      <c r="B1134" s="1047" t="s">
        <v>129</v>
      </c>
      <c r="C1134" s="529" t="s">
        <v>129</v>
      </c>
      <c r="D1134" s="529" t="s">
        <v>129</v>
      </c>
      <c r="E1134" s="529" t="s">
        <v>129</v>
      </c>
      <c r="F1134" s="529" t="s">
        <v>129</v>
      </c>
      <c r="G1134" s="529" t="s">
        <v>129</v>
      </c>
      <c r="H1134" s="529" t="s">
        <v>129</v>
      </c>
      <c r="I1134" s="529" t="s">
        <v>129</v>
      </c>
      <c r="J1134" s="529" t="s">
        <v>129</v>
      </c>
      <c r="K1134" s="529" t="s">
        <v>129</v>
      </c>
      <c r="L1134" s="1048" t="s">
        <v>129</v>
      </c>
    </row>
    <row r="1135" spans="1:29" hidden="1" outlineLevel="1" x14ac:dyDescent="0.2">
      <c r="B1135" s="1047" t="s">
        <v>129</v>
      </c>
      <c r="C1135" s="529" t="s">
        <v>129</v>
      </c>
      <c r="D1135" s="529" t="s">
        <v>129</v>
      </c>
      <c r="E1135" s="529" t="s">
        <v>129</v>
      </c>
      <c r="F1135" s="529" t="s">
        <v>129</v>
      </c>
      <c r="G1135" s="529" t="s">
        <v>129</v>
      </c>
      <c r="H1135" s="529" t="s">
        <v>129</v>
      </c>
      <c r="I1135" s="529" t="s">
        <v>129</v>
      </c>
      <c r="J1135" s="529" t="s">
        <v>129</v>
      </c>
      <c r="K1135" s="529" t="s">
        <v>129</v>
      </c>
      <c r="L1135" s="1048" t="s">
        <v>129</v>
      </c>
    </row>
    <row r="1136" spans="1:29" hidden="1" outlineLevel="1" x14ac:dyDescent="0.2">
      <c r="B1136" s="1047" t="s">
        <v>129</v>
      </c>
      <c r="C1136" s="529" t="s">
        <v>129</v>
      </c>
      <c r="D1136" s="529" t="s">
        <v>129</v>
      </c>
      <c r="E1136" s="529" t="s">
        <v>129</v>
      </c>
      <c r="F1136" s="529" t="s">
        <v>129</v>
      </c>
      <c r="G1136" s="529" t="s">
        <v>129</v>
      </c>
      <c r="H1136" s="529" t="s">
        <v>129</v>
      </c>
      <c r="I1136" s="529" t="s">
        <v>129</v>
      </c>
      <c r="J1136" s="529" t="s">
        <v>129</v>
      </c>
      <c r="K1136" s="529" t="s">
        <v>129</v>
      </c>
      <c r="L1136" s="1048" t="s">
        <v>129</v>
      </c>
    </row>
    <row r="1137" spans="2:12" hidden="1" outlineLevel="1" x14ac:dyDescent="0.2">
      <c r="B1137" s="1047" t="s">
        <v>129</v>
      </c>
      <c r="C1137" s="529" t="s">
        <v>129</v>
      </c>
      <c r="D1137" s="529" t="s">
        <v>129</v>
      </c>
      <c r="E1137" s="529" t="s">
        <v>129</v>
      </c>
      <c r="F1137" s="529" t="s">
        <v>129</v>
      </c>
      <c r="G1137" s="529" t="s">
        <v>129</v>
      </c>
      <c r="H1137" s="529" t="s">
        <v>129</v>
      </c>
      <c r="I1137" s="529" t="s">
        <v>129</v>
      </c>
      <c r="J1137" s="529" t="s">
        <v>129</v>
      </c>
      <c r="K1137" s="529" t="s">
        <v>129</v>
      </c>
      <c r="L1137" s="1048" t="s">
        <v>129</v>
      </c>
    </row>
    <row r="1138" spans="2:12" hidden="1" outlineLevel="1" x14ac:dyDescent="0.2">
      <c r="B1138" s="1047" t="s">
        <v>129</v>
      </c>
      <c r="C1138" s="529" t="s">
        <v>129</v>
      </c>
      <c r="D1138" s="529" t="s">
        <v>129</v>
      </c>
      <c r="E1138" s="529" t="s">
        <v>129</v>
      </c>
      <c r="F1138" s="529" t="s">
        <v>129</v>
      </c>
      <c r="G1138" s="529" t="s">
        <v>129</v>
      </c>
      <c r="H1138" s="529" t="s">
        <v>129</v>
      </c>
      <c r="I1138" s="529" t="s">
        <v>129</v>
      </c>
      <c r="J1138" s="529" t="s">
        <v>129</v>
      </c>
      <c r="K1138" s="529" t="s">
        <v>129</v>
      </c>
      <c r="L1138" s="1048" t="s">
        <v>129</v>
      </c>
    </row>
    <row r="1139" spans="2:12" hidden="1" outlineLevel="1" x14ac:dyDescent="0.2">
      <c r="B1139" s="1047" t="s">
        <v>129</v>
      </c>
      <c r="C1139" s="529" t="s">
        <v>129</v>
      </c>
      <c r="D1139" s="529" t="s">
        <v>129</v>
      </c>
      <c r="E1139" s="529" t="s">
        <v>129</v>
      </c>
      <c r="F1139" s="529" t="s">
        <v>129</v>
      </c>
      <c r="G1139" s="529" t="s">
        <v>129</v>
      </c>
      <c r="H1139" s="529" t="s">
        <v>129</v>
      </c>
      <c r="I1139" s="529" t="s">
        <v>129</v>
      </c>
      <c r="J1139" s="529" t="s">
        <v>129</v>
      </c>
      <c r="K1139" s="529" t="s">
        <v>129</v>
      </c>
      <c r="L1139" s="1048" t="s">
        <v>129</v>
      </c>
    </row>
    <row r="1140" spans="2:12" hidden="1" outlineLevel="1" x14ac:dyDescent="0.2">
      <c r="B1140" s="1047" t="s">
        <v>129</v>
      </c>
      <c r="C1140" s="529" t="s">
        <v>129</v>
      </c>
      <c r="D1140" s="529" t="s">
        <v>129</v>
      </c>
      <c r="E1140" s="529" t="s">
        <v>129</v>
      </c>
      <c r="F1140" s="529" t="s">
        <v>129</v>
      </c>
      <c r="G1140" s="529" t="s">
        <v>129</v>
      </c>
      <c r="H1140" s="529" t="s">
        <v>129</v>
      </c>
      <c r="I1140" s="529" t="s">
        <v>129</v>
      </c>
      <c r="J1140" s="529" t="s">
        <v>129</v>
      </c>
      <c r="K1140" s="529" t="s">
        <v>129</v>
      </c>
      <c r="L1140" s="1048" t="s">
        <v>129</v>
      </c>
    </row>
    <row r="1141" spans="2:12" hidden="1" outlineLevel="1" x14ac:dyDescent="0.2">
      <c r="B1141" s="1047" t="s">
        <v>129</v>
      </c>
      <c r="C1141" s="529" t="s">
        <v>129</v>
      </c>
      <c r="D1141" s="529" t="s">
        <v>129</v>
      </c>
      <c r="E1141" s="529" t="s">
        <v>129</v>
      </c>
      <c r="F1141" s="529" t="s">
        <v>129</v>
      </c>
      <c r="G1141" s="529" t="s">
        <v>129</v>
      </c>
      <c r="H1141" s="529" t="s">
        <v>129</v>
      </c>
      <c r="I1141" s="529" t="s">
        <v>129</v>
      </c>
      <c r="J1141" s="529" t="s">
        <v>129</v>
      </c>
      <c r="K1141" s="529" t="s">
        <v>129</v>
      </c>
      <c r="L1141" s="1048" t="s">
        <v>129</v>
      </c>
    </row>
    <row r="1142" spans="2:12" hidden="1" outlineLevel="1" x14ac:dyDescent="0.2">
      <c r="B1142" s="1047" t="s">
        <v>129</v>
      </c>
      <c r="C1142" s="529" t="s">
        <v>129</v>
      </c>
      <c r="D1142" s="529" t="s">
        <v>129</v>
      </c>
      <c r="E1142" s="529" t="s">
        <v>129</v>
      </c>
      <c r="F1142" s="529" t="s">
        <v>129</v>
      </c>
      <c r="G1142" s="529" t="s">
        <v>129</v>
      </c>
      <c r="H1142" s="529" t="s">
        <v>129</v>
      </c>
      <c r="I1142" s="529" t="s">
        <v>129</v>
      </c>
      <c r="J1142" s="529" t="s">
        <v>129</v>
      </c>
      <c r="K1142" s="529" t="s">
        <v>129</v>
      </c>
      <c r="L1142" s="1048" t="s">
        <v>129</v>
      </c>
    </row>
    <row r="1143" spans="2:12" hidden="1" outlineLevel="1" x14ac:dyDescent="0.2">
      <c r="B1143" s="1047" t="s">
        <v>129</v>
      </c>
      <c r="C1143" s="529" t="s">
        <v>129</v>
      </c>
      <c r="D1143" s="529" t="s">
        <v>129</v>
      </c>
      <c r="E1143" s="529" t="s">
        <v>129</v>
      </c>
      <c r="F1143" s="529" t="s">
        <v>129</v>
      </c>
      <c r="G1143" s="529" t="s">
        <v>129</v>
      </c>
      <c r="H1143" s="529" t="s">
        <v>129</v>
      </c>
      <c r="I1143" s="529" t="s">
        <v>129</v>
      </c>
      <c r="J1143" s="529" t="s">
        <v>129</v>
      </c>
      <c r="K1143" s="529" t="s">
        <v>129</v>
      </c>
      <c r="L1143" s="1048" t="s">
        <v>129</v>
      </c>
    </row>
    <row r="1144" spans="2:12" hidden="1" outlineLevel="1" x14ac:dyDescent="0.2">
      <c r="B1144" s="1047" t="s">
        <v>129</v>
      </c>
      <c r="C1144" s="529" t="s">
        <v>129</v>
      </c>
      <c r="D1144" s="529" t="s">
        <v>129</v>
      </c>
      <c r="E1144" s="529" t="s">
        <v>129</v>
      </c>
      <c r="F1144" s="529" t="s">
        <v>129</v>
      </c>
      <c r="G1144" s="529" t="s">
        <v>129</v>
      </c>
      <c r="H1144" s="529" t="s">
        <v>129</v>
      </c>
      <c r="I1144" s="529" t="s">
        <v>129</v>
      </c>
      <c r="J1144" s="529" t="s">
        <v>129</v>
      </c>
      <c r="K1144" s="529" t="s">
        <v>129</v>
      </c>
      <c r="L1144" s="1048" t="s">
        <v>129</v>
      </c>
    </row>
    <row r="1145" spans="2:12" hidden="1" outlineLevel="1" x14ac:dyDescent="0.2">
      <c r="B1145" s="1047" t="s">
        <v>129</v>
      </c>
      <c r="C1145" s="529" t="s">
        <v>129</v>
      </c>
      <c r="D1145" s="529" t="s">
        <v>129</v>
      </c>
      <c r="E1145" s="529" t="s">
        <v>129</v>
      </c>
      <c r="F1145" s="529" t="s">
        <v>129</v>
      </c>
      <c r="G1145" s="529" t="s">
        <v>129</v>
      </c>
      <c r="H1145" s="529" t="s">
        <v>129</v>
      </c>
      <c r="I1145" s="529" t="s">
        <v>129</v>
      </c>
      <c r="J1145" s="529" t="s">
        <v>129</v>
      </c>
      <c r="K1145" s="529" t="s">
        <v>129</v>
      </c>
      <c r="L1145" s="1048" t="s">
        <v>129</v>
      </c>
    </row>
    <row r="1146" spans="2:12" hidden="1" outlineLevel="1" x14ac:dyDescent="0.2">
      <c r="B1146" s="1047" t="s">
        <v>129</v>
      </c>
      <c r="C1146" s="529" t="s">
        <v>129</v>
      </c>
      <c r="D1146" s="529" t="s">
        <v>129</v>
      </c>
      <c r="E1146" s="529" t="s">
        <v>129</v>
      </c>
      <c r="F1146" s="529" t="s">
        <v>129</v>
      </c>
      <c r="G1146" s="529" t="s">
        <v>129</v>
      </c>
      <c r="H1146" s="529" t="s">
        <v>129</v>
      </c>
      <c r="I1146" s="529" t="s">
        <v>129</v>
      </c>
      <c r="J1146" s="529" t="s">
        <v>129</v>
      </c>
      <c r="K1146" s="529" t="s">
        <v>129</v>
      </c>
      <c r="L1146" s="1048" t="s">
        <v>129</v>
      </c>
    </row>
    <row r="1147" spans="2:12" hidden="1" outlineLevel="1" x14ac:dyDescent="0.2">
      <c r="B1147" s="1047" t="s">
        <v>129</v>
      </c>
      <c r="C1147" s="529" t="s">
        <v>129</v>
      </c>
      <c r="D1147" s="529" t="s">
        <v>129</v>
      </c>
      <c r="E1147" s="529" t="s">
        <v>129</v>
      </c>
      <c r="F1147" s="529" t="s">
        <v>129</v>
      </c>
      <c r="G1147" s="529" t="s">
        <v>129</v>
      </c>
      <c r="H1147" s="529" t="s">
        <v>129</v>
      </c>
      <c r="I1147" s="529" t="s">
        <v>129</v>
      </c>
      <c r="J1147" s="529" t="s">
        <v>129</v>
      </c>
      <c r="K1147" s="529" t="s">
        <v>129</v>
      </c>
      <c r="L1147" s="1048" t="s">
        <v>129</v>
      </c>
    </row>
    <row r="1148" spans="2:12" hidden="1" outlineLevel="1" x14ac:dyDescent="0.2">
      <c r="B1148" s="1047" t="s">
        <v>129</v>
      </c>
      <c r="C1148" s="529" t="s">
        <v>129</v>
      </c>
      <c r="D1148" s="529" t="s">
        <v>129</v>
      </c>
      <c r="E1148" s="529" t="s">
        <v>129</v>
      </c>
      <c r="F1148" s="529" t="s">
        <v>129</v>
      </c>
      <c r="G1148" s="529" t="s">
        <v>129</v>
      </c>
      <c r="H1148" s="529" t="s">
        <v>129</v>
      </c>
      <c r="I1148" s="529" t="s">
        <v>129</v>
      </c>
      <c r="J1148" s="529" t="s">
        <v>129</v>
      </c>
      <c r="K1148" s="529" t="s">
        <v>129</v>
      </c>
      <c r="L1148" s="1048" t="s">
        <v>129</v>
      </c>
    </row>
    <row r="1149" spans="2:12" hidden="1" outlineLevel="1" x14ac:dyDescent="0.2">
      <c r="B1149" s="1047" t="s">
        <v>129</v>
      </c>
      <c r="C1149" s="529" t="s">
        <v>129</v>
      </c>
      <c r="D1149" s="529" t="s">
        <v>129</v>
      </c>
      <c r="E1149" s="529" t="s">
        <v>129</v>
      </c>
      <c r="F1149" s="529" t="s">
        <v>129</v>
      </c>
      <c r="G1149" s="529" t="s">
        <v>129</v>
      </c>
      <c r="H1149" s="529" t="s">
        <v>129</v>
      </c>
      <c r="I1149" s="529" t="s">
        <v>129</v>
      </c>
      <c r="J1149" s="529" t="s">
        <v>129</v>
      </c>
      <c r="K1149" s="529" t="s">
        <v>129</v>
      </c>
      <c r="L1149" s="1048" t="s">
        <v>129</v>
      </c>
    </row>
    <row r="1150" spans="2:12" hidden="1" outlineLevel="1" x14ac:dyDescent="0.2">
      <c r="B1150" s="1047" t="s">
        <v>129</v>
      </c>
      <c r="C1150" s="529" t="s">
        <v>129</v>
      </c>
      <c r="D1150" s="529" t="s">
        <v>129</v>
      </c>
      <c r="E1150" s="529" t="s">
        <v>129</v>
      </c>
      <c r="F1150" s="529" t="s">
        <v>129</v>
      </c>
      <c r="G1150" s="529" t="s">
        <v>129</v>
      </c>
      <c r="H1150" s="529" t="s">
        <v>129</v>
      </c>
      <c r="I1150" s="529" t="s">
        <v>129</v>
      </c>
      <c r="J1150" s="529" t="s">
        <v>129</v>
      </c>
      <c r="K1150" s="529" t="s">
        <v>129</v>
      </c>
      <c r="L1150" s="1048" t="s">
        <v>129</v>
      </c>
    </row>
    <row r="1151" spans="2:12" hidden="1" outlineLevel="1" x14ac:dyDescent="0.2">
      <c r="B1151" s="1047" t="s">
        <v>129</v>
      </c>
      <c r="C1151" s="529" t="s">
        <v>129</v>
      </c>
      <c r="D1151" s="529" t="s">
        <v>129</v>
      </c>
      <c r="E1151" s="529" t="s">
        <v>129</v>
      </c>
      <c r="F1151" s="529" t="s">
        <v>129</v>
      </c>
      <c r="G1151" s="529" t="s">
        <v>129</v>
      </c>
      <c r="H1151" s="529" t="s">
        <v>129</v>
      </c>
      <c r="I1151" s="529" t="s">
        <v>129</v>
      </c>
      <c r="J1151" s="529" t="s">
        <v>129</v>
      </c>
      <c r="K1151" s="529" t="s">
        <v>129</v>
      </c>
      <c r="L1151" s="1048" t="s">
        <v>129</v>
      </c>
    </row>
    <row r="1152" spans="2:12" hidden="1" outlineLevel="1" x14ac:dyDescent="0.2">
      <c r="B1152" s="1047" t="s">
        <v>129</v>
      </c>
      <c r="C1152" s="529" t="s">
        <v>129</v>
      </c>
      <c r="D1152" s="529" t="s">
        <v>129</v>
      </c>
      <c r="E1152" s="529" t="s">
        <v>129</v>
      </c>
      <c r="F1152" s="529" t="s">
        <v>129</v>
      </c>
      <c r="G1152" s="529" t="s">
        <v>129</v>
      </c>
      <c r="H1152" s="529" t="s">
        <v>129</v>
      </c>
      <c r="I1152" s="529" t="s">
        <v>129</v>
      </c>
      <c r="J1152" s="529" t="s">
        <v>129</v>
      </c>
      <c r="K1152" s="529" t="s">
        <v>129</v>
      </c>
      <c r="L1152" s="1048" t="s">
        <v>129</v>
      </c>
    </row>
    <row r="1153" spans="2:12" hidden="1" outlineLevel="1" x14ac:dyDescent="0.2">
      <c r="B1153" s="1047" t="s">
        <v>129</v>
      </c>
      <c r="C1153" s="529" t="s">
        <v>129</v>
      </c>
      <c r="D1153" s="529" t="s">
        <v>129</v>
      </c>
      <c r="E1153" s="529" t="s">
        <v>129</v>
      </c>
      <c r="F1153" s="529" t="s">
        <v>129</v>
      </c>
      <c r="G1153" s="529" t="s">
        <v>129</v>
      </c>
      <c r="H1153" s="529" t="s">
        <v>129</v>
      </c>
      <c r="I1153" s="529" t="s">
        <v>129</v>
      </c>
      <c r="J1153" s="529" t="s">
        <v>129</v>
      </c>
      <c r="K1153" s="529" t="s">
        <v>129</v>
      </c>
      <c r="L1153" s="1048" t="s">
        <v>129</v>
      </c>
    </row>
    <row r="1154" spans="2:12" hidden="1" outlineLevel="1" x14ac:dyDescent="0.2">
      <c r="B1154" s="1047" t="s">
        <v>129</v>
      </c>
      <c r="C1154" s="529" t="s">
        <v>129</v>
      </c>
      <c r="D1154" s="529" t="s">
        <v>129</v>
      </c>
      <c r="E1154" s="529" t="s">
        <v>129</v>
      </c>
      <c r="F1154" s="529" t="s">
        <v>129</v>
      </c>
      <c r="G1154" s="529" t="s">
        <v>129</v>
      </c>
      <c r="H1154" s="529" t="s">
        <v>129</v>
      </c>
      <c r="I1154" s="529" t="s">
        <v>129</v>
      </c>
      <c r="J1154" s="529" t="s">
        <v>129</v>
      </c>
      <c r="K1154" s="529" t="s">
        <v>129</v>
      </c>
      <c r="L1154" s="1048" t="s">
        <v>129</v>
      </c>
    </row>
    <row r="1155" spans="2:12" hidden="1" outlineLevel="1" x14ac:dyDescent="0.2">
      <c r="B1155" s="1047" t="s">
        <v>129</v>
      </c>
      <c r="C1155" s="529" t="s">
        <v>129</v>
      </c>
      <c r="D1155" s="529" t="s">
        <v>129</v>
      </c>
      <c r="E1155" s="529" t="s">
        <v>129</v>
      </c>
      <c r="F1155" s="529" t="s">
        <v>129</v>
      </c>
      <c r="G1155" s="529" t="s">
        <v>129</v>
      </c>
      <c r="H1155" s="529" t="s">
        <v>129</v>
      </c>
      <c r="I1155" s="529" t="s">
        <v>129</v>
      </c>
      <c r="J1155" s="529" t="s">
        <v>129</v>
      </c>
      <c r="K1155" s="529" t="s">
        <v>129</v>
      </c>
      <c r="L1155" s="1048" t="s">
        <v>129</v>
      </c>
    </row>
    <row r="1156" spans="2:12" hidden="1" outlineLevel="1" x14ac:dyDescent="0.2">
      <c r="B1156" s="1047" t="s">
        <v>129</v>
      </c>
      <c r="C1156" s="529" t="s">
        <v>129</v>
      </c>
      <c r="D1156" s="529" t="s">
        <v>129</v>
      </c>
      <c r="E1156" s="529" t="s">
        <v>129</v>
      </c>
      <c r="F1156" s="529" t="s">
        <v>129</v>
      </c>
      <c r="G1156" s="529" t="s">
        <v>129</v>
      </c>
      <c r="H1156" s="529" t="s">
        <v>129</v>
      </c>
      <c r="I1156" s="529" t="s">
        <v>129</v>
      </c>
      <c r="J1156" s="529" t="s">
        <v>129</v>
      </c>
      <c r="K1156" s="529" t="s">
        <v>129</v>
      </c>
      <c r="L1156" s="1048" t="s">
        <v>129</v>
      </c>
    </row>
    <row r="1157" spans="2:12" hidden="1" outlineLevel="1" x14ac:dyDescent="0.2">
      <c r="B1157" s="1047" t="s">
        <v>129</v>
      </c>
      <c r="C1157" s="529" t="s">
        <v>129</v>
      </c>
      <c r="D1157" s="529" t="s">
        <v>129</v>
      </c>
      <c r="E1157" s="529" t="s">
        <v>129</v>
      </c>
      <c r="F1157" s="529" t="s">
        <v>129</v>
      </c>
      <c r="G1157" s="529" t="s">
        <v>129</v>
      </c>
      <c r="H1157" s="529" t="s">
        <v>129</v>
      </c>
      <c r="I1157" s="529" t="s">
        <v>129</v>
      </c>
      <c r="J1157" s="529" t="s">
        <v>129</v>
      </c>
      <c r="K1157" s="529" t="s">
        <v>129</v>
      </c>
      <c r="L1157" s="1048" t="s">
        <v>129</v>
      </c>
    </row>
    <row r="1158" spans="2:12" hidden="1" outlineLevel="1" x14ac:dyDescent="0.2">
      <c r="B1158" s="1047" t="s">
        <v>129</v>
      </c>
      <c r="C1158" s="529" t="s">
        <v>129</v>
      </c>
      <c r="D1158" s="529" t="s">
        <v>129</v>
      </c>
      <c r="E1158" s="529" t="s">
        <v>129</v>
      </c>
      <c r="F1158" s="529" t="s">
        <v>129</v>
      </c>
      <c r="G1158" s="529" t="s">
        <v>129</v>
      </c>
      <c r="H1158" s="529" t="s">
        <v>129</v>
      </c>
      <c r="I1158" s="529" t="s">
        <v>129</v>
      </c>
      <c r="J1158" s="529" t="s">
        <v>129</v>
      </c>
      <c r="K1158" s="529" t="s">
        <v>129</v>
      </c>
      <c r="L1158" s="1048" t="s">
        <v>129</v>
      </c>
    </row>
    <row r="1159" spans="2:12" hidden="1" outlineLevel="1" x14ac:dyDescent="0.2">
      <c r="B1159" s="1047" t="s">
        <v>129</v>
      </c>
      <c r="C1159" s="529" t="s">
        <v>129</v>
      </c>
      <c r="D1159" s="529" t="s">
        <v>129</v>
      </c>
      <c r="E1159" s="529" t="s">
        <v>129</v>
      </c>
      <c r="F1159" s="529" t="s">
        <v>129</v>
      </c>
      <c r="G1159" s="529" t="s">
        <v>129</v>
      </c>
      <c r="H1159" s="529" t="s">
        <v>129</v>
      </c>
      <c r="I1159" s="529" t="s">
        <v>129</v>
      </c>
      <c r="J1159" s="529" t="s">
        <v>129</v>
      </c>
      <c r="K1159" s="529" t="s">
        <v>129</v>
      </c>
      <c r="L1159" s="1048" t="s">
        <v>129</v>
      </c>
    </row>
    <row r="1160" spans="2:12" hidden="1" outlineLevel="1" x14ac:dyDescent="0.2">
      <c r="B1160" s="1047" t="s">
        <v>129</v>
      </c>
      <c r="C1160" s="529" t="s">
        <v>129</v>
      </c>
      <c r="D1160" s="529" t="s">
        <v>129</v>
      </c>
      <c r="E1160" s="529" t="s">
        <v>129</v>
      </c>
      <c r="F1160" s="529" t="s">
        <v>129</v>
      </c>
      <c r="G1160" s="529" t="s">
        <v>129</v>
      </c>
      <c r="H1160" s="529" t="s">
        <v>129</v>
      </c>
      <c r="I1160" s="529" t="s">
        <v>129</v>
      </c>
      <c r="J1160" s="529" t="s">
        <v>129</v>
      </c>
      <c r="K1160" s="529" t="s">
        <v>129</v>
      </c>
      <c r="L1160" s="1048" t="s">
        <v>129</v>
      </c>
    </row>
    <row r="1161" spans="2:12" hidden="1" outlineLevel="1" x14ac:dyDescent="0.2">
      <c r="B1161" s="1047" t="s">
        <v>129</v>
      </c>
      <c r="C1161" s="529" t="s">
        <v>129</v>
      </c>
      <c r="D1161" s="529" t="s">
        <v>129</v>
      </c>
      <c r="E1161" s="529" t="s">
        <v>129</v>
      </c>
      <c r="F1161" s="529" t="s">
        <v>129</v>
      </c>
      <c r="G1161" s="529" t="s">
        <v>129</v>
      </c>
      <c r="H1161" s="529" t="s">
        <v>129</v>
      </c>
      <c r="I1161" s="529" t="s">
        <v>129</v>
      </c>
      <c r="J1161" s="529" t="s">
        <v>129</v>
      </c>
      <c r="K1161" s="529" t="s">
        <v>129</v>
      </c>
      <c r="L1161" s="1048" t="s">
        <v>129</v>
      </c>
    </row>
    <row r="1162" spans="2:12" hidden="1" outlineLevel="1" x14ac:dyDescent="0.2">
      <c r="B1162" s="1047" t="s">
        <v>129</v>
      </c>
      <c r="C1162" s="529" t="s">
        <v>129</v>
      </c>
      <c r="D1162" s="529" t="s">
        <v>129</v>
      </c>
      <c r="E1162" s="529" t="s">
        <v>129</v>
      </c>
      <c r="F1162" s="529" t="s">
        <v>129</v>
      </c>
      <c r="G1162" s="529" t="s">
        <v>129</v>
      </c>
      <c r="H1162" s="529" t="s">
        <v>129</v>
      </c>
      <c r="I1162" s="529" t="s">
        <v>129</v>
      </c>
      <c r="J1162" s="529" t="s">
        <v>129</v>
      </c>
      <c r="K1162" s="529" t="s">
        <v>129</v>
      </c>
      <c r="L1162" s="1048" t="s">
        <v>129</v>
      </c>
    </row>
    <row r="1163" spans="2:12" hidden="1" outlineLevel="1" x14ac:dyDescent="0.2">
      <c r="B1163" s="1047" t="s">
        <v>129</v>
      </c>
      <c r="C1163" s="529" t="s">
        <v>129</v>
      </c>
      <c r="D1163" s="529" t="s">
        <v>129</v>
      </c>
      <c r="E1163" s="529" t="s">
        <v>129</v>
      </c>
      <c r="F1163" s="529" t="s">
        <v>129</v>
      </c>
      <c r="G1163" s="529" t="s">
        <v>129</v>
      </c>
      <c r="H1163" s="529" t="s">
        <v>129</v>
      </c>
      <c r="I1163" s="529" t="s">
        <v>129</v>
      </c>
      <c r="J1163" s="529" t="s">
        <v>129</v>
      </c>
      <c r="K1163" s="529" t="s">
        <v>129</v>
      </c>
      <c r="L1163" s="1048" t="s">
        <v>129</v>
      </c>
    </row>
    <row r="1164" spans="2:12" hidden="1" outlineLevel="1" x14ac:dyDescent="0.2">
      <c r="B1164" s="1047" t="s">
        <v>129</v>
      </c>
      <c r="C1164" s="529" t="s">
        <v>129</v>
      </c>
      <c r="D1164" s="529" t="s">
        <v>129</v>
      </c>
      <c r="E1164" s="529" t="s">
        <v>129</v>
      </c>
      <c r="F1164" s="529" t="s">
        <v>129</v>
      </c>
      <c r="G1164" s="529" t="s">
        <v>129</v>
      </c>
      <c r="H1164" s="529" t="s">
        <v>129</v>
      </c>
      <c r="I1164" s="529" t="s">
        <v>129</v>
      </c>
      <c r="J1164" s="529" t="s">
        <v>129</v>
      </c>
      <c r="K1164" s="529" t="s">
        <v>129</v>
      </c>
      <c r="L1164" s="1048" t="s">
        <v>129</v>
      </c>
    </row>
    <row r="1165" spans="2:12" hidden="1" outlineLevel="1" x14ac:dyDescent="0.2">
      <c r="B1165" s="1047" t="s">
        <v>129</v>
      </c>
      <c r="C1165" s="529" t="s">
        <v>129</v>
      </c>
      <c r="D1165" s="529" t="s">
        <v>129</v>
      </c>
      <c r="E1165" s="529" t="s">
        <v>129</v>
      </c>
      <c r="F1165" s="529" t="s">
        <v>129</v>
      </c>
      <c r="G1165" s="529" t="s">
        <v>129</v>
      </c>
      <c r="H1165" s="529" t="s">
        <v>129</v>
      </c>
      <c r="I1165" s="529" t="s">
        <v>129</v>
      </c>
      <c r="J1165" s="529" t="s">
        <v>129</v>
      </c>
      <c r="K1165" s="529" t="s">
        <v>129</v>
      </c>
      <c r="L1165" s="1048" t="s">
        <v>129</v>
      </c>
    </row>
    <row r="1166" spans="2:12" hidden="1" outlineLevel="1" x14ac:dyDescent="0.2">
      <c r="B1166" s="1047" t="s">
        <v>129</v>
      </c>
      <c r="C1166" s="529" t="s">
        <v>129</v>
      </c>
      <c r="D1166" s="529" t="s">
        <v>129</v>
      </c>
      <c r="E1166" s="529" t="s">
        <v>129</v>
      </c>
      <c r="F1166" s="529" t="s">
        <v>129</v>
      </c>
      <c r="G1166" s="529" t="s">
        <v>129</v>
      </c>
      <c r="H1166" s="529" t="s">
        <v>129</v>
      </c>
      <c r="I1166" s="529" t="s">
        <v>129</v>
      </c>
      <c r="J1166" s="529" t="s">
        <v>129</v>
      </c>
      <c r="K1166" s="529" t="s">
        <v>129</v>
      </c>
      <c r="L1166" s="1048" t="s">
        <v>129</v>
      </c>
    </row>
    <row r="1167" spans="2:12" hidden="1" outlineLevel="1" x14ac:dyDescent="0.2">
      <c r="B1167" s="1047" t="s">
        <v>129</v>
      </c>
      <c r="C1167" s="529" t="s">
        <v>129</v>
      </c>
      <c r="D1167" s="529" t="s">
        <v>129</v>
      </c>
      <c r="E1167" s="529" t="s">
        <v>129</v>
      </c>
      <c r="F1167" s="529" t="s">
        <v>129</v>
      </c>
      <c r="G1167" s="529" t="s">
        <v>129</v>
      </c>
      <c r="H1167" s="529" t="s">
        <v>129</v>
      </c>
      <c r="I1167" s="529" t="s">
        <v>129</v>
      </c>
      <c r="J1167" s="529" t="s">
        <v>129</v>
      </c>
      <c r="K1167" s="529" t="s">
        <v>129</v>
      </c>
      <c r="L1167" s="1048" t="s">
        <v>129</v>
      </c>
    </row>
    <row r="1168" spans="2:12" hidden="1" outlineLevel="1" x14ac:dyDescent="0.2">
      <c r="B1168" s="1047" t="s">
        <v>129</v>
      </c>
      <c r="C1168" s="529" t="s">
        <v>129</v>
      </c>
      <c r="D1168" s="529" t="s">
        <v>129</v>
      </c>
      <c r="E1168" s="529" t="s">
        <v>129</v>
      </c>
      <c r="F1168" s="529" t="s">
        <v>129</v>
      </c>
      <c r="G1168" s="529" t="s">
        <v>129</v>
      </c>
      <c r="H1168" s="529" t="s">
        <v>129</v>
      </c>
      <c r="I1168" s="529" t="s">
        <v>129</v>
      </c>
      <c r="J1168" s="529" t="s">
        <v>129</v>
      </c>
      <c r="K1168" s="529" t="s">
        <v>129</v>
      </c>
      <c r="L1168" s="1048" t="s">
        <v>129</v>
      </c>
    </row>
    <row r="1169" spans="2:12" hidden="1" outlineLevel="1" x14ac:dyDescent="0.2">
      <c r="B1169" s="1047" t="s">
        <v>129</v>
      </c>
      <c r="C1169" s="529" t="s">
        <v>129</v>
      </c>
      <c r="D1169" s="529" t="s">
        <v>129</v>
      </c>
      <c r="E1169" s="529" t="s">
        <v>129</v>
      </c>
      <c r="F1169" s="529" t="s">
        <v>129</v>
      </c>
      <c r="G1169" s="529" t="s">
        <v>129</v>
      </c>
      <c r="H1169" s="529" t="s">
        <v>129</v>
      </c>
      <c r="I1169" s="529" t="s">
        <v>129</v>
      </c>
      <c r="J1169" s="529" t="s">
        <v>129</v>
      </c>
      <c r="K1169" s="529" t="s">
        <v>129</v>
      </c>
      <c r="L1169" s="1048" t="s">
        <v>129</v>
      </c>
    </row>
    <row r="1170" spans="2:12" hidden="1" outlineLevel="1" x14ac:dyDescent="0.2">
      <c r="B1170" s="1047" t="s">
        <v>129</v>
      </c>
      <c r="C1170" s="529" t="s">
        <v>129</v>
      </c>
      <c r="D1170" s="529" t="s">
        <v>129</v>
      </c>
      <c r="E1170" s="529" t="s">
        <v>129</v>
      </c>
      <c r="F1170" s="529" t="s">
        <v>129</v>
      </c>
      <c r="G1170" s="529" t="s">
        <v>129</v>
      </c>
      <c r="H1170" s="529" t="s">
        <v>129</v>
      </c>
      <c r="I1170" s="529" t="s">
        <v>129</v>
      </c>
      <c r="J1170" s="529" t="s">
        <v>129</v>
      </c>
      <c r="K1170" s="529" t="s">
        <v>129</v>
      </c>
      <c r="L1170" s="1048" t="s">
        <v>129</v>
      </c>
    </row>
    <row r="1171" spans="2:12" hidden="1" outlineLevel="1" x14ac:dyDescent="0.2">
      <c r="B1171" s="1047" t="s">
        <v>129</v>
      </c>
      <c r="C1171" s="529" t="s">
        <v>129</v>
      </c>
      <c r="D1171" s="529" t="s">
        <v>129</v>
      </c>
      <c r="E1171" s="529" t="s">
        <v>129</v>
      </c>
      <c r="F1171" s="529" t="s">
        <v>129</v>
      </c>
      <c r="G1171" s="529" t="s">
        <v>129</v>
      </c>
      <c r="H1171" s="529" t="s">
        <v>129</v>
      </c>
      <c r="I1171" s="529" t="s">
        <v>129</v>
      </c>
      <c r="J1171" s="529" t="s">
        <v>129</v>
      </c>
      <c r="K1171" s="529" t="s">
        <v>129</v>
      </c>
      <c r="L1171" s="1048" t="s">
        <v>129</v>
      </c>
    </row>
    <row r="1172" spans="2:12" hidden="1" outlineLevel="1" x14ac:dyDescent="0.2">
      <c r="B1172" s="1047" t="s">
        <v>129</v>
      </c>
      <c r="C1172" s="529" t="s">
        <v>129</v>
      </c>
      <c r="D1172" s="529" t="s">
        <v>129</v>
      </c>
      <c r="E1172" s="529" t="s">
        <v>129</v>
      </c>
      <c r="F1172" s="529" t="s">
        <v>129</v>
      </c>
      <c r="G1172" s="529" t="s">
        <v>129</v>
      </c>
      <c r="H1172" s="529" t="s">
        <v>129</v>
      </c>
      <c r="I1172" s="529" t="s">
        <v>129</v>
      </c>
      <c r="J1172" s="529" t="s">
        <v>129</v>
      </c>
      <c r="K1172" s="529" t="s">
        <v>129</v>
      </c>
      <c r="L1172" s="1048" t="s">
        <v>129</v>
      </c>
    </row>
    <row r="1173" spans="2:12" hidden="1" outlineLevel="1" x14ac:dyDescent="0.2">
      <c r="B1173" s="1047" t="s">
        <v>129</v>
      </c>
      <c r="C1173" s="529" t="s">
        <v>129</v>
      </c>
      <c r="D1173" s="529" t="s">
        <v>129</v>
      </c>
      <c r="E1173" s="529" t="s">
        <v>129</v>
      </c>
      <c r="F1173" s="529" t="s">
        <v>129</v>
      </c>
      <c r="G1173" s="529" t="s">
        <v>129</v>
      </c>
      <c r="H1173" s="529" t="s">
        <v>129</v>
      </c>
      <c r="I1173" s="529" t="s">
        <v>129</v>
      </c>
      <c r="J1173" s="529" t="s">
        <v>129</v>
      </c>
      <c r="K1173" s="529" t="s">
        <v>129</v>
      </c>
      <c r="L1173" s="1048" t="s">
        <v>129</v>
      </c>
    </row>
    <row r="1174" spans="2:12" hidden="1" outlineLevel="1" x14ac:dyDescent="0.2">
      <c r="B1174" s="1047" t="s">
        <v>129</v>
      </c>
      <c r="C1174" s="529" t="s">
        <v>129</v>
      </c>
      <c r="D1174" s="529" t="s">
        <v>129</v>
      </c>
      <c r="E1174" s="529" t="s">
        <v>129</v>
      </c>
      <c r="F1174" s="529" t="s">
        <v>129</v>
      </c>
      <c r="G1174" s="529" t="s">
        <v>129</v>
      </c>
      <c r="H1174" s="529" t="s">
        <v>129</v>
      </c>
      <c r="I1174" s="529" t="s">
        <v>129</v>
      </c>
      <c r="J1174" s="529" t="s">
        <v>129</v>
      </c>
      <c r="K1174" s="529" t="s">
        <v>129</v>
      </c>
      <c r="L1174" s="1048" t="s">
        <v>129</v>
      </c>
    </row>
    <row r="1175" spans="2:12" hidden="1" outlineLevel="1" x14ac:dyDescent="0.2">
      <c r="B1175" s="1047" t="s">
        <v>129</v>
      </c>
      <c r="C1175" s="529" t="s">
        <v>129</v>
      </c>
      <c r="D1175" s="529" t="s">
        <v>129</v>
      </c>
      <c r="E1175" s="529" t="s">
        <v>129</v>
      </c>
      <c r="F1175" s="529" t="s">
        <v>129</v>
      </c>
      <c r="G1175" s="529" t="s">
        <v>129</v>
      </c>
      <c r="H1175" s="529" t="s">
        <v>129</v>
      </c>
      <c r="I1175" s="529" t="s">
        <v>129</v>
      </c>
      <c r="J1175" s="529" t="s">
        <v>129</v>
      </c>
      <c r="K1175" s="529" t="s">
        <v>129</v>
      </c>
      <c r="L1175" s="1048" t="s">
        <v>129</v>
      </c>
    </row>
    <row r="1176" spans="2:12" hidden="1" outlineLevel="1" x14ac:dyDescent="0.2">
      <c r="B1176" s="1047" t="s">
        <v>129</v>
      </c>
      <c r="C1176" s="529" t="s">
        <v>129</v>
      </c>
      <c r="D1176" s="529" t="s">
        <v>129</v>
      </c>
      <c r="E1176" s="529" t="s">
        <v>129</v>
      </c>
      <c r="F1176" s="529" t="s">
        <v>129</v>
      </c>
      <c r="G1176" s="529" t="s">
        <v>129</v>
      </c>
      <c r="H1176" s="529" t="s">
        <v>129</v>
      </c>
      <c r="I1176" s="529" t="s">
        <v>129</v>
      </c>
      <c r="J1176" s="529" t="s">
        <v>129</v>
      </c>
      <c r="K1176" s="529" t="s">
        <v>129</v>
      </c>
      <c r="L1176" s="1048" t="s">
        <v>129</v>
      </c>
    </row>
    <row r="1177" spans="2:12" hidden="1" outlineLevel="1" x14ac:dyDescent="0.2">
      <c r="B1177" s="1047" t="s">
        <v>129</v>
      </c>
      <c r="C1177" s="529" t="s">
        <v>129</v>
      </c>
      <c r="D1177" s="529" t="s">
        <v>129</v>
      </c>
      <c r="E1177" s="529" t="s">
        <v>129</v>
      </c>
      <c r="F1177" s="529" t="s">
        <v>129</v>
      </c>
      <c r="G1177" s="529" t="s">
        <v>129</v>
      </c>
      <c r="H1177" s="529" t="s">
        <v>129</v>
      </c>
      <c r="I1177" s="529" t="s">
        <v>129</v>
      </c>
      <c r="J1177" s="529" t="s">
        <v>129</v>
      </c>
      <c r="K1177" s="529" t="s">
        <v>129</v>
      </c>
      <c r="L1177" s="1048" t="s">
        <v>129</v>
      </c>
    </row>
    <row r="1178" spans="2:12" hidden="1" outlineLevel="1" x14ac:dyDescent="0.2">
      <c r="B1178" s="1047" t="s">
        <v>129</v>
      </c>
      <c r="C1178" s="529" t="s">
        <v>129</v>
      </c>
      <c r="D1178" s="529" t="s">
        <v>129</v>
      </c>
      <c r="E1178" s="529" t="s">
        <v>129</v>
      </c>
      <c r="F1178" s="529" t="s">
        <v>129</v>
      </c>
      <c r="G1178" s="529" t="s">
        <v>129</v>
      </c>
      <c r="H1178" s="529" t="s">
        <v>129</v>
      </c>
      <c r="I1178" s="529" t="s">
        <v>129</v>
      </c>
      <c r="J1178" s="529" t="s">
        <v>129</v>
      </c>
      <c r="K1178" s="529" t="s">
        <v>129</v>
      </c>
      <c r="L1178" s="1048" t="s">
        <v>129</v>
      </c>
    </row>
    <row r="1179" spans="2:12" hidden="1" outlineLevel="1" x14ac:dyDescent="0.2">
      <c r="B1179" s="1047" t="s">
        <v>129</v>
      </c>
      <c r="C1179" s="529" t="s">
        <v>129</v>
      </c>
      <c r="D1179" s="529" t="s">
        <v>129</v>
      </c>
      <c r="E1179" s="529" t="s">
        <v>129</v>
      </c>
      <c r="F1179" s="529" t="s">
        <v>129</v>
      </c>
      <c r="G1179" s="529" t="s">
        <v>129</v>
      </c>
      <c r="H1179" s="529" t="s">
        <v>129</v>
      </c>
      <c r="I1179" s="529" t="s">
        <v>129</v>
      </c>
      <c r="J1179" s="529" t="s">
        <v>129</v>
      </c>
      <c r="K1179" s="529" t="s">
        <v>129</v>
      </c>
      <c r="L1179" s="1048" t="s">
        <v>129</v>
      </c>
    </row>
    <row r="1180" spans="2:12" hidden="1" outlineLevel="1" x14ac:dyDescent="0.2">
      <c r="B1180" s="1047" t="s">
        <v>129</v>
      </c>
      <c r="C1180" s="529" t="s">
        <v>129</v>
      </c>
      <c r="D1180" s="529" t="s">
        <v>129</v>
      </c>
      <c r="E1180" s="529" t="s">
        <v>129</v>
      </c>
      <c r="F1180" s="529" t="s">
        <v>129</v>
      </c>
      <c r="G1180" s="529" t="s">
        <v>129</v>
      </c>
      <c r="H1180" s="529" t="s">
        <v>129</v>
      </c>
      <c r="I1180" s="529" t="s">
        <v>129</v>
      </c>
      <c r="J1180" s="529" t="s">
        <v>129</v>
      </c>
      <c r="K1180" s="529" t="s">
        <v>129</v>
      </c>
      <c r="L1180" s="1048" t="s">
        <v>129</v>
      </c>
    </row>
    <row r="1181" spans="2:12" hidden="1" outlineLevel="1" x14ac:dyDescent="0.2">
      <c r="B1181" s="1047" t="s">
        <v>129</v>
      </c>
      <c r="C1181" s="529" t="s">
        <v>129</v>
      </c>
      <c r="D1181" s="529" t="s">
        <v>129</v>
      </c>
      <c r="E1181" s="529" t="s">
        <v>129</v>
      </c>
      <c r="F1181" s="529" t="s">
        <v>129</v>
      </c>
      <c r="G1181" s="529" t="s">
        <v>129</v>
      </c>
      <c r="H1181" s="529" t="s">
        <v>129</v>
      </c>
      <c r="I1181" s="529" t="s">
        <v>129</v>
      </c>
      <c r="J1181" s="529" t="s">
        <v>129</v>
      </c>
      <c r="K1181" s="529" t="s">
        <v>129</v>
      </c>
      <c r="L1181" s="1048" t="s">
        <v>129</v>
      </c>
    </row>
    <row r="1182" spans="2:12" hidden="1" outlineLevel="1" x14ac:dyDescent="0.2">
      <c r="B1182" s="1047" t="s">
        <v>129</v>
      </c>
      <c r="C1182" s="529" t="s">
        <v>129</v>
      </c>
      <c r="D1182" s="529" t="s">
        <v>129</v>
      </c>
      <c r="E1182" s="529" t="s">
        <v>129</v>
      </c>
      <c r="F1182" s="529" t="s">
        <v>129</v>
      </c>
      <c r="G1182" s="529" t="s">
        <v>129</v>
      </c>
      <c r="H1182" s="529" t="s">
        <v>129</v>
      </c>
      <c r="I1182" s="529" t="s">
        <v>129</v>
      </c>
      <c r="J1182" s="529" t="s">
        <v>129</v>
      </c>
      <c r="K1182" s="529" t="s">
        <v>129</v>
      </c>
      <c r="L1182" s="1048" t="s">
        <v>129</v>
      </c>
    </row>
    <row r="1183" spans="2:12" hidden="1" outlineLevel="1" x14ac:dyDescent="0.2">
      <c r="B1183" s="1047" t="s">
        <v>129</v>
      </c>
      <c r="C1183" s="529" t="s">
        <v>129</v>
      </c>
      <c r="D1183" s="529" t="s">
        <v>129</v>
      </c>
      <c r="E1183" s="529" t="s">
        <v>129</v>
      </c>
      <c r="F1183" s="529" t="s">
        <v>129</v>
      </c>
      <c r="G1183" s="529" t="s">
        <v>129</v>
      </c>
      <c r="H1183" s="529" t="s">
        <v>129</v>
      </c>
      <c r="I1183" s="529" t="s">
        <v>129</v>
      </c>
      <c r="J1183" s="529" t="s">
        <v>129</v>
      </c>
      <c r="K1183" s="529" t="s">
        <v>129</v>
      </c>
      <c r="L1183" s="1048" t="s">
        <v>129</v>
      </c>
    </row>
    <row r="1184" spans="2:12" hidden="1" outlineLevel="1" x14ac:dyDescent="0.2">
      <c r="B1184" s="1047" t="s">
        <v>129</v>
      </c>
      <c r="C1184" s="529" t="s">
        <v>129</v>
      </c>
      <c r="D1184" s="529" t="s">
        <v>129</v>
      </c>
      <c r="E1184" s="529" t="s">
        <v>129</v>
      </c>
      <c r="F1184" s="529" t="s">
        <v>129</v>
      </c>
      <c r="G1184" s="529" t="s">
        <v>129</v>
      </c>
      <c r="H1184" s="529" t="s">
        <v>129</v>
      </c>
      <c r="I1184" s="529" t="s">
        <v>129</v>
      </c>
      <c r="J1184" s="529" t="s">
        <v>129</v>
      </c>
      <c r="K1184" s="529" t="s">
        <v>129</v>
      </c>
      <c r="L1184" s="1048" t="s">
        <v>129</v>
      </c>
    </row>
    <row r="1185" spans="2:12" hidden="1" outlineLevel="1" x14ac:dyDescent="0.2">
      <c r="B1185" s="1047" t="s">
        <v>129</v>
      </c>
      <c r="C1185" s="529" t="s">
        <v>129</v>
      </c>
      <c r="D1185" s="529" t="s">
        <v>129</v>
      </c>
      <c r="E1185" s="529" t="s">
        <v>129</v>
      </c>
      <c r="F1185" s="529" t="s">
        <v>129</v>
      </c>
      <c r="G1185" s="529" t="s">
        <v>129</v>
      </c>
      <c r="H1185" s="529" t="s">
        <v>129</v>
      </c>
      <c r="I1185" s="529" t="s">
        <v>129</v>
      </c>
      <c r="J1185" s="529" t="s">
        <v>129</v>
      </c>
      <c r="K1185" s="529" t="s">
        <v>129</v>
      </c>
      <c r="L1185" s="1048" t="s">
        <v>129</v>
      </c>
    </row>
    <row r="1186" spans="2:12" hidden="1" outlineLevel="1" x14ac:dyDescent="0.2">
      <c r="B1186" s="1047" t="s">
        <v>129</v>
      </c>
      <c r="C1186" s="529" t="s">
        <v>129</v>
      </c>
      <c r="D1186" s="529" t="s">
        <v>129</v>
      </c>
      <c r="E1186" s="529" t="s">
        <v>129</v>
      </c>
      <c r="F1186" s="529" t="s">
        <v>129</v>
      </c>
      <c r="G1186" s="529" t="s">
        <v>129</v>
      </c>
      <c r="H1186" s="529" t="s">
        <v>129</v>
      </c>
      <c r="I1186" s="529" t="s">
        <v>129</v>
      </c>
      <c r="J1186" s="529" t="s">
        <v>129</v>
      </c>
      <c r="K1186" s="529" t="s">
        <v>129</v>
      </c>
      <c r="L1186" s="1048" t="s">
        <v>129</v>
      </c>
    </row>
    <row r="1187" spans="2:12" hidden="1" outlineLevel="1" x14ac:dyDescent="0.2">
      <c r="B1187" s="1047" t="s">
        <v>129</v>
      </c>
      <c r="C1187" s="529" t="s">
        <v>129</v>
      </c>
      <c r="D1187" s="529" t="s">
        <v>129</v>
      </c>
      <c r="E1187" s="529" t="s">
        <v>129</v>
      </c>
      <c r="F1187" s="529" t="s">
        <v>129</v>
      </c>
      <c r="G1187" s="529" t="s">
        <v>129</v>
      </c>
      <c r="H1187" s="529" t="s">
        <v>129</v>
      </c>
      <c r="I1187" s="529" t="s">
        <v>129</v>
      </c>
      <c r="J1187" s="529" t="s">
        <v>129</v>
      </c>
      <c r="K1187" s="529" t="s">
        <v>129</v>
      </c>
      <c r="L1187" s="1048" t="s">
        <v>129</v>
      </c>
    </row>
    <row r="1188" spans="2:12" hidden="1" outlineLevel="1" x14ac:dyDescent="0.2">
      <c r="B1188" s="1047" t="s">
        <v>129</v>
      </c>
      <c r="C1188" s="529" t="s">
        <v>129</v>
      </c>
      <c r="D1188" s="529" t="s">
        <v>129</v>
      </c>
      <c r="E1188" s="529" t="s">
        <v>129</v>
      </c>
      <c r="F1188" s="529" t="s">
        <v>129</v>
      </c>
      <c r="G1188" s="529" t="s">
        <v>129</v>
      </c>
      <c r="H1188" s="529" t="s">
        <v>129</v>
      </c>
      <c r="I1188" s="529" t="s">
        <v>129</v>
      </c>
      <c r="J1188" s="529" t="s">
        <v>129</v>
      </c>
      <c r="K1188" s="529" t="s">
        <v>129</v>
      </c>
      <c r="L1188" s="1048" t="s">
        <v>129</v>
      </c>
    </row>
    <row r="1189" spans="2:12" hidden="1" outlineLevel="1" x14ac:dyDescent="0.2">
      <c r="B1189" s="1047" t="s">
        <v>129</v>
      </c>
      <c r="C1189" s="529" t="s">
        <v>129</v>
      </c>
      <c r="D1189" s="529" t="s">
        <v>129</v>
      </c>
      <c r="E1189" s="529" t="s">
        <v>129</v>
      </c>
      <c r="F1189" s="529" t="s">
        <v>129</v>
      </c>
      <c r="G1189" s="529" t="s">
        <v>129</v>
      </c>
      <c r="H1189" s="529" t="s">
        <v>129</v>
      </c>
      <c r="I1189" s="529" t="s">
        <v>129</v>
      </c>
      <c r="J1189" s="529" t="s">
        <v>129</v>
      </c>
      <c r="K1189" s="529" t="s">
        <v>129</v>
      </c>
      <c r="L1189" s="1048" t="s">
        <v>129</v>
      </c>
    </row>
    <row r="1190" spans="2:12" hidden="1" outlineLevel="1" x14ac:dyDescent="0.2">
      <c r="B1190" s="1047" t="s">
        <v>129</v>
      </c>
      <c r="C1190" s="529" t="s">
        <v>129</v>
      </c>
      <c r="D1190" s="529" t="s">
        <v>129</v>
      </c>
      <c r="E1190" s="529" t="s">
        <v>129</v>
      </c>
      <c r="F1190" s="529" t="s">
        <v>129</v>
      </c>
      <c r="G1190" s="529" t="s">
        <v>129</v>
      </c>
      <c r="H1190" s="529" t="s">
        <v>129</v>
      </c>
      <c r="I1190" s="529" t="s">
        <v>129</v>
      </c>
      <c r="J1190" s="529" t="s">
        <v>129</v>
      </c>
      <c r="K1190" s="529" t="s">
        <v>129</v>
      </c>
      <c r="L1190" s="1048" t="s">
        <v>129</v>
      </c>
    </row>
    <row r="1191" spans="2:12" hidden="1" outlineLevel="1" x14ac:dyDescent="0.2">
      <c r="B1191" s="1047" t="s">
        <v>129</v>
      </c>
      <c r="C1191" s="529" t="s">
        <v>129</v>
      </c>
      <c r="D1191" s="529" t="s">
        <v>129</v>
      </c>
      <c r="E1191" s="529" t="s">
        <v>129</v>
      </c>
      <c r="F1191" s="529" t="s">
        <v>129</v>
      </c>
      <c r="G1191" s="529" t="s">
        <v>129</v>
      </c>
      <c r="H1191" s="529" t="s">
        <v>129</v>
      </c>
      <c r="I1191" s="529" t="s">
        <v>129</v>
      </c>
      <c r="J1191" s="529" t="s">
        <v>129</v>
      </c>
      <c r="K1191" s="529" t="s">
        <v>129</v>
      </c>
      <c r="L1191" s="1048" t="s">
        <v>129</v>
      </c>
    </row>
    <row r="1192" spans="2:12" hidden="1" outlineLevel="1" x14ac:dyDescent="0.2">
      <c r="B1192" s="1047" t="s">
        <v>129</v>
      </c>
      <c r="C1192" s="529" t="s">
        <v>129</v>
      </c>
      <c r="D1192" s="529" t="s">
        <v>129</v>
      </c>
      <c r="E1192" s="529" t="s">
        <v>129</v>
      </c>
      <c r="F1192" s="529" t="s">
        <v>129</v>
      </c>
      <c r="G1192" s="529" t="s">
        <v>129</v>
      </c>
      <c r="H1192" s="529" t="s">
        <v>129</v>
      </c>
      <c r="I1192" s="529" t="s">
        <v>129</v>
      </c>
      <c r="J1192" s="529" t="s">
        <v>129</v>
      </c>
      <c r="K1192" s="529" t="s">
        <v>129</v>
      </c>
      <c r="L1192" s="1048" t="s">
        <v>129</v>
      </c>
    </row>
    <row r="1193" spans="2:12" hidden="1" outlineLevel="1" x14ac:dyDescent="0.2">
      <c r="B1193" s="1047" t="s">
        <v>129</v>
      </c>
      <c r="C1193" s="529" t="s">
        <v>129</v>
      </c>
      <c r="D1193" s="529" t="s">
        <v>129</v>
      </c>
      <c r="E1193" s="529" t="s">
        <v>129</v>
      </c>
      <c r="F1193" s="529" t="s">
        <v>129</v>
      </c>
      <c r="G1193" s="529" t="s">
        <v>129</v>
      </c>
      <c r="H1193" s="529" t="s">
        <v>129</v>
      </c>
      <c r="I1193" s="529" t="s">
        <v>129</v>
      </c>
      <c r="J1193" s="529" t="s">
        <v>129</v>
      </c>
      <c r="K1193" s="529" t="s">
        <v>129</v>
      </c>
      <c r="L1193" s="1048" t="s">
        <v>129</v>
      </c>
    </row>
    <row r="1194" spans="2:12" hidden="1" outlineLevel="1" x14ac:dyDescent="0.2">
      <c r="B1194" s="1047" t="s">
        <v>129</v>
      </c>
      <c r="C1194" s="529" t="s">
        <v>129</v>
      </c>
      <c r="D1194" s="529" t="s">
        <v>129</v>
      </c>
      <c r="E1194" s="529" t="s">
        <v>129</v>
      </c>
      <c r="F1194" s="529" t="s">
        <v>129</v>
      </c>
      <c r="G1194" s="529" t="s">
        <v>129</v>
      </c>
      <c r="H1194" s="529" t="s">
        <v>129</v>
      </c>
      <c r="I1194" s="529" t="s">
        <v>129</v>
      </c>
      <c r="J1194" s="529" t="s">
        <v>129</v>
      </c>
      <c r="K1194" s="529" t="s">
        <v>129</v>
      </c>
      <c r="L1194" s="1048" t="s">
        <v>129</v>
      </c>
    </row>
    <row r="1195" spans="2:12" hidden="1" outlineLevel="1" x14ac:dyDescent="0.2">
      <c r="B1195" s="1047" t="s">
        <v>129</v>
      </c>
      <c r="C1195" s="529" t="s">
        <v>129</v>
      </c>
      <c r="D1195" s="529" t="s">
        <v>129</v>
      </c>
      <c r="E1195" s="529" t="s">
        <v>129</v>
      </c>
      <c r="F1195" s="529" t="s">
        <v>129</v>
      </c>
      <c r="G1195" s="529" t="s">
        <v>129</v>
      </c>
      <c r="H1195" s="529" t="s">
        <v>129</v>
      </c>
      <c r="I1195" s="529" t="s">
        <v>129</v>
      </c>
      <c r="J1195" s="529" t="s">
        <v>129</v>
      </c>
      <c r="K1195" s="529" t="s">
        <v>129</v>
      </c>
      <c r="L1195" s="1048" t="s">
        <v>129</v>
      </c>
    </row>
    <row r="1196" spans="2:12" hidden="1" outlineLevel="1" x14ac:dyDescent="0.2">
      <c r="B1196" s="1047" t="s">
        <v>129</v>
      </c>
      <c r="C1196" s="529" t="s">
        <v>129</v>
      </c>
      <c r="D1196" s="529" t="s">
        <v>129</v>
      </c>
      <c r="E1196" s="529" t="s">
        <v>129</v>
      </c>
      <c r="F1196" s="529" t="s">
        <v>129</v>
      </c>
      <c r="G1196" s="529" t="s">
        <v>129</v>
      </c>
      <c r="H1196" s="529" t="s">
        <v>129</v>
      </c>
      <c r="I1196" s="529" t="s">
        <v>129</v>
      </c>
      <c r="J1196" s="529" t="s">
        <v>129</v>
      </c>
      <c r="K1196" s="529" t="s">
        <v>129</v>
      </c>
      <c r="L1196" s="1048" t="s">
        <v>129</v>
      </c>
    </row>
    <row r="1197" spans="2:12" hidden="1" outlineLevel="1" x14ac:dyDescent="0.2">
      <c r="B1197" s="1047" t="s">
        <v>129</v>
      </c>
      <c r="C1197" s="529" t="s">
        <v>129</v>
      </c>
      <c r="D1197" s="529" t="s">
        <v>129</v>
      </c>
      <c r="E1197" s="529" t="s">
        <v>129</v>
      </c>
      <c r="F1197" s="529" t="s">
        <v>129</v>
      </c>
      <c r="G1197" s="529" t="s">
        <v>129</v>
      </c>
      <c r="H1197" s="529" t="s">
        <v>129</v>
      </c>
      <c r="I1197" s="529" t="s">
        <v>129</v>
      </c>
      <c r="J1197" s="529" t="s">
        <v>129</v>
      </c>
      <c r="K1197" s="529" t="s">
        <v>129</v>
      </c>
      <c r="L1197" s="1048" t="s">
        <v>129</v>
      </c>
    </row>
    <row r="1198" spans="2:12" hidden="1" outlineLevel="1" x14ac:dyDescent="0.2">
      <c r="B1198" s="1047" t="s">
        <v>129</v>
      </c>
      <c r="C1198" s="529" t="s">
        <v>129</v>
      </c>
      <c r="D1198" s="529" t="s">
        <v>129</v>
      </c>
      <c r="E1198" s="529" t="s">
        <v>129</v>
      </c>
      <c r="F1198" s="529" t="s">
        <v>129</v>
      </c>
      <c r="G1198" s="529" t="s">
        <v>129</v>
      </c>
      <c r="H1198" s="529" t="s">
        <v>129</v>
      </c>
      <c r="I1198" s="529" t="s">
        <v>129</v>
      </c>
      <c r="J1198" s="529" t="s">
        <v>129</v>
      </c>
      <c r="K1198" s="529" t="s">
        <v>129</v>
      </c>
      <c r="L1198" s="1048" t="s">
        <v>129</v>
      </c>
    </row>
    <row r="1199" spans="2:12" hidden="1" outlineLevel="1" x14ac:dyDescent="0.2">
      <c r="B1199" s="1047" t="s">
        <v>129</v>
      </c>
      <c r="C1199" s="529" t="s">
        <v>129</v>
      </c>
      <c r="D1199" s="529" t="s">
        <v>129</v>
      </c>
      <c r="E1199" s="529" t="s">
        <v>129</v>
      </c>
      <c r="F1199" s="529" t="s">
        <v>129</v>
      </c>
      <c r="G1199" s="529" t="s">
        <v>129</v>
      </c>
      <c r="H1199" s="529" t="s">
        <v>129</v>
      </c>
      <c r="I1199" s="529" t="s">
        <v>129</v>
      </c>
      <c r="J1199" s="529" t="s">
        <v>129</v>
      </c>
      <c r="K1199" s="529" t="s">
        <v>129</v>
      </c>
      <c r="L1199" s="1048" t="s">
        <v>129</v>
      </c>
    </row>
    <row r="1200" spans="2:12" hidden="1" outlineLevel="1" x14ac:dyDescent="0.2">
      <c r="B1200" s="1047" t="s">
        <v>129</v>
      </c>
      <c r="C1200" s="529" t="s">
        <v>129</v>
      </c>
      <c r="D1200" s="529" t="s">
        <v>129</v>
      </c>
      <c r="E1200" s="529" t="s">
        <v>129</v>
      </c>
      <c r="F1200" s="529" t="s">
        <v>129</v>
      </c>
      <c r="G1200" s="529" t="s">
        <v>129</v>
      </c>
      <c r="H1200" s="529" t="s">
        <v>129</v>
      </c>
      <c r="I1200" s="529" t="s">
        <v>129</v>
      </c>
      <c r="J1200" s="529" t="s">
        <v>129</v>
      </c>
      <c r="K1200" s="529" t="s">
        <v>129</v>
      </c>
      <c r="L1200" s="1048" t="s">
        <v>129</v>
      </c>
    </row>
    <row r="1201" spans="2:12" hidden="1" outlineLevel="1" x14ac:dyDescent="0.2">
      <c r="B1201" s="1047" t="s">
        <v>129</v>
      </c>
      <c r="C1201" s="529" t="s">
        <v>129</v>
      </c>
      <c r="D1201" s="529" t="s">
        <v>129</v>
      </c>
      <c r="E1201" s="529" t="s">
        <v>129</v>
      </c>
      <c r="F1201" s="529" t="s">
        <v>129</v>
      </c>
      <c r="G1201" s="529" t="s">
        <v>129</v>
      </c>
      <c r="H1201" s="529" t="s">
        <v>129</v>
      </c>
      <c r="I1201" s="529" t="s">
        <v>129</v>
      </c>
      <c r="J1201" s="529" t="s">
        <v>129</v>
      </c>
      <c r="K1201" s="529" t="s">
        <v>129</v>
      </c>
      <c r="L1201" s="1048" t="s">
        <v>129</v>
      </c>
    </row>
    <row r="1202" spans="2:12" hidden="1" outlineLevel="1" x14ac:dyDescent="0.2">
      <c r="B1202" s="1047" t="s">
        <v>129</v>
      </c>
      <c r="C1202" s="529" t="s">
        <v>129</v>
      </c>
      <c r="D1202" s="529" t="s">
        <v>129</v>
      </c>
      <c r="E1202" s="529" t="s">
        <v>129</v>
      </c>
      <c r="F1202" s="529" t="s">
        <v>129</v>
      </c>
      <c r="G1202" s="529" t="s">
        <v>129</v>
      </c>
      <c r="H1202" s="529" t="s">
        <v>129</v>
      </c>
      <c r="I1202" s="529" t="s">
        <v>129</v>
      </c>
      <c r="J1202" s="529" t="s">
        <v>129</v>
      </c>
      <c r="K1202" s="529" t="s">
        <v>129</v>
      </c>
      <c r="L1202" s="1048" t="s">
        <v>129</v>
      </c>
    </row>
    <row r="1203" spans="2:12" hidden="1" outlineLevel="1" x14ac:dyDescent="0.2">
      <c r="B1203" s="1047" t="s">
        <v>129</v>
      </c>
      <c r="C1203" s="529" t="s">
        <v>129</v>
      </c>
      <c r="D1203" s="529" t="s">
        <v>129</v>
      </c>
      <c r="E1203" s="529" t="s">
        <v>129</v>
      </c>
      <c r="F1203" s="529" t="s">
        <v>129</v>
      </c>
      <c r="G1203" s="529" t="s">
        <v>129</v>
      </c>
      <c r="H1203" s="529" t="s">
        <v>129</v>
      </c>
      <c r="I1203" s="529" t="s">
        <v>129</v>
      </c>
      <c r="J1203" s="529" t="s">
        <v>129</v>
      </c>
      <c r="K1203" s="529" t="s">
        <v>129</v>
      </c>
      <c r="L1203" s="1048" t="s">
        <v>129</v>
      </c>
    </row>
    <row r="1204" spans="2:12" hidden="1" outlineLevel="1" x14ac:dyDescent="0.2">
      <c r="B1204" s="1047" t="s">
        <v>129</v>
      </c>
      <c r="C1204" s="529" t="s">
        <v>129</v>
      </c>
      <c r="D1204" s="529" t="s">
        <v>129</v>
      </c>
      <c r="E1204" s="529" t="s">
        <v>129</v>
      </c>
      <c r="F1204" s="529" t="s">
        <v>129</v>
      </c>
      <c r="G1204" s="529" t="s">
        <v>129</v>
      </c>
      <c r="H1204" s="529" t="s">
        <v>129</v>
      </c>
      <c r="I1204" s="529" t="s">
        <v>129</v>
      </c>
      <c r="J1204" s="529" t="s">
        <v>129</v>
      </c>
      <c r="K1204" s="529" t="s">
        <v>129</v>
      </c>
      <c r="L1204" s="1048" t="s">
        <v>129</v>
      </c>
    </row>
    <row r="1205" spans="2:12" hidden="1" outlineLevel="1" x14ac:dyDescent="0.2">
      <c r="B1205" s="1047" t="s">
        <v>129</v>
      </c>
      <c r="C1205" s="529" t="s">
        <v>129</v>
      </c>
      <c r="D1205" s="529" t="s">
        <v>129</v>
      </c>
      <c r="E1205" s="529" t="s">
        <v>129</v>
      </c>
      <c r="F1205" s="529" t="s">
        <v>129</v>
      </c>
      <c r="G1205" s="529" t="s">
        <v>129</v>
      </c>
      <c r="H1205" s="529" t="s">
        <v>129</v>
      </c>
      <c r="I1205" s="529" t="s">
        <v>129</v>
      </c>
      <c r="J1205" s="529" t="s">
        <v>129</v>
      </c>
      <c r="K1205" s="529" t="s">
        <v>129</v>
      </c>
      <c r="L1205" s="1048" t="s">
        <v>129</v>
      </c>
    </row>
    <row r="1206" spans="2:12" hidden="1" outlineLevel="1" x14ac:dyDescent="0.2">
      <c r="B1206" s="1047" t="s">
        <v>129</v>
      </c>
      <c r="C1206" s="529" t="s">
        <v>129</v>
      </c>
      <c r="D1206" s="529" t="s">
        <v>129</v>
      </c>
      <c r="E1206" s="529" t="s">
        <v>129</v>
      </c>
      <c r="F1206" s="529" t="s">
        <v>129</v>
      </c>
      <c r="G1206" s="529" t="s">
        <v>129</v>
      </c>
      <c r="H1206" s="529" t="s">
        <v>129</v>
      </c>
      <c r="I1206" s="529" t="s">
        <v>129</v>
      </c>
      <c r="J1206" s="529" t="s">
        <v>129</v>
      </c>
      <c r="K1206" s="529" t="s">
        <v>129</v>
      </c>
      <c r="L1206" s="1048" t="s">
        <v>129</v>
      </c>
    </row>
    <row r="1207" spans="2:12" hidden="1" outlineLevel="1" x14ac:dyDescent="0.2">
      <c r="B1207" s="1047" t="s">
        <v>129</v>
      </c>
      <c r="C1207" s="529" t="s">
        <v>129</v>
      </c>
      <c r="D1207" s="529" t="s">
        <v>129</v>
      </c>
      <c r="E1207" s="529" t="s">
        <v>129</v>
      </c>
      <c r="F1207" s="529" t="s">
        <v>129</v>
      </c>
      <c r="G1207" s="529" t="s">
        <v>129</v>
      </c>
      <c r="H1207" s="529" t="s">
        <v>129</v>
      </c>
      <c r="I1207" s="529" t="s">
        <v>129</v>
      </c>
      <c r="J1207" s="529" t="s">
        <v>129</v>
      </c>
      <c r="K1207" s="529" t="s">
        <v>129</v>
      </c>
      <c r="L1207" s="1048" t="s">
        <v>129</v>
      </c>
    </row>
    <row r="1208" spans="2:12" hidden="1" outlineLevel="1" x14ac:dyDescent="0.2">
      <c r="B1208" s="1047" t="s">
        <v>129</v>
      </c>
      <c r="C1208" s="529" t="s">
        <v>129</v>
      </c>
      <c r="D1208" s="529" t="s">
        <v>129</v>
      </c>
      <c r="E1208" s="529" t="s">
        <v>129</v>
      </c>
      <c r="F1208" s="529" t="s">
        <v>129</v>
      </c>
      <c r="G1208" s="529" t="s">
        <v>129</v>
      </c>
      <c r="H1208" s="529" t="s">
        <v>129</v>
      </c>
      <c r="I1208" s="529" t="s">
        <v>129</v>
      </c>
      <c r="J1208" s="529" t="s">
        <v>129</v>
      </c>
      <c r="K1208" s="529" t="s">
        <v>129</v>
      </c>
      <c r="L1208" s="1048" t="s">
        <v>129</v>
      </c>
    </row>
    <row r="1209" spans="2:12" hidden="1" outlineLevel="1" x14ac:dyDescent="0.2">
      <c r="B1209" s="1047" t="s">
        <v>129</v>
      </c>
      <c r="C1209" s="529" t="s">
        <v>129</v>
      </c>
      <c r="D1209" s="529" t="s">
        <v>129</v>
      </c>
      <c r="E1209" s="529" t="s">
        <v>129</v>
      </c>
      <c r="F1209" s="529" t="s">
        <v>129</v>
      </c>
      <c r="G1209" s="529" t="s">
        <v>129</v>
      </c>
      <c r="H1209" s="529" t="s">
        <v>129</v>
      </c>
      <c r="I1209" s="529" t="s">
        <v>129</v>
      </c>
      <c r="J1209" s="529" t="s">
        <v>129</v>
      </c>
      <c r="K1209" s="529" t="s">
        <v>129</v>
      </c>
      <c r="L1209" s="1048" t="s">
        <v>129</v>
      </c>
    </row>
    <row r="1210" spans="2:12" hidden="1" outlineLevel="1" x14ac:dyDescent="0.2">
      <c r="B1210" s="1047" t="s">
        <v>129</v>
      </c>
      <c r="C1210" s="529" t="s">
        <v>129</v>
      </c>
      <c r="D1210" s="529" t="s">
        <v>129</v>
      </c>
      <c r="E1210" s="529" t="s">
        <v>129</v>
      </c>
      <c r="F1210" s="529" t="s">
        <v>129</v>
      </c>
      <c r="G1210" s="529" t="s">
        <v>129</v>
      </c>
      <c r="H1210" s="529" t="s">
        <v>129</v>
      </c>
      <c r="I1210" s="529" t="s">
        <v>129</v>
      </c>
      <c r="J1210" s="529" t="s">
        <v>129</v>
      </c>
      <c r="K1210" s="529" t="s">
        <v>129</v>
      </c>
      <c r="L1210" s="1048" t="s">
        <v>129</v>
      </c>
    </row>
    <row r="1211" spans="2:12" hidden="1" outlineLevel="1" x14ac:dyDescent="0.2">
      <c r="B1211" s="1047" t="s">
        <v>129</v>
      </c>
      <c r="C1211" s="529" t="s">
        <v>129</v>
      </c>
      <c r="D1211" s="529" t="s">
        <v>129</v>
      </c>
      <c r="E1211" s="529" t="s">
        <v>129</v>
      </c>
      <c r="F1211" s="529" t="s">
        <v>129</v>
      </c>
      <c r="G1211" s="529" t="s">
        <v>129</v>
      </c>
      <c r="H1211" s="529" t="s">
        <v>129</v>
      </c>
      <c r="I1211" s="529" t="s">
        <v>129</v>
      </c>
      <c r="J1211" s="529" t="s">
        <v>129</v>
      </c>
      <c r="K1211" s="529" t="s">
        <v>129</v>
      </c>
      <c r="L1211" s="1048" t="s">
        <v>129</v>
      </c>
    </row>
    <row r="1212" spans="2:12" hidden="1" outlineLevel="1" x14ac:dyDescent="0.2">
      <c r="B1212" s="1047" t="s">
        <v>129</v>
      </c>
      <c r="C1212" s="529" t="s">
        <v>129</v>
      </c>
      <c r="D1212" s="529" t="s">
        <v>129</v>
      </c>
      <c r="E1212" s="529" t="s">
        <v>129</v>
      </c>
      <c r="F1212" s="529" t="s">
        <v>129</v>
      </c>
      <c r="G1212" s="529" t="s">
        <v>129</v>
      </c>
      <c r="H1212" s="529" t="s">
        <v>129</v>
      </c>
      <c r="I1212" s="529" t="s">
        <v>129</v>
      </c>
      <c r="J1212" s="529" t="s">
        <v>129</v>
      </c>
      <c r="K1212" s="529" t="s">
        <v>129</v>
      </c>
      <c r="L1212" s="1048" t="s">
        <v>129</v>
      </c>
    </row>
    <row r="1213" spans="2:12" hidden="1" outlineLevel="1" x14ac:dyDescent="0.2">
      <c r="B1213" s="1047" t="s">
        <v>129</v>
      </c>
      <c r="C1213" s="529" t="s">
        <v>129</v>
      </c>
      <c r="D1213" s="529" t="s">
        <v>129</v>
      </c>
      <c r="E1213" s="529" t="s">
        <v>129</v>
      </c>
      <c r="F1213" s="529" t="s">
        <v>129</v>
      </c>
      <c r="G1213" s="529" t="s">
        <v>129</v>
      </c>
      <c r="H1213" s="529" t="s">
        <v>129</v>
      </c>
      <c r="I1213" s="529" t="s">
        <v>129</v>
      </c>
      <c r="J1213" s="529" t="s">
        <v>129</v>
      </c>
      <c r="K1213" s="529" t="s">
        <v>129</v>
      </c>
      <c r="L1213" s="1048" t="s">
        <v>129</v>
      </c>
    </row>
    <row r="1214" spans="2:12" hidden="1" outlineLevel="1" x14ac:dyDescent="0.2">
      <c r="B1214" s="1047" t="s">
        <v>129</v>
      </c>
      <c r="C1214" s="529" t="s">
        <v>129</v>
      </c>
      <c r="D1214" s="529" t="s">
        <v>129</v>
      </c>
      <c r="E1214" s="529" t="s">
        <v>129</v>
      </c>
      <c r="F1214" s="529" t="s">
        <v>129</v>
      </c>
      <c r="G1214" s="529" t="s">
        <v>129</v>
      </c>
      <c r="H1214" s="529" t="s">
        <v>129</v>
      </c>
      <c r="I1214" s="529" t="s">
        <v>129</v>
      </c>
      <c r="J1214" s="529" t="s">
        <v>129</v>
      </c>
      <c r="K1214" s="529" t="s">
        <v>129</v>
      </c>
      <c r="L1214" s="1048" t="s">
        <v>129</v>
      </c>
    </row>
    <row r="1215" spans="2:12" hidden="1" outlineLevel="1" x14ac:dyDescent="0.2">
      <c r="B1215" s="1047" t="s">
        <v>129</v>
      </c>
      <c r="C1215" s="529" t="s">
        <v>129</v>
      </c>
      <c r="D1215" s="529" t="s">
        <v>129</v>
      </c>
      <c r="E1215" s="529" t="s">
        <v>129</v>
      </c>
      <c r="F1215" s="529" t="s">
        <v>129</v>
      </c>
      <c r="G1215" s="529" t="s">
        <v>129</v>
      </c>
      <c r="H1215" s="529" t="s">
        <v>129</v>
      </c>
      <c r="I1215" s="529" t="s">
        <v>129</v>
      </c>
      <c r="J1215" s="529" t="s">
        <v>129</v>
      </c>
      <c r="K1215" s="529" t="s">
        <v>129</v>
      </c>
      <c r="L1215" s="1048" t="s">
        <v>129</v>
      </c>
    </row>
    <row r="1216" spans="2:12" hidden="1" outlineLevel="1" x14ac:dyDescent="0.2">
      <c r="B1216" s="1047" t="s">
        <v>129</v>
      </c>
      <c r="C1216" s="529" t="s">
        <v>129</v>
      </c>
      <c r="D1216" s="529" t="s">
        <v>129</v>
      </c>
      <c r="E1216" s="529" t="s">
        <v>129</v>
      </c>
      <c r="F1216" s="529" t="s">
        <v>129</v>
      </c>
      <c r="G1216" s="529" t="s">
        <v>129</v>
      </c>
      <c r="H1216" s="529" t="s">
        <v>129</v>
      </c>
      <c r="I1216" s="529" t="s">
        <v>129</v>
      </c>
      <c r="J1216" s="529" t="s">
        <v>129</v>
      </c>
      <c r="K1216" s="529" t="s">
        <v>129</v>
      </c>
      <c r="L1216" s="1048" t="s">
        <v>129</v>
      </c>
    </row>
    <row r="1217" spans="2:12" hidden="1" outlineLevel="1" x14ac:dyDescent="0.2">
      <c r="B1217" s="1047" t="s">
        <v>129</v>
      </c>
      <c r="C1217" s="529" t="s">
        <v>129</v>
      </c>
      <c r="D1217" s="529" t="s">
        <v>129</v>
      </c>
      <c r="E1217" s="529" t="s">
        <v>129</v>
      </c>
      <c r="F1217" s="529" t="s">
        <v>129</v>
      </c>
      <c r="G1217" s="529" t="s">
        <v>129</v>
      </c>
      <c r="H1217" s="529" t="s">
        <v>129</v>
      </c>
      <c r="I1217" s="529" t="s">
        <v>129</v>
      </c>
      <c r="J1217" s="529" t="s">
        <v>129</v>
      </c>
      <c r="K1217" s="529" t="s">
        <v>129</v>
      </c>
      <c r="L1217" s="1048" t="s">
        <v>129</v>
      </c>
    </row>
    <row r="1218" spans="2:12" hidden="1" outlineLevel="1" x14ac:dyDescent="0.2">
      <c r="B1218" s="1047" t="s">
        <v>129</v>
      </c>
      <c r="C1218" s="529" t="s">
        <v>129</v>
      </c>
      <c r="D1218" s="529" t="s">
        <v>129</v>
      </c>
      <c r="E1218" s="529" t="s">
        <v>129</v>
      </c>
      <c r="F1218" s="529" t="s">
        <v>129</v>
      </c>
      <c r="G1218" s="529" t="s">
        <v>129</v>
      </c>
      <c r="H1218" s="529" t="s">
        <v>129</v>
      </c>
      <c r="I1218" s="529" t="s">
        <v>129</v>
      </c>
      <c r="J1218" s="529" t="s">
        <v>129</v>
      </c>
      <c r="K1218" s="529" t="s">
        <v>129</v>
      </c>
      <c r="L1218" s="1048" t="s">
        <v>129</v>
      </c>
    </row>
    <row r="1219" spans="2:12" hidden="1" outlineLevel="1" x14ac:dyDescent="0.2">
      <c r="B1219" s="1047" t="s">
        <v>129</v>
      </c>
      <c r="C1219" s="529" t="s">
        <v>129</v>
      </c>
      <c r="D1219" s="529" t="s">
        <v>129</v>
      </c>
      <c r="E1219" s="529" t="s">
        <v>129</v>
      </c>
      <c r="F1219" s="529" t="s">
        <v>129</v>
      </c>
      <c r="G1219" s="529" t="s">
        <v>129</v>
      </c>
      <c r="H1219" s="529" t="s">
        <v>129</v>
      </c>
      <c r="I1219" s="529" t="s">
        <v>129</v>
      </c>
      <c r="J1219" s="529" t="s">
        <v>129</v>
      </c>
      <c r="K1219" s="529" t="s">
        <v>129</v>
      </c>
      <c r="L1219" s="1048" t="s">
        <v>129</v>
      </c>
    </row>
    <row r="1220" spans="2:12" hidden="1" outlineLevel="1" x14ac:dyDescent="0.2">
      <c r="B1220" s="1047" t="s">
        <v>129</v>
      </c>
      <c r="C1220" s="529" t="s">
        <v>129</v>
      </c>
      <c r="D1220" s="529" t="s">
        <v>129</v>
      </c>
      <c r="E1220" s="529" t="s">
        <v>129</v>
      </c>
      <c r="F1220" s="529" t="s">
        <v>129</v>
      </c>
      <c r="G1220" s="529" t="s">
        <v>129</v>
      </c>
      <c r="H1220" s="529" t="s">
        <v>129</v>
      </c>
      <c r="I1220" s="529" t="s">
        <v>129</v>
      </c>
      <c r="J1220" s="529" t="s">
        <v>129</v>
      </c>
      <c r="K1220" s="529" t="s">
        <v>129</v>
      </c>
      <c r="L1220" s="1048" t="s">
        <v>129</v>
      </c>
    </row>
    <row r="1221" spans="2:12" hidden="1" outlineLevel="1" x14ac:dyDescent="0.2">
      <c r="B1221" s="1047" t="s">
        <v>129</v>
      </c>
      <c r="C1221" s="529" t="s">
        <v>129</v>
      </c>
      <c r="D1221" s="529" t="s">
        <v>129</v>
      </c>
      <c r="E1221" s="529" t="s">
        <v>129</v>
      </c>
      <c r="F1221" s="529" t="s">
        <v>129</v>
      </c>
      <c r="G1221" s="529" t="s">
        <v>129</v>
      </c>
      <c r="H1221" s="529" t="s">
        <v>129</v>
      </c>
      <c r="I1221" s="529" t="s">
        <v>129</v>
      </c>
      <c r="J1221" s="529" t="s">
        <v>129</v>
      </c>
      <c r="K1221" s="529" t="s">
        <v>129</v>
      </c>
      <c r="L1221" s="1048" t="s">
        <v>129</v>
      </c>
    </row>
    <row r="1222" spans="2:12" hidden="1" outlineLevel="1" x14ac:dyDescent="0.2">
      <c r="B1222" s="1047" t="s">
        <v>129</v>
      </c>
      <c r="C1222" s="529" t="s">
        <v>129</v>
      </c>
      <c r="D1222" s="529" t="s">
        <v>129</v>
      </c>
      <c r="E1222" s="529" t="s">
        <v>129</v>
      </c>
      <c r="F1222" s="529" t="s">
        <v>129</v>
      </c>
      <c r="G1222" s="529" t="s">
        <v>129</v>
      </c>
      <c r="H1222" s="529" t="s">
        <v>129</v>
      </c>
      <c r="I1222" s="529" t="s">
        <v>129</v>
      </c>
      <c r="J1222" s="529" t="s">
        <v>129</v>
      </c>
      <c r="K1222" s="529" t="s">
        <v>129</v>
      </c>
      <c r="L1222" s="1048" t="s">
        <v>129</v>
      </c>
    </row>
    <row r="1223" spans="2:12" hidden="1" outlineLevel="1" x14ac:dyDescent="0.2">
      <c r="B1223" s="1047" t="s">
        <v>129</v>
      </c>
      <c r="C1223" s="529" t="s">
        <v>129</v>
      </c>
      <c r="D1223" s="529" t="s">
        <v>129</v>
      </c>
      <c r="E1223" s="529" t="s">
        <v>129</v>
      </c>
      <c r="F1223" s="529" t="s">
        <v>129</v>
      </c>
      <c r="G1223" s="529" t="s">
        <v>129</v>
      </c>
      <c r="H1223" s="529" t="s">
        <v>129</v>
      </c>
      <c r="I1223" s="529" t="s">
        <v>129</v>
      </c>
      <c r="J1223" s="529" t="s">
        <v>129</v>
      </c>
      <c r="K1223" s="529" t="s">
        <v>129</v>
      </c>
      <c r="L1223" s="1048" t="s">
        <v>129</v>
      </c>
    </row>
    <row r="1224" spans="2:12" hidden="1" outlineLevel="1" x14ac:dyDescent="0.2">
      <c r="B1224" s="1047" t="s">
        <v>129</v>
      </c>
      <c r="C1224" s="529" t="s">
        <v>129</v>
      </c>
      <c r="D1224" s="529" t="s">
        <v>129</v>
      </c>
      <c r="E1224" s="529" t="s">
        <v>129</v>
      </c>
      <c r="F1224" s="529" t="s">
        <v>129</v>
      </c>
      <c r="G1224" s="529" t="s">
        <v>129</v>
      </c>
      <c r="H1224" s="529" t="s">
        <v>129</v>
      </c>
      <c r="I1224" s="529" t="s">
        <v>129</v>
      </c>
      <c r="J1224" s="529" t="s">
        <v>129</v>
      </c>
      <c r="K1224" s="529" t="s">
        <v>129</v>
      </c>
      <c r="L1224" s="1048" t="s">
        <v>129</v>
      </c>
    </row>
    <row r="1225" spans="2:12" hidden="1" outlineLevel="1" x14ac:dyDescent="0.2">
      <c r="B1225" s="1047" t="s">
        <v>129</v>
      </c>
      <c r="C1225" s="529" t="s">
        <v>129</v>
      </c>
      <c r="D1225" s="529" t="s">
        <v>129</v>
      </c>
      <c r="E1225" s="529" t="s">
        <v>129</v>
      </c>
      <c r="F1225" s="529" t="s">
        <v>129</v>
      </c>
      <c r="G1225" s="529" t="s">
        <v>129</v>
      </c>
      <c r="H1225" s="529" t="s">
        <v>129</v>
      </c>
      <c r="I1225" s="529" t="s">
        <v>129</v>
      </c>
      <c r="J1225" s="529" t="s">
        <v>129</v>
      </c>
      <c r="K1225" s="529" t="s">
        <v>129</v>
      </c>
      <c r="L1225" s="1048" t="s">
        <v>129</v>
      </c>
    </row>
    <row r="1226" spans="2:12" hidden="1" outlineLevel="1" x14ac:dyDescent="0.2">
      <c r="B1226" s="1047" t="s">
        <v>129</v>
      </c>
      <c r="C1226" s="529" t="s">
        <v>129</v>
      </c>
      <c r="D1226" s="529" t="s">
        <v>129</v>
      </c>
      <c r="E1226" s="529" t="s">
        <v>129</v>
      </c>
      <c r="F1226" s="529" t="s">
        <v>129</v>
      </c>
      <c r="G1226" s="529" t="s">
        <v>129</v>
      </c>
      <c r="H1226" s="529" t="s">
        <v>129</v>
      </c>
      <c r="I1226" s="529" t="s">
        <v>129</v>
      </c>
      <c r="J1226" s="529" t="s">
        <v>129</v>
      </c>
      <c r="K1226" s="529" t="s">
        <v>129</v>
      </c>
      <c r="L1226" s="1048" t="s">
        <v>129</v>
      </c>
    </row>
    <row r="1227" spans="2:12" hidden="1" outlineLevel="1" x14ac:dyDescent="0.2">
      <c r="B1227" s="1047" t="s">
        <v>129</v>
      </c>
      <c r="C1227" s="529" t="s">
        <v>129</v>
      </c>
      <c r="D1227" s="529" t="s">
        <v>129</v>
      </c>
      <c r="E1227" s="529" t="s">
        <v>129</v>
      </c>
      <c r="F1227" s="529" t="s">
        <v>129</v>
      </c>
      <c r="G1227" s="529" t="s">
        <v>129</v>
      </c>
      <c r="H1227" s="529" t="s">
        <v>129</v>
      </c>
      <c r="I1227" s="529" t="s">
        <v>129</v>
      </c>
      <c r="J1227" s="529" t="s">
        <v>129</v>
      </c>
      <c r="K1227" s="529" t="s">
        <v>129</v>
      </c>
      <c r="L1227" s="1048" t="s">
        <v>129</v>
      </c>
    </row>
    <row r="1228" spans="2:12" hidden="1" outlineLevel="1" x14ac:dyDescent="0.2">
      <c r="B1228" s="1047" t="s">
        <v>129</v>
      </c>
      <c r="C1228" s="529" t="s">
        <v>129</v>
      </c>
      <c r="D1228" s="529" t="s">
        <v>129</v>
      </c>
      <c r="E1228" s="529" t="s">
        <v>129</v>
      </c>
      <c r="F1228" s="529" t="s">
        <v>129</v>
      </c>
      <c r="G1228" s="529" t="s">
        <v>129</v>
      </c>
      <c r="H1228" s="529" t="s">
        <v>129</v>
      </c>
      <c r="I1228" s="529" t="s">
        <v>129</v>
      </c>
      <c r="J1228" s="529" t="s">
        <v>129</v>
      </c>
      <c r="K1228" s="529" t="s">
        <v>129</v>
      </c>
      <c r="L1228" s="1048" t="s">
        <v>129</v>
      </c>
    </row>
    <row r="1229" spans="2:12" hidden="1" outlineLevel="1" x14ac:dyDescent="0.2">
      <c r="B1229" s="1047" t="s">
        <v>129</v>
      </c>
      <c r="C1229" s="529" t="s">
        <v>129</v>
      </c>
      <c r="D1229" s="529" t="s">
        <v>129</v>
      </c>
      <c r="E1229" s="529" t="s">
        <v>129</v>
      </c>
      <c r="F1229" s="529" t="s">
        <v>129</v>
      </c>
      <c r="G1229" s="529" t="s">
        <v>129</v>
      </c>
      <c r="H1229" s="529" t="s">
        <v>129</v>
      </c>
      <c r="I1229" s="529" t="s">
        <v>129</v>
      </c>
      <c r="J1229" s="529" t="s">
        <v>129</v>
      </c>
      <c r="K1229" s="529" t="s">
        <v>129</v>
      </c>
      <c r="L1229" s="1048" t="s">
        <v>129</v>
      </c>
    </row>
    <row r="1230" spans="2:12" hidden="1" outlineLevel="1" x14ac:dyDescent="0.2">
      <c r="B1230" s="1047" t="s">
        <v>129</v>
      </c>
      <c r="C1230" s="529" t="s">
        <v>129</v>
      </c>
      <c r="D1230" s="529" t="s">
        <v>129</v>
      </c>
      <c r="E1230" s="529" t="s">
        <v>129</v>
      </c>
      <c r="F1230" s="529" t="s">
        <v>129</v>
      </c>
      <c r="G1230" s="529" t="s">
        <v>129</v>
      </c>
      <c r="H1230" s="529" t="s">
        <v>129</v>
      </c>
      <c r="I1230" s="529" t="s">
        <v>129</v>
      </c>
      <c r="J1230" s="529" t="s">
        <v>129</v>
      </c>
      <c r="K1230" s="529" t="s">
        <v>129</v>
      </c>
      <c r="L1230" s="1048" t="s">
        <v>129</v>
      </c>
    </row>
    <row r="1231" spans="2:12" hidden="1" outlineLevel="1" x14ac:dyDescent="0.2">
      <c r="B1231" s="1047" t="s">
        <v>129</v>
      </c>
      <c r="C1231" s="529" t="s">
        <v>129</v>
      </c>
      <c r="D1231" s="529" t="s">
        <v>129</v>
      </c>
      <c r="E1231" s="529" t="s">
        <v>129</v>
      </c>
      <c r="F1231" s="529" t="s">
        <v>129</v>
      </c>
      <c r="G1231" s="529" t="s">
        <v>129</v>
      </c>
      <c r="H1231" s="529" t="s">
        <v>129</v>
      </c>
      <c r="I1231" s="529" t="s">
        <v>129</v>
      </c>
      <c r="J1231" s="529" t="s">
        <v>129</v>
      </c>
      <c r="K1231" s="529" t="s">
        <v>129</v>
      </c>
      <c r="L1231" s="1048" t="s">
        <v>129</v>
      </c>
    </row>
    <row r="1232" spans="2:12" hidden="1" outlineLevel="1" x14ac:dyDescent="0.2">
      <c r="B1232" s="1047" t="s">
        <v>129</v>
      </c>
      <c r="C1232" s="529" t="s">
        <v>129</v>
      </c>
      <c r="D1232" s="529" t="s">
        <v>129</v>
      </c>
      <c r="E1232" s="529" t="s">
        <v>129</v>
      </c>
      <c r="F1232" s="529" t="s">
        <v>129</v>
      </c>
      <c r="G1232" s="529" t="s">
        <v>129</v>
      </c>
      <c r="H1232" s="529" t="s">
        <v>129</v>
      </c>
      <c r="I1232" s="529" t="s">
        <v>129</v>
      </c>
      <c r="J1232" s="529" t="s">
        <v>129</v>
      </c>
      <c r="K1232" s="529" t="s">
        <v>129</v>
      </c>
      <c r="L1232" s="1048" t="s">
        <v>129</v>
      </c>
    </row>
    <row r="1233" spans="2:12" hidden="1" outlineLevel="1" x14ac:dyDescent="0.2">
      <c r="B1233" s="1047" t="s">
        <v>129</v>
      </c>
      <c r="C1233" s="529" t="s">
        <v>129</v>
      </c>
      <c r="D1233" s="529" t="s">
        <v>129</v>
      </c>
      <c r="E1233" s="529" t="s">
        <v>129</v>
      </c>
      <c r="F1233" s="529" t="s">
        <v>129</v>
      </c>
      <c r="G1233" s="529" t="s">
        <v>129</v>
      </c>
      <c r="H1233" s="529" t="s">
        <v>129</v>
      </c>
      <c r="I1233" s="529" t="s">
        <v>129</v>
      </c>
      <c r="J1233" s="529" t="s">
        <v>129</v>
      </c>
      <c r="K1233" s="529" t="s">
        <v>129</v>
      </c>
      <c r="L1233" s="1048" t="s">
        <v>129</v>
      </c>
    </row>
    <row r="1234" spans="2:12" hidden="1" outlineLevel="1" x14ac:dyDescent="0.2">
      <c r="B1234" s="1047" t="s">
        <v>129</v>
      </c>
      <c r="C1234" s="529" t="s">
        <v>129</v>
      </c>
      <c r="D1234" s="529" t="s">
        <v>129</v>
      </c>
      <c r="E1234" s="529" t="s">
        <v>129</v>
      </c>
      <c r="F1234" s="529" t="s">
        <v>129</v>
      </c>
      <c r="G1234" s="529" t="s">
        <v>129</v>
      </c>
      <c r="H1234" s="529" t="s">
        <v>129</v>
      </c>
      <c r="I1234" s="529" t="s">
        <v>129</v>
      </c>
      <c r="J1234" s="529" t="s">
        <v>129</v>
      </c>
      <c r="K1234" s="529" t="s">
        <v>129</v>
      </c>
      <c r="L1234" s="1048" t="s">
        <v>129</v>
      </c>
    </row>
    <row r="1235" spans="2:12" hidden="1" outlineLevel="1" x14ac:dyDescent="0.2">
      <c r="B1235" s="1047" t="s">
        <v>129</v>
      </c>
      <c r="C1235" s="529" t="s">
        <v>129</v>
      </c>
      <c r="D1235" s="529" t="s">
        <v>129</v>
      </c>
      <c r="E1235" s="529" t="s">
        <v>129</v>
      </c>
      <c r="F1235" s="529" t="s">
        <v>129</v>
      </c>
      <c r="G1235" s="529" t="s">
        <v>129</v>
      </c>
      <c r="H1235" s="529" t="s">
        <v>129</v>
      </c>
      <c r="I1235" s="529" t="s">
        <v>129</v>
      </c>
      <c r="J1235" s="529" t="s">
        <v>129</v>
      </c>
      <c r="K1235" s="529" t="s">
        <v>129</v>
      </c>
      <c r="L1235" s="1048" t="s">
        <v>129</v>
      </c>
    </row>
    <row r="1236" spans="2:12" hidden="1" outlineLevel="1" x14ac:dyDescent="0.2">
      <c r="B1236" s="1047" t="s">
        <v>129</v>
      </c>
      <c r="C1236" s="529" t="s">
        <v>129</v>
      </c>
      <c r="D1236" s="529" t="s">
        <v>129</v>
      </c>
      <c r="E1236" s="529" t="s">
        <v>129</v>
      </c>
      <c r="F1236" s="529" t="s">
        <v>129</v>
      </c>
      <c r="G1236" s="529" t="s">
        <v>129</v>
      </c>
      <c r="H1236" s="529" t="s">
        <v>129</v>
      </c>
      <c r="I1236" s="529" t="s">
        <v>129</v>
      </c>
      <c r="J1236" s="529" t="s">
        <v>129</v>
      </c>
      <c r="K1236" s="529" t="s">
        <v>129</v>
      </c>
      <c r="L1236" s="1048" t="s">
        <v>129</v>
      </c>
    </row>
    <row r="1237" spans="2:12" hidden="1" outlineLevel="1" x14ac:dyDescent="0.2">
      <c r="B1237" s="1047" t="s">
        <v>129</v>
      </c>
      <c r="C1237" s="529" t="s">
        <v>129</v>
      </c>
      <c r="D1237" s="529" t="s">
        <v>129</v>
      </c>
      <c r="E1237" s="529" t="s">
        <v>129</v>
      </c>
      <c r="F1237" s="529" t="s">
        <v>129</v>
      </c>
      <c r="G1237" s="529" t="s">
        <v>129</v>
      </c>
      <c r="H1237" s="529" t="s">
        <v>129</v>
      </c>
      <c r="I1237" s="529" t="s">
        <v>129</v>
      </c>
      <c r="J1237" s="529" t="s">
        <v>129</v>
      </c>
      <c r="K1237" s="529" t="s">
        <v>129</v>
      </c>
      <c r="L1237" s="1048" t="s">
        <v>129</v>
      </c>
    </row>
    <row r="1238" spans="2:12" hidden="1" outlineLevel="1" x14ac:dyDescent="0.2">
      <c r="B1238" s="1047" t="s">
        <v>129</v>
      </c>
      <c r="C1238" s="529" t="s">
        <v>129</v>
      </c>
      <c r="D1238" s="529" t="s">
        <v>129</v>
      </c>
      <c r="E1238" s="529" t="s">
        <v>129</v>
      </c>
      <c r="F1238" s="529" t="s">
        <v>129</v>
      </c>
      <c r="G1238" s="529" t="s">
        <v>129</v>
      </c>
      <c r="H1238" s="529" t="s">
        <v>129</v>
      </c>
      <c r="I1238" s="529" t="s">
        <v>129</v>
      </c>
      <c r="J1238" s="529" t="s">
        <v>129</v>
      </c>
      <c r="K1238" s="529" t="s">
        <v>129</v>
      </c>
      <c r="L1238" s="1048" t="s">
        <v>129</v>
      </c>
    </row>
    <row r="1239" spans="2:12" hidden="1" outlineLevel="1" x14ac:dyDescent="0.2">
      <c r="B1239" s="1047" t="s">
        <v>129</v>
      </c>
      <c r="C1239" s="529" t="s">
        <v>129</v>
      </c>
      <c r="D1239" s="529" t="s">
        <v>129</v>
      </c>
      <c r="E1239" s="529" t="s">
        <v>129</v>
      </c>
      <c r="F1239" s="529" t="s">
        <v>129</v>
      </c>
      <c r="G1239" s="529" t="s">
        <v>129</v>
      </c>
      <c r="H1239" s="529" t="s">
        <v>129</v>
      </c>
      <c r="I1239" s="529" t="s">
        <v>129</v>
      </c>
      <c r="J1239" s="529" t="s">
        <v>129</v>
      </c>
      <c r="K1239" s="529" t="s">
        <v>129</v>
      </c>
      <c r="L1239" s="1048" t="s">
        <v>129</v>
      </c>
    </row>
    <row r="1240" spans="2:12" hidden="1" outlineLevel="1" x14ac:dyDescent="0.2">
      <c r="B1240" s="1047" t="s">
        <v>129</v>
      </c>
      <c r="C1240" s="529" t="s">
        <v>129</v>
      </c>
      <c r="D1240" s="529" t="s">
        <v>129</v>
      </c>
      <c r="E1240" s="529" t="s">
        <v>129</v>
      </c>
      <c r="F1240" s="529" t="s">
        <v>129</v>
      </c>
      <c r="G1240" s="529" t="s">
        <v>129</v>
      </c>
      <c r="H1240" s="529" t="s">
        <v>129</v>
      </c>
      <c r="I1240" s="529" t="s">
        <v>129</v>
      </c>
      <c r="J1240" s="529" t="s">
        <v>129</v>
      </c>
      <c r="K1240" s="529" t="s">
        <v>129</v>
      </c>
      <c r="L1240" s="1048" t="s">
        <v>129</v>
      </c>
    </row>
    <row r="1241" spans="2:12" hidden="1" outlineLevel="1" x14ac:dyDescent="0.2">
      <c r="B1241" s="1047" t="s">
        <v>129</v>
      </c>
      <c r="C1241" s="529" t="s">
        <v>129</v>
      </c>
      <c r="D1241" s="529" t="s">
        <v>129</v>
      </c>
      <c r="E1241" s="529" t="s">
        <v>129</v>
      </c>
      <c r="F1241" s="529" t="s">
        <v>129</v>
      </c>
      <c r="G1241" s="529" t="s">
        <v>129</v>
      </c>
      <c r="H1241" s="529" t="s">
        <v>129</v>
      </c>
      <c r="I1241" s="529" t="s">
        <v>129</v>
      </c>
      <c r="J1241" s="529" t="s">
        <v>129</v>
      </c>
      <c r="K1241" s="529" t="s">
        <v>129</v>
      </c>
      <c r="L1241" s="1048" t="s">
        <v>129</v>
      </c>
    </row>
    <row r="1242" spans="2:12" hidden="1" outlineLevel="1" x14ac:dyDescent="0.2">
      <c r="B1242" s="1047" t="s">
        <v>129</v>
      </c>
      <c r="C1242" s="529" t="s">
        <v>129</v>
      </c>
      <c r="D1242" s="529" t="s">
        <v>129</v>
      </c>
      <c r="E1242" s="529" t="s">
        <v>129</v>
      </c>
      <c r="F1242" s="529" t="s">
        <v>129</v>
      </c>
      <c r="G1242" s="529" t="s">
        <v>129</v>
      </c>
      <c r="H1242" s="529" t="s">
        <v>129</v>
      </c>
      <c r="I1242" s="529" t="s">
        <v>129</v>
      </c>
      <c r="J1242" s="529" t="s">
        <v>129</v>
      </c>
      <c r="K1242" s="529" t="s">
        <v>129</v>
      </c>
      <c r="L1242" s="1048" t="s">
        <v>129</v>
      </c>
    </row>
    <row r="1243" spans="2:12" hidden="1" outlineLevel="1" x14ac:dyDescent="0.2">
      <c r="B1243" s="1047" t="s">
        <v>129</v>
      </c>
      <c r="C1243" s="529" t="s">
        <v>129</v>
      </c>
      <c r="D1243" s="529" t="s">
        <v>129</v>
      </c>
      <c r="E1243" s="529" t="s">
        <v>129</v>
      </c>
      <c r="F1243" s="529" t="s">
        <v>129</v>
      </c>
      <c r="G1243" s="529" t="s">
        <v>129</v>
      </c>
      <c r="H1243" s="529" t="s">
        <v>129</v>
      </c>
      <c r="I1243" s="529" t="s">
        <v>129</v>
      </c>
      <c r="J1243" s="529" t="s">
        <v>129</v>
      </c>
      <c r="K1243" s="529" t="s">
        <v>129</v>
      </c>
      <c r="L1243" s="1048" t="s">
        <v>129</v>
      </c>
    </row>
    <row r="1244" spans="2:12" hidden="1" outlineLevel="1" x14ac:dyDescent="0.2">
      <c r="B1244" s="1047" t="s">
        <v>129</v>
      </c>
      <c r="C1244" s="529" t="s">
        <v>129</v>
      </c>
      <c r="D1244" s="529" t="s">
        <v>129</v>
      </c>
      <c r="E1244" s="529" t="s">
        <v>129</v>
      </c>
      <c r="F1244" s="529" t="s">
        <v>129</v>
      </c>
      <c r="G1244" s="529" t="s">
        <v>129</v>
      </c>
      <c r="H1244" s="529" t="s">
        <v>129</v>
      </c>
      <c r="I1244" s="529" t="s">
        <v>129</v>
      </c>
      <c r="J1244" s="529" t="s">
        <v>129</v>
      </c>
      <c r="K1244" s="529" t="s">
        <v>129</v>
      </c>
      <c r="L1244" s="1048" t="s">
        <v>129</v>
      </c>
    </row>
    <row r="1245" spans="2:12" hidden="1" outlineLevel="1" x14ac:dyDescent="0.2">
      <c r="B1245" s="1047" t="s">
        <v>129</v>
      </c>
      <c r="C1245" s="529" t="s">
        <v>129</v>
      </c>
      <c r="D1245" s="529" t="s">
        <v>129</v>
      </c>
      <c r="E1245" s="529" t="s">
        <v>129</v>
      </c>
      <c r="F1245" s="529" t="s">
        <v>129</v>
      </c>
      <c r="G1245" s="529" t="s">
        <v>129</v>
      </c>
      <c r="H1245" s="529" t="s">
        <v>129</v>
      </c>
      <c r="I1245" s="529" t="s">
        <v>129</v>
      </c>
      <c r="J1245" s="529" t="s">
        <v>129</v>
      </c>
      <c r="K1245" s="529" t="s">
        <v>129</v>
      </c>
      <c r="L1245" s="1048" t="s">
        <v>129</v>
      </c>
    </row>
    <row r="1246" spans="2:12" hidden="1" outlineLevel="1" x14ac:dyDescent="0.2">
      <c r="B1246" s="1047" t="s">
        <v>129</v>
      </c>
      <c r="C1246" s="529" t="s">
        <v>129</v>
      </c>
      <c r="D1246" s="529" t="s">
        <v>129</v>
      </c>
      <c r="E1246" s="529" t="s">
        <v>129</v>
      </c>
      <c r="F1246" s="529" t="s">
        <v>129</v>
      </c>
      <c r="G1246" s="529" t="s">
        <v>129</v>
      </c>
      <c r="H1246" s="529" t="s">
        <v>129</v>
      </c>
      <c r="I1246" s="529" t="s">
        <v>129</v>
      </c>
      <c r="J1246" s="529" t="s">
        <v>129</v>
      </c>
      <c r="K1246" s="529" t="s">
        <v>129</v>
      </c>
      <c r="L1246" s="1048" t="s">
        <v>129</v>
      </c>
    </row>
    <row r="1247" spans="2:12" hidden="1" outlineLevel="1" x14ac:dyDescent="0.2">
      <c r="B1247" s="1047" t="s">
        <v>129</v>
      </c>
      <c r="C1247" s="529" t="s">
        <v>129</v>
      </c>
      <c r="D1247" s="529" t="s">
        <v>129</v>
      </c>
      <c r="E1247" s="529" t="s">
        <v>129</v>
      </c>
      <c r="F1247" s="529" t="s">
        <v>129</v>
      </c>
      <c r="G1247" s="529" t="s">
        <v>129</v>
      </c>
      <c r="H1247" s="529" t="s">
        <v>129</v>
      </c>
      <c r="I1247" s="529" t="s">
        <v>129</v>
      </c>
      <c r="J1247" s="529" t="s">
        <v>129</v>
      </c>
      <c r="K1247" s="529" t="s">
        <v>129</v>
      </c>
      <c r="L1247" s="1048" t="s">
        <v>129</v>
      </c>
    </row>
    <row r="1248" spans="2:12" hidden="1" outlineLevel="1" x14ac:dyDescent="0.2">
      <c r="B1248" s="1047" t="s">
        <v>129</v>
      </c>
      <c r="C1248" s="529" t="s">
        <v>129</v>
      </c>
      <c r="D1248" s="529" t="s">
        <v>129</v>
      </c>
      <c r="E1248" s="529" t="s">
        <v>129</v>
      </c>
      <c r="F1248" s="529" t="s">
        <v>129</v>
      </c>
      <c r="G1248" s="529" t="s">
        <v>129</v>
      </c>
      <c r="H1248" s="529" t="s">
        <v>129</v>
      </c>
      <c r="I1248" s="529" t="s">
        <v>129</v>
      </c>
      <c r="J1248" s="529" t="s">
        <v>129</v>
      </c>
      <c r="K1248" s="529" t="s">
        <v>129</v>
      </c>
      <c r="L1248" s="1048" t="s">
        <v>129</v>
      </c>
    </row>
    <row r="1249" spans="2:12" hidden="1" outlineLevel="1" x14ac:dyDescent="0.2">
      <c r="B1249" s="1047" t="s">
        <v>129</v>
      </c>
      <c r="C1249" s="529" t="s">
        <v>129</v>
      </c>
      <c r="D1249" s="529" t="s">
        <v>129</v>
      </c>
      <c r="E1249" s="529" t="s">
        <v>129</v>
      </c>
      <c r="F1249" s="529" t="s">
        <v>129</v>
      </c>
      <c r="G1249" s="529" t="s">
        <v>129</v>
      </c>
      <c r="H1249" s="529" t="s">
        <v>129</v>
      </c>
      <c r="I1249" s="529" t="s">
        <v>129</v>
      </c>
      <c r="J1249" s="529" t="s">
        <v>129</v>
      </c>
      <c r="K1249" s="529" t="s">
        <v>129</v>
      </c>
      <c r="L1249" s="1048" t="s">
        <v>129</v>
      </c>
    </row>
    <row r="1250" spans="2:12" hidden="1" outlineLevel="1" x14ac:dyDescent="0.2">
      <c r="B1250" s="1047" t="s">
        <v>129</v>
      </c>
      <c r="C1250" s="529" t="s">
        <v>129</v>
      </c>
      <c r="D1250" s="529" t="s">
        <v>129</v>
      </c>
      <c r="E1250" s="529" t="s">
        <v>129</v>
      </c>
      <c r="F1250" s="529" t="s">
        <v>129</v>
      </c>
      <c r="G1250" s="529" t="s">
        <v>129</v>
      </c>
      <c r="H1250" s="529" t="s">
        <v>129</v>
      </c>
      <c r="I1250" s="529" t="s">
        <v>129</v>
      </c>
      <c r="J1250" s="529" t="s">
        <v>129</v>
      </c>
      <c r="K1250" s="529" t="s">
        <v>129</v>
      </c>
      <c r="L1250" s="1048" t="s">
        <v>129</v>
      </c>
    </row>
    <row r="1251" spans="2:12" hidden="1" outlineLevel="1" x14ac:dyDescent="0.2">
      <c r="B1251" s="1047" t="s">
        <v>129</v>
      </c>
      <c r="C1251" s="529" t="s">
        <v>129</v>
      </c>
      <c r="D1251" s="529" t="s">
        <v>129</v>
      </c>
      <c r="E1251" s="529" t="s">
        <v>129</v>
      </c>
      <c r="F1251" s="529" t="s">
        <v>129</v>
      </c>
      <c r="G1251" s="529" t="s">
        <v>129</v>
      </c>
      <c r="H1251" s="529" t="s">
        <v>129</v>
      </c>
      <c r="I1251" s="529" t="s">
        <v>129</v>
      </c>
      <c r="J1251" s="529" t="s">
        <v>129</v>
      </c>
      <c r="K1251" s="529" t="s">
        <v>129</v>
      </c>
      <c r="L1251" s="1048" t="s">
        <v>129</v>
      </c>
    </row>
    <row r="1252" spans="2:12" hidden="1" outlineLevel="1" x14ac:dyDescent="0.2">
      <c r="B1252" s="1047" t="s">
        <v>129</v>
      </c>
      <c r="C1252" s="529" t="s">
        <v>129</v>
      </c>
      <c r="D1252" s="529" t="s">
        <v>129</v>
      </c>
      <c r="E1252" s="529" t="s">
        <v>129</v>
      </c>
      <c r="F1252" s="529" t="s">
        <v>129</v>
      </c>
      <c r="G1252" s="529" t="s">
        <v>129</v>
      </c>
      <c r="H1252" s="529" t="s">
        <v>129</v>
      </c>
      <c r="I1252" s="529" t="s">
        <v>129</v>
      </c>
      <c r="J1252" s="529" t="s">
        <v>129</v>
      </c>
      <c r="K1252" s="529" t="s">
        <v>129</v>
      </c>
      <c r="L1252" s="1048" t="s">
        <v>129</v>
      </c>
    </row>
    <row r="1253" spans="2:12" hidden="1" outlineLevel="1" x14ac:dyDescent="0.2">
      <c r="B1253" s="1047" t="s">
        <v>129</v>
      </c>
      <c r="C1253" s="529" t="s">
        <v>129</v>
      </c>
      <c r="D1253" s="529" t="s">
        <v>129</v>
      </c>
      <c r="E1253" s="529" t="s">
        <v>129</v>
      </c>
      <c r="F1253" s="529" t="s">
        <v>129</v>
      </c>
      <c r="G1253" s="529" t="s">
        <v>129</v>
      </c>
      <c r="H1253" s="529" t="s">
        <v>129</v>
      </c>
      <c r="I1253" s="529" t="s">
        <v>129</v>
      </c>
      <c r="J1253" s="529" t="s">
        <v>129</v>
      </c>
      <c r="K1253" s="529" t="s">
        <v>129</v>
      </c>
      <c r="L1253" s="1048" t="s">
        <v>129</v>
      </c>
    </row>
    <row r="1254" spans="2:12" hidden="1" outlineLevel="1" x14ac:dyDescent="0.2">
      <c r="B1254" s="1047" t="s">
        <v>129</v>
      </c>
      <c r="C1254" s="529" t="s">
        <v>129</v>
      </c>
      <c r="D1254" s="529" t="s">
        <v>129</v>
      </c>
      <c r="E1254" s="529" t="s">
        <v>129</v>
      </c>
      <c r="F1254" s="529" t="s">
        <v>129</v>
      </c>
      <c r="G1254" s="529" t="s">
        <v>129</v>
      </c>
      <c r="H1254" s="529" t="s">
        <v>129</v>
      </c>
      <c r="I1254" s="529" t="s">
        <v>129</v>
      </c>
      <c r="J1254" s="529" t="s">
        <v>129</v>
      </c>
      <c r="K1254" s="529" t="s">
        <v>129</v>
      </c>
      <c r="L1254" s="1048" t="s">
        <v>129</v>
      </c>
    </row>
    <row r="1255" spans="2:12" hidden="1" outlineLevel="1" x14ac:dyDescent="0.2">
      <c r="B1255" s="1047" t="s">
        <v>129</v>
      </c>
      <c r="C1255" s="529" t="s">
        <v>129</v>
      </c>
      <c r="D1255" s="529" t="s">
        <v>129</v>
      </c>
      <c r="E1255" s="529" t="s">
        <v>129</v>
      </c>
      <c r="F1255" s="529" t="s">
        <v>129</v>
      </c>
      <c r="G1255" s="529" t="s">
        <v>129</v>
      </c>
      <c r="H1255" s="529" t="s">
        <v>129</v>
      </c>
      <c r="I1255" s="529" t="s">
        <v>129</v>
      </c>
      <c r="J1255" s="529" t="s">
        <v>129</v>
      </c>
      <c r="K1255" s="529" t="s">
        <v>129</v>
      </c>
      <c r="L1255" s="1048" t="s">
        <v>129</v>
      </c>
    </row>
    <row r="1256" spans="2:12" hidden="1" outlineLevel="1" x14ac:dyDescent="0.2">
      <c r="B1256" s="1047" t="s">
        <v>129</v>
      </c>
      <c r="C1256" s="529" t="s">
        <v>129</v>
      </c>
      <c r="D1256" s="529" t="s">
        <v>129</v>
      </c>
      <c r="E1256" s="529" t="s">
        <v>129</v>
      </c>
      <c r="F1256" s="529" t="s">
        <v>129</v>
      </c>
      <c r="G1256" s="529" t="s">
        <v>129</v>
      </c>
      <c r="H1256" s="529" t="s">
        <v>129</v>
      </c>
      <c r="I1256" s="529" t="s">
        <v>129</v>
      </c>
      <c r="J1256" s="529" t="s">
        <v>129</v>
      </c>
      <c r="K1256" s="529" t="s">
        <v>129</v>
      </c>
      <c r="L1256" s="1048" t="s">
        <v>129</v>
      </c>
    </row>
    <row r="1257" spans="2:12" hidden="1" outlineLevel="1" x14ac:dyDescent="0.2">
      <c r="B1257" s="1047" t="s">
        <v>129</v>
      </c>
      <c r="C1257" s="529" t="s">
        <v>129</v>
      </c>
      <c r="D1257" s="529" t="s">
        <v>129</v>
      </c>
      <c r="E1257" s="529" t="s">
        <v>129</v>
      </c>
      <c r="F1257" s="529" t="s">
        <v>129</v>
      </c>
      <c r="G1257" s="529" t="s">
        <v>129</v>
      </c>
      <c r="H1257" s="529" t="s">
        <v>129</v>
      </c>
      <c r="I1257" s="529" t="s">
        <v>129</v>
      </c>
      <c r="J1257" s="529" t="s">
        <v>129</v>
      </c>
      <c r="K1257" s="529" t="s">
        <v>129</v>
      </c>
      <c r="L1257" s="1048" t="s">
        <v>129</v>
      </c>
    </row>
    <row r="1258" spans="2:12" hidden="1" outlineLevel="1" x14ac:dyDescent="0.2">
      <c r="B1258" s="1047" t="s">
        <v>129</v>
      </c>
      <c r="C1258" s="529" t="s">
        <v>129</v>
      </c>
      <c r="D1258" s="529" t="s">
        <v>129</v>
      </c>
      <c r="E1258" s="529" t="s">
        <v>129</v>
      </c>
      <c r="F1258" s="529" t="s">
        <v>129</v>
      </c>
      <c r="G1258" s="529" t="s">
        <v>129</v>
      </c>
      <c r="H1258" s="529" t="s">
        <v>129</v>
      </c>
      <c r="I1258" s="529" t="s">
        <v>129</v>
      </c>
      <c r="J1258" s="529" t="s">
        <v>129</v>
      </c>
      <c r="K1258" s="529" t="s">
        <v>129</v>
      </c>
      <c r="L1258" s="1048" t="s">
        <v>129</v>
      </c>
    </row>
    <row r="1259" spans="2:12" hidden="1" outlineLevel="1" x14ac:dyDescent="0.2">
      <c r="B1259" s="1047" t="s">
        <v>129</v>
      </c>
      <c r="C1259" s="529" t="s">
        <v>129</v>
      </c>
      <c r="D1259" s="529" t="s">
        <v>129</v>
      </c>
      <c r="E1259" s="529" t="s">
        <v>129</v>
      </c>
      <c r="F1259" s="529" t="s">
        <v>129</v>
      </c>
      <c r="G1259" s="529" t="s">
        <v>129</v>
      </c>
      <c r="H1259" s="529" t="s">
        <v>129</v>
      </c>
      <c r="I1259" s="529" t="s">
        <v>129</v>
      </c>
      <c r="J1259" s="529" t="s">
        <v>129</v>
      </c>
      <c r="K1259" s="529" t="s">
        <v>129</v>
      </c>
      <c r="L1259" s="1048" t="s">
        <v>129</v>
      </c>
    </row>
    <row r="1260" spans="2:12" hidden="1" outlineLevel="1" x14ac:dyDescent="0.2">
      <c r="B1260" s="1047" t="s">
        <v>129</v>
      </c>
      <c r="C1260" s="529" t="s">
        <v>129</v>
      </c>
      <c r="D1260" s="529" t="s">
        <v>129</v>
      </c>
      <c r="E1260" s="529" t="s">
        <v>129</v>
      </c>
      <c r="F1260" s="529" t="s">
        <v>129</v>
      </c>
      <c r="G1260" s="529" t="s">
        <v>129</v>
      </c>
      <c r="H1260" s="529" t="s">
        <v>129</v>
      </c>
      <c r="I1260" s="529" t="s">
        <v>129</v>
      </c>
      <c r="J1260" s="529" t="s">
        <v>129</v>
      </c>
      <c r="K1260" s="529" t="s">
        <v>129</v>
      </c>
      <c r="L1260" s="1048" t="s">
        <v>129</v>
      </c>
    </row>
    <row r="1261" spans="2:12" hidden="1" outlineLevel="1" x14ac:dyDescent="0.2">
      <c r="B1261" s="1047" t="s">
        <v>129</v>
      </c>
      <c r="C1261" s="529" t="s">
        <v>129</v>
      </c>
      <c r="D1261" s="529" t="s">
        <v>129</v>
      </c>
      <c r="E1261" s="529" t="s">
        <v>129</v>
      </c>
      <c r="F1261" s="529" t="s">
        <v>129</v>
      </c>
      <c r="G1261" s="529" t="s">
        <v>129</v>
      </c>
      <c r="H1261" s="529" t="s">
        <v>129</v>
      </c>
      <c r="I1261" s="529" t="s">
        <v>129</v>
      </c>
      <c r="J1261" s="529" t="s">
        <v>129</v>
      </c>
      <c r="K1261" s="529" t="s">
        <v>129</v>
      </c>
      <c r="L1261" s="1048" t="s">
        <v>129</v>
      </c>
    </row>
    <row r="1262" spans="2:12" hidden="1" outlineLevel="1" x14ac:dyDescent="0.2">
      <c r="B1262" s="1047" t="s">
        <v>129</v>
      </c>
      <c r="C1262" s="529" t="s">
        <v>129</v>
      </c>
      <c r="D1262" s="529" t="s">
        <v>129</v>
      </c>
      <c r="E1262" s="529" t="s">
        <v>129</v>
      </c>
      <c r="F1262" s="529" t="s">
        <v>129</v>
      </c>
      <c r="G1262" s="529" t="s">
        <v>129</v>
      </c>
      <c r="H1262" s="529" t="s">
        <v>129</v>
      </c>
      <c r="I1262" s="529" t="s">
        <v>129</v>
      </c>
      <c r="J1262" s="529" t="s">
        <v>129</v>
      </c>
      <c r="K1262" s="529" t="s">
        <v>129</v>
      </c>
      <c r="L1262" s="1048" t="s">
        <v>129</v>
      </c>
    </row>
    <row r="1263" spans="2:12" hidden="1" outlineLevel="1" x14ac:dyDescent="0.2">
      <c r="B1263" s="1047" t="s">
        <v>129</v>
      </c>
      <c r="C1263" s="529" t="s">
        <v>129</v>
      </c>
      <c r="D1263" s="529" t="s">
        <v>129</v>
      </c>
      <c r="E1263" s="529" t="s">
        <v>129</v>
      </c>
      <c r="F1263" s="529" t="s">
        <v>129</v>
      </c>
      <c r="G1263" s="529" t="s">
        <v>129</v>
      </c>
      <c r="H1263" s="529" t="s">
        <v>129</v>
      </c>
      <c r="I1263" s="529" t="s">
        <v>129</v>
      </c>
      <c r="J1263" s="529" t="s">
        <v>129</v>
      </c>
      <c r="K1263" s="529" t="s">
        <v>129</v>
      </c>
      <c r="L1263" s="1048" t="s">
        <v>129</v>
      </c>
    </row>
    <row r="1264" spans="2:12" hidden="1" outlineLevel="1" x14ac:dyDescent="0.2">
      <c r="B1264" s="1047" t="s">
        <v>129</v>
      </c>
      <c r="C1264" s="529" t="s">
        <v>129</v>
      </c>
      <c r="D1264" s="529" t="s">
        <v>129</v>
      </c>
      <c r="E1264" s="529" t="s">
        <v>129</v>
      </c>
      <c r="F1264" s="529" t="s">
        <v>129</v>
      </c>
      <c r="G1264" s="529" t="s">
        <v>129</v>
      </c>
      <c r="H1264" s="529" t="s">
        <v>129</v>
      </c>
      <c r="I1264" s="529" t="s">
        <v>129</v>
      </c>
      <c r="J1264" s="529" t="s">
        <v>129</v>
      </c>
      <c r="K1264" s="529" t="s">
        <v>129</v>
      </c>
      <c r="L1264" s="1048" t="s">
        <v>129</v>
      </c>
    </row>
    <row r="1265" spans="2:12" hidden="1" outlineLevel="1" x14ac:dyDescent="0.2">
      <c r="B1265" s="1047" t="s">
        <v>129</v>
      </c>
      <c r="C1265" s="529" t="s">
        <v>129</v>
      </c>
      <c r="D1265" s="529" t="s">
        <v>129</v>
      </c>
      <c r="E1265" s="529" t="s">
        <v>129</v>
      </c>
      <c r="F1265" s="529" t="s">
        <v>129</v>
      </c>
      <c r="G1265" s="529" t="s">
        <v>129</v>
      </c>
      <c r="H1265" s="529" t="s">
        <v>129</v>
      </c>
      <c r="I1265" s="529" t="s">
        <v>129</v>
      </c>
      <c r="J1265" s="529" t="s">
        <v>129</v>
      </c>
      <c r="K1265" s="529" t="s">
        <v>129</v>
      </c>
      <c r="L1265" s="1048" t="s">
        <v>129</v>
      </c>
    </row>
    <row r="1266" spans="2:12" hidden="1" outlineLevel="1" x14ac:dyDescent="0.2">
      <c r="B1266" s="1047" t="s">
        <v>129</v>
      </c>
      <c r="C1266" s="529" t="s">
        <v>129</v>
      </c>
      <c r="D1266" s="529" t="s">
        <v>129</v>
      </c>
      <c r="E1266" s="529" t="s">
        <v>129</v>
      </c>
      <c r="F1266" s="529" t="s">
        <v>129</v>
      </c>
      <c r="G1266" s="529" t="s">
        <v>129</v>
      </c>
      <c r="H1266" s="529" t="s">
        <v>129</v>
      </c>
      <c r="I1266" s="529" t="s">
        <v>129</v>
      </c>
      <c r="J1266" s="529" t="s">
        <v>129</v>
      </c>
      <c r="K1266" s="529" t="s">
        <v>129</v>
      </c>
      <c r="L1266" s="1048" t="s">
        <v>129</v>
      </c>
    </row>
    <row r="1267" spans="2:12" hidden="1" outlineLevel="1" x14ac:dyDescent="0.2">
      <c r="B1267" s="1047" t="s">
        <v>129</v>
      </c>
      <c r="C1267" s="529" t="s">
        <v>129</v>
      </c>
      <c r="D1267" s="529" t="s">
        <v>129</v>
      </c>
      <c r="E1267" s="529" t="s">
        <v>129</v>
      </c>
      <c r="F1267" s="529" t="s">
        <v>129</v>
      </c>
      <c r="G1267" s="529" t="s">
        <v>129</v>
      </c>
      <c r="H1267" s="529" t="s">
        <v>129</v>
      </c>
      <c r="I1267" s="529" t="s">
        <v>129</v>
      </c>
      <c r="J1267" s="529" t="s">
        <v>129</v>
      </c>
      <c r="K1267" s="529" t="s">
        <v>129</v>
      </c>
      <c r="L1267" s="1048" t="s">
        <v>129</v>
      </c>
    </row>
    <row r="1268" spans="2:12" hidden="1" outlineLevel="1" x14ac:dyDescent="0.2">
      <c r="B1268" s="1047" t="s">
        <v>129</v>
      </c>
      <c r="C1268" s="529" t="s">
        <v>129</v>
      </c>
      <c r="D1268" s="529" t="s">
        <v>129</v>
      </c>
      <c r="E1268" s="529" t="s">
        <v>129</v>
      </c>
      <c r="F1268" s="529" t="s">
        <v>129</v>
      </c>
      <c r="G1268" s="529" t="s">
        <v>129</v>
      </c>
      <c r="H1268" s="529" t="s">
        <v>129</v>
      </c>
      <c r="I1268" s="529" t="s">
        <v>129</v>
      </c>
      <c r="J1268" s="529" t="s">
        <v>129</v>
      </c>
      <c r="K1268" s="529" t="s">
        <v>129</v>
      </c>
      <c r="L1268" s="1048" t="s">
        <v>129</v>
      </c>
    </row>
    <row r="1269" spans="2:12" hidden="1" outlineLevel="1" x14ac:dyDescent="0.2">
      <c r="B1269" s="1047" t="s">
        <v>129</v>
      </c>
      <c r="C1269" s="529" t="s">
        <v>129</v>
      </c>
      <c r="D1269" s="529" t="s">
        <v>129</v>
      </c>
      <c r="E1269" s="529" t="s">
        <v>129</v>
      </c>
      <c r="F1269" s="529" t="s">
        <v>129</v>
      </c>
      <c r="G1269" s="529" t="s">
        <v>129</v>
      </c>
      <c r="H1269" s="529" t="s">
        <v>129</v>
      </c>
      <c r="I1269" s="529" t="s">
        <v>129</v>
      </c>
      <c r="J1269" s="529" t="s">
        <v>129</v>
      </c>
      <c r="K1269" s="529" t="s">
        <v>129</v>
      </c>
      <c r="L1269" s="1048" t="s">
        <v>129</v>
      </c>
    </row>
    <row r="1270" spans="2:12" hidden="1" outlineLevel="1" x14ac:dyDescent="0.2">
      <c r="B1270" s="1047" t="s">
        <v>129</v>
      </c>
      <c r="C1270" s="529" t="s">
        <v>129</v>
      </c>
      <c r="D1270" s="529" t="s">
        <v>129</v>
      </c>
      <c r="E1270" s="529" t="s">
        <v>129</v>
      </c>
      <c r="F1270" s="529" t="s">
        <v>129</v>
      </c>
      <c r="G1270" s="529" t="s">
        <v>129</v>
      </c>
      <c r="H1270" s="529" t="s">
        <v>129</v>
      </c>
      <c r="I1270" s="529" t="s">
        <v>129</v>
      </c>
      <c r="J1270" s="529" t="s">
        <v>129</v>
      </c>
      <c r="K1270" s="529" t="s">
        <v>129</v>
      </c>
      <c r="L1270" s="1048" t="s">
        <v>129</v>
      </c>
    </row>
    <row r="1271" spans="2:12" hidden="1" outlineLevel="1" x14ac:dyDescent="0.2">
      <c r="B1271" s="1047" t="s">
        <v>129</v>
      </c>
      <c r="C1271" s="529" t="s">
        <v>129</v>
      </c>
      <c r="D1271" s="529" t="s">
        <v>129</v>
      </c>
      <c r="E1271" s="529" t="s">
        <v>129</v>
      </c>
      <c r="F1271" s="529" t="s">
        <v>129</v>
      </c>
      <c r="G1271" s="529" t="s">
        <v>129</v>
      </c>
      <c r="H1271" s="529" t="s">
        <v>129</v>
      </c>
      <c r="I1271" s="529" t="s">
        <v>129</v>
      </c>
      <c r="J1271" s="529" t="s">
        <v>129</v>
      </c>
      <c r="K1271" s="529" t="s">
        <v>129</v>
      </c>
      <c r="L1271" s="1048" t="s">
        <v>129</v>
      </c>
    </row>
    <row r="1272" spans="2:12" hidden="1" outlineLevel="1" x14ac:dyDescent="0.2">
      <c r="B1272" s="1047" t="s">
        <v>129</v>
      </c>
      <c r="C1272" s="529" t="s">
        <v>129</v>
      </c>
      <c r="D1272" s="529" t="s">
        <v>129</v>
      </c>
      <c r="E1272" s="529" t="s">
        <v>129</v>
      </c>
      <c r="F1272" s="529" t="s">
        <v>129</v>
      </c>
      <c r="G1272" s="529" t="s">
        <v>129</v>
      </c>
      <c r="H1272" s="529" t="s">
        <v>129</v>
      </c>
      <c r="I1272" s="529" t="s">
        <v>129</v>
      </c>
      <c r="J1272" s="529" t="s">
        <v>129</v>
      </c>
      <c r="K1272" s="529" t="s">
        <v>129</v>
      </c>
      <c r="L1272" s="1048" t="s">
        <v>129</v>
      </c>
    </row>
    <row r="1273" spans="2:12" hidden="1" outlineLevel="1" x14ac:dyDescent="0.2">
      <c r="B1273" s="1047" t="s">
        <v>129</v>
      </c>
      <c r="C1273" s="529" t="s">
        <v>129</v>
      </c>
      <c r="D1273" s="529" t="s">
        <v>129</v>
      </c>
      <c r="E1273" s="529" t="s">
        <v>129</v>
      </c>
      <c r="F1273" s="529" t="s">
        <v>129</v>
      </c>
      <c r="G1273" s="529" t="s">
        <v>129</v>
      </c>
      <c r="H1273" s="529" t="s">
        <v>129</v>
      </c>
      <c r="I1273" s="529" t="s">
        <v>129</v>
      </c>
      <c r="J1273" s="529" t="s">
        <v>129</v>
      </c>
      <c r="K1273" s="529" t="s">
        <v>129</v>
      </c>
      <c r="L1273" s="1048" t="s">
        <v>129</v>
      </c>
    </row>
    <row r="1274" spans="2:12" hidden="1" outlineLevel="1" x14ac:dyDescent="0.2">
      <c r="B1274" s="1047" t="s">
        <v>129</v>
      </c>
      <c r="C1274" s="529" t="s">
        <v>129</v>
      </c>
      <c r="D1274" s="529" t="s">
        <v>129</v>
      </c>
      <c r="E1274" s="529" t="s">
        <v>129</v>
      </c>
      <c r="F1274" s="529" t="s">
        <v>129</v>
      </c>
      <c r="G1274" s="529" t="s">
        <v>129</v>
      </c>
      <c r="H1274" s="529" t="s">
        <v>129</v>
      </c>
      <c r="I1274" s="529" t="s">
        <v>129</v>
      </c>
      <c r="J1274" s="529" t="s">
        <v>129</v>
      </c>
      <c r="K1274" s="529" t="s">
        <v>129</v>
      </c>
      <c r="L1274" s="1048" t="s">
        <v>129</v>
      </c>
    </row>
    <row r="1275" spans="2:12" hidden="1" outlineLevel="1" x14ac:dyDescent="0.2">
      <c r="B1275" s="1047" t="s">
        <v>129</v>
      </c>
      <c r="C1275" s="529" t="s">
        <v>129</v>
      </c>
      <c r="D1275" s="529" t="s">
        <v>129</v>
      </c>
      <c r="E1275" s="529" t="s">
        <v>129</v>
      </c>
      <c r="F1275" s="529" t="s">
        <v>129</v>
      </c>
      <c r="G1275" s="529" t="s">
        <v>129</v>
      </c>
      <c r="H1275" s="529" t="s">
        <v>129</v>
      </c>
      <c r="I1275" s="529" t="s">
        <v>129</v>
      </c>
      <c r="J1275" s="529" t="s">
        <v>129</v>
      </c>
      <c r="K1275" s="529" t="s">
        <v>129</v>
      </c>
      <c r="L1275" s="1048" t="s">
        <v>129</v>
      </c>
    </row>
    <row r="1276" spans="2:12" hidden="1" outlineLevel="1" x14ac:dyDescent="0.2">
      <c r="B1276" s="1047" t="s">
        <v>129</v>
      </c>
      <c r="C1276" s="529" t="s">
        <v>129</v>
      </c>
      <c r="D1276" s="529" t="s">
        <v>129</v>
      </c>
      <c r="E1276" s="529" t="s">
        <v>129</v>
      </c>
      <c r="F1276" s="529" t="s">
        <v>129</v>
      </c>
      <c r="G1276" s="529" t="s">
        <v>129</v>
      </c>
      <c r="H1276" s="529" t="s">
        <v>129</v>
      </c>
      <c r="I1276" s="529" t="s">
        <v>129</v>
      </c>
      <c r="J1276" s="529" t="s">
        <v>129</v>
      </c>
      <c r="K1276" s="529" t="s">
        <v>129</v>
      </c>
      <c r="L1276" s="1048" t="s">
        <v>129</v>
      </c>
    </row>
    <row r="1277" spans="2:12" hidden="1" outlineLevel="1" x14ac:dyDescent="0.2">
      <c r="B1277" s="1047" t="s">
        <v>129</v>
      </c>
      <c r="C1277" s="529" t="s">
        <v>129</v>
      </c>
      <c r="D1277" s="529" t="s">
        <v>129</v>
      </c>
      <c r="E1277" s="529" t="s">
        <v>129</v>
      </c>
      <c r="F1277" s="529" t="s">
        <v>129</v>
      </c>
      <c r="G1277" s="529" t="s">
        <v>129</v>
      </c>
      <c r="H1277" s="529" t="s">
        <v>129</v>
      </c>
      <c r="I1277" s="529" t="s">
        <v>129</v>
      </c>
      <c r="J1277" s="529" t="s">
        <v>129</v>
      </c>
      <c r="K1277" s="529" t="s">
        <v>129</v>
      </c>
      <c r="L1277" s="1048" t="s">
        <v>129</v>
      </c>
    </row>
    <row r="1278" spans="2:12" hidden="1" outlineLevel="1" x14ac:dyDescent="0.2">
      <c r="B1278" s="1047" t="s">
        <v>129</v>
      </c>
      <c r="C1278" s="529" t="s">
        <v>129</v>
      </c>
      <c r="D1278" s="529" t="s">
        <v>129</v>
      </c>
      <c r="E1278" s="529" t="s">
        <v>129</v>
      </c>
      <c r="F1278" s="529" t="s">
        <v>129</v>
      </c>
      <c r="G1278" s="529" t="s">
        <v>129</v>
      </c>
      <c r="H1278" s="529" t="s">
        <v>129</v>
      </c>
      <c r="I1278" s="529" t="s">
        <v>129</v>
      </c>
      <c r="J1278" s="529" t="s">
        <v>129</v>
      </c>
      <c r="K1278" s="529" t="s">
        <v>129</v>
      </c>
      <c r="L1278" s="1048" t="s">
        <v>129</v>
      </c>
    </row>
    <row r="1279" spans="2:12" hidden="1" outlineLevel="1" x14ac:dyDescent="0.2">
      <c r="B1279" s="1047" t="s">
        <v>129</v>
      </c>
      <c r="C1279" s="529" t="s">
        <v>129</v>
      </c>
      <c r="D1279" s="529" t="s">
        <v>129</v>
      </c>
      <c r="E1279" s="529" t="s">
        <v>129</v>
      </c>
      <c r="F1279" s="529" t="s">
        <v>129</v>
      </c>
      <c r="G1279" s="529" t="s">
        <v>129</v>
      </c>
      <c r="H1279" s="529" t="s">
        <v>129</v>
      </c>
      <c r="I1279" s="529" t="s">
        <v>129</v>
      </c>
      <c r="J1279" s="529" t="s">
        <v>129</v>
      </c>
      <c r="K1279" s="529" t="s">
        <v>129</v>
      </c>
      <c r="L1279" s="1048" t="s">
        <v>129</v>
      </c>
    </row>
    <row r="1280" spans="2:12" hidden="1" outlineLevel="1" x14ac:dyDescent="0.2">
      <c r="B1280" s="1047" t="s">
        <v>129</v>
      </c>
      <c r="C1280" s="529" t="s">
        <v>129</v>
      </c>
      <c r="D1280" s="529" t="s">
        <v>129</v>
      </c>
      <c r="E1280" s="529" t="s">
        <v>129</v>
      </c>
      <c r="F1280" s="529" t="s">
        <v>129</v>
      </c>
      <c r="G1280" s="529" t="s">
        <v>129</v>
      </c>
      <c r="H1280" s="529" t="s">
        <v>129</v>
      </c>
      <c r="I1280" s="529" t="s">
        <v>129</v>
      </c>
      <c r="J1280" s="529" t="s">
        <v>129</v>
      </c>
      <c r="K1280" s="529" t="s">
        <v>129</v>
      </c>
      <c r="L1280" s="1048" t="s">
        <v>129</v>
      </c>
    </row>
    <row r="1281" spans="2:12" hidden="1" outlineLevel="1" x14ac:dyDescent="0.2">
      <c r="B1281" s="1047" t="s">
        <v>129</v>
      </c>
      <c r="C1281" s="529" t="s">
        <v>129</v>
      </c>
      <c r="D1281" s="529" t="s">
        <v>129</v>
      </c>
      <c r="E1281" s="529" t="s">
        <v>129</v>
      </c>
      <c r="F1281" s="529" t="s">
        <v>129</v>
      </c>
      <c r="G1281" s="529" t="s">
        <v>129</v>
      </c>
      <c r="H1281" s="529" t="s">
        <v>129</v>
      </c>
      <c r="I1281" s="529" t="s">
        <v>129</v>
      </c>
      <c r="J1281" s="529" t="s">
        <v>129</v>
      </c>
      <c r="K1281" s="529" t="s">
        <v>129</v>
      </c>
      <c r="L1281" s="1048" t="s">
        <v>129</v>
      </c>
    </row>
    <row r="1282" spans="2:12" hidden="1" outlineLevel="1" x14ac:dyDescent="0.2">
      <c r="B1282" s="1047" t="s">
        <v>129</v>
      </c>
      <c r="C1282" s="529" t="s">
        <v>129</v>
      </c>
      <c r="D1282" s="529" t="s">
        <v>129</v>
      </c>
      <c r="E1282" s="529" t="s">
        <v>129</v>
      </c>
      <c r="F1282" s="529" t="s">
        <v>129</v>
      </c>
      <c r="G1282" s="529" t="s">
        <v>129</v>
      </c>
      <c r="H1282" s="529" t="s">
        <v>129</v>
      </c>
      <c r="I1282" s="529" t="s">
        <v>129</v>
      </c>
      <c r="J1282" s="529" t="s">
        <v>129</v>
      </c>
      <c r="K1282" s="529" t="s">
        <v>129</v>
      </c>
      <c r="L1282" s="1048" t="s">
        <v>129</v>
      </c>
    </row>
    <row r="1283" spans="2:12" hidden="1" outlineLevel="1" x14ac:dyDescent="0.2">
      <c r="B1283" s="1047" t="s">
        <v>129</v>
      </c>
      <c r="C1283" s="529" t="s">
        <v>129</v>
      </c>
      <c r="D1283" s="529" t="s">
        <v>129</v>
      </c>
      <c r="E1283" s="529" t="s">
        <v>129</v>
      </c>
      <c r="F1283" s="529" t="s">
        <v>129</v>
      </c>
      <c r="G1283" s="529" t="s">
        <v>129</v>
      </c>
      <c r="H1283" s="529" t="s">
        <v>129</v>
      </c>
      <c r="I1283" s="529" t="s">
        <v>129</v>
      </c>
      <c r="J1283" s="529" t="s">
        <v>129</v>
      </c>
      <c r="K1283" s="529" t="s">
        <v>129</v>
      </c>
      <c r="L1283" s="1048" t="s">
        <v>129</v>
      </c>
    </row>
    <row r="1284" spans="2:12" hidden="1" outlineLevel="1" x14ac:dyDescent="0.2">
      <c r="B1284" s="1047" t="s">
        <v>129</v>
      </c>
      <c r="C1284" s="529" t="s">
        <v>129</v>
      </c>
      <c r="D1284" s="529" t="s">
        <v>129</v>
      </c>
      <c r="E1284" s="529" t="s">
        <v>129</v>
      </c>
      <c r="F1284" s="529" t="s">
        <v>129</v>
      </c>
      <c r="G1284" s="529" t="s">
        <v>129</v>
      </c>
      <c r="H1284" s="529" t="s">
        <v>129</v>
      </c>
      <c r="I1284" s="529" t="s">
        <v>129</v>
      </c>
      <c r="J1284" s="529" t="s">
        <v>129</v>
      </c>
      <c r="K1284" s="529" t="s">
        <v>129</v>
      </c>
      <c r="L1284" s="1048" t="s">
        <v>129</v>
      </c>
    </row>
    <row r="1285" spans="2:12" hidden="1" outlineLevel="1" x14ac:dyDescent="0.2">
      <c r="B1285" s="1047" t="s">
        <v>129</v>
      </c>
      <c r="C1285" s="529" t="s">
        <v>129</v>
      </c>
      <c r="D1285" s="529" t="s">
        <v>129</v>
      </c>
      <c r="E1285" s="529" t="s">
        <v>129</v>
      </c>
      <c r="F1285" s="529" t="s">
        <v>129</v>
      </c>
      <c r="G1285" s="529" t="s">
        <v>129</v>
      </c>
      <c r="H1285" s="529" t="s">
        <v>129</v>
      </c>
      <c r="I1285" s="529" t="s">
        <v>129</v>
      </c>
      <c r="J1285" s="529" t="s">
        <v>129</v>
      </c>
      <c r="K1285" s="529" t="s">
        <v>129</v>
      </c>
      <c r="L1285" s="1048" t="s">
        <v>129</v>
      </c>
    </row>
    <row r="1286" spans="2:12" hidden="1" outlineLevel="1" x14ac:dyDescent="0.2">
      <c r="B1286" s="1047" t="s">
        <v>129</v>
      </c>
      <c r="C1286" s="529" t="s">
        <v>129</v>
      </c>
      <c r="D1286" s="529" t="s">
        <v>129</v>
      </c>
      <c r="E1286" s="529" t="s">
        <v>129</v>
      </c>
      <c r="F1286" s="529" t="s">
        <v>129</v>
      </c>
      <c r="G1286" s="529" t="s">
        <v>129</v>
      </c>
      <c r="H1286" s="529" t="s">
        <v>129</v>
      </c>
      <c r="I1286" s="529" t="s">
        <v>129</v>
      </c>
      <c r="J1286" s="529" t="s">
        <v>129</v>
      </c>
      <c r="K1286" s="529" t="s">
        <v>129</v>
      </c>
      <c r="L1286" s="1048" t="s">
        <v>129</v>
      </c>
    </row>
    <row r="1287" spans="2:12" hidden="1" outlineLevel="1" x14ac:dyDescent="0.2">
      <c r="B1287" s="1047" t="s">
        <v>129</v>
      </c>
      <c r="C1287" s="529" t="s">
        <v>129</v>
      </c>
      <c r="D1287" s="529" t="s">
        <v>129</v>
      </c>
      <c r="E1287" s="529" t="s">
        <v>129</v>
      </c>
      <c r="F1287" s="529" t="s">
        <v>129</v>
      </c>
      <c r="G1287" s="529" t="s">
        <v>129</v>
      </c>
      <c r="H1287" s="529" t="s">
        <v>129</v>
      </c>
      <c r="I1287" s="529" t="s">
        <v>129</v>
      </c>
      <c r="J1287" s="529" t="s">
        <v>129</v>
      </c>
      <c r="K1287" s="529" t="s">
        <v>129</v>
      </c>
      <c r="L1287" s="1048" t="s">
        <v>129</v>
      </c>
    </row>
    <row r="1288" spans="2:12" hidden="1" outlineLevel="1" x14ac:dyDescent="0.2">
      <c r="B1288" s="1047" t="s">
        <v>129</v>
      </c>
      <c r="C1288" s="529" t="s">
        <v>129</v>
      </c>
      <c r="D1288" s="529" t="s">
        <v>129</v>
      </c>
      <c r="E1288" s="529" t="s">
        <v>129</v>
      </c>
      <c r="F1288" s="529" t="s">
        <v>129</v>
      </c>
      <c r="G1288" s="529" t="s">
        <v>129</v>
      </c>
      <c r="H1288" s="529" t="s">
        <v>129</v>
      </c>
      <c r="I1288" s="529" t="s">
        <v>129</v>
      </c>
      <c r="J1288" s="529" t="s">
        <v>129</v>
      </c>
      <c r="K1288" s="529" t="s">
        <v>129</v>
      </c>
      <c r="L1288" s="1048" t="s">
        <v>129</v>
      </c>
    </row>
    <row r="1289" spans="2:12" hidden="1" outlineLevel="1" x14ac:dyDescent="0.2">
      <c r="B1289" s="1047" t="s">
        <v>129</v>
      </c>
      <c r="C1289" s="529" t="s">
        <v>129</v>
      </c>
      <c r="D1289" s="529" t="s">
        <v>129</v>
      </c>
      <c r="E1289" s="529" t="s">
        <v>129</v>
      </c>
      <c r="F1289" s="529" t="s">
        <v>129</v>
      </c>
      <c r="G1289" s="529" t="s">
        <v>129</v>
      </c>
      <c r="H1289" s="529" t="s">
        <v>129</v>
      </c>
      <c r="I1289" s="529" t="s">
        <v>129</v>
      </c>
      <c r="J1289" s="529" t="s">
        <v>129</v>
      </c>
      <c r="K1289" s="529" t="s">
        <v>129</v>
      </c>
      <c r="L1289" s="1048" t="s">
        <v>129</v>
      </c>
    </row>
    <row r="1290" spans="2:12" hidden="1" outlineLevel="1" x14ac:dyDescent="0.2">
      <c r="B1290" s="1047" t="s">
        <v>129</v>
      </c>
      <c r="C1290" s="529" t="s">
        <v>129</v>
      </c>
      <c r="D1290" s="529" t="s">
        <v>129</v>
      </c>
      <c r="E1290" s="529" t="s">
        <v>129</v>
      </c>
      <c r="F1290" s="529" t="s">
        <v>129</v>
      </c>
      <c r="G1290" s="529" t="s">
        <v>129</v>
      </c>
      <c r="H1290" s="529" t="s">
        <v>129</v>
      </c>
      <c r="I1290" s="529" t="s">
        <v>129</v>
      </c>
      <c r="J1290" s="529" t="s">
        <v>129</v>
      </c>
      <c r="K1290" s="529" t="s">
        <v>129</v>
      </c>
      <c r="L1290" s="1048" t="s">
        <v>129</v>
      </c>
    </row>
    <row r="1291" spans="2:12" hidden="1" outlineLevel="1" x14ac:dyDescent="0.2">
      <c r="B1291" s="1047" t="s">
        <v>129</v>
      </c>
      <c r="C1291" s="529" t="s">
        <v>129</v>
      </c>
      <c r="D1291" s="529" t="s">
        <v>129</v>
      </c>
      <c r="E1291" s="529" t="s">
        <v>129</v>
      </c>
      <c r="F1291" s="529" t="s">
        <v>129</v>
      </c>
      <c r="G1291" s="529" t="s">
        <v>129</v>
      </c>
      <c r="H1291" s="529" t="s">
        <v>129</v>
      </c>
      <c r="I1291" s="529" t="s">
        <v>129</v>
      </c>
      <c r="J1291" s="529" t="s">
        <v>129</v>
      </c>
      <c r="K1291" s="529" t="s">
        <v>129</v>
      </c>
      <c r="L1291" s="1048" t="s">
        <v>129</v>
      </c>
    </row>
    <row r="1292" spans="2:12" hidden="1" outlineLevel="1" x14ac:dyDescent="0.2">
      <c r="B1292" s="1047" t="s">
        <v>129</v>
      </c>
      <c r="C1292" s="529" t="s">
        <v>129</v>
      </c>
      <c r="D1292" s="529" t="s">
        <v>129</v>
      </c>
      <c r="E1292" s="529" t="s">
        <v>129</v>
      </c>
      <c r="F1292" s="529" t="s">
        <v>129</v>
      </c>
      <c r="G1292" s="529" t="s">
        <v>129</v>
      </c>
      <c r="H1292" s="529" t="s">
        <v>129</v>
      </c>
      <c r="I1292" s="529" t="s">
        <v>129</v>
      </c>
      <c r="J1292" s="529" t="s">
        <v>129</v>
      </c>
      <c r="K1292" s="529" t="s">
        <v>129</v>
      </c>
      <c r="L1292" s="1048" t="s">
        <v>129</v>
      </c>
    </row>
    <row r="1293" spans="2:12" hidden="1" outlineLevel="1" x14ac:dyDescent="0.2">
      <c r="B1293" s="1047" t="s">
        <v>129</v>
      </c>
      <c r="C1293" s="529" t="s">
        <v>129</v>
      </c>
      <c r="D1293" s="529" t="s">
        <v>129</v>
      </c>
      <c r="E1293" s="529" t="s">
        <v>129</v>
      </c>
      <c r="F1293" s="529" t="s">
        <v>129</v>
      </c>
      <c r="G1293" s="529" t="s">
        <v>129</v>
      </c>
      <c r="H1293" s="529" t="s">
        <v>129</v>
      </c>
      <c r="I1293" s="529" t="s">
        <v>129</v>
      </c>
      <c r="J1293" s="529" t="s">
        <v>129</v>
      </c>
      <c r="K1293" s="529" t="s">
        <v>129</v>
      </c>
      <c r="L1293" s="1048" t="s">
        <v>129</v>
      </c>
    </row>
    <row r="1294" spans="2:12" hidden="1" outlineLevel="1" x14ac:dyDescent="0.2">
      <c r="B1294" s="1047" t="s">
        <v>129</v>
      </c>
      <c r="C1294" s="529" t="s">
        <v>129</v>
      </c>
      <c r="D1294" s="529" t="s">
        <v>129</v>
      </c>
      <c r="E1294" s="529" t="s">
        <v>129</v>
      </c>
      <c r="F1294" s="529" t="s">
        <v>129</v>
      </c>
      <c r="G1294" s="529" t="s">
        <v>129</v>
      </c>
      <c r="H1294" s="529" t="s">
        <v>129</v>
      </c>
      <c r="I1294" s="529" t="s">
        <v>129</v>
      </c>
      <c r="J1294" s="529" t="s">
        <v>129</v>
      </c>
      <c r="K1294" s="529" t="s">
        <v>129</v>
      </c>
      <c r="L1294" s="1048" t="s">
        <v>129</v>
      </c>
    </row>
    <row r="1295" spans="2:12" hidden="1" outlineLevel="1" x14ac:dyDescent="0.2">
      <c r="B1295" s="1047" t="s">
        <v>129</v>
      </c>
      <c r="C1295" s="529" t="s">
        <v>129</v>
      </c>
      <c r="D1295" s="529" t="s">
        <v>129</v>
      </c>
      <c r="E1295" s="529" t="s">
        <v>129</v>
      </c>
      <c r="F1295" s="529" t="s">
        <v>129</v>
      </c>
      <c r="G1295" s="529" t="s">
        <v>129</v>
      </c>
      <c r="H1295" s="529" t="s">
        <v>129</v>
      </c>
      <c r="I1295" s="529" t="s">
        <v>129</v>
      </c>
      <c r="J1295" s="529" t="s">
        <v>129</v>
      </c>
      <c r="K1295" s="529" t="s">
        <v>129</v>
      </c>
      <c r="L1295" s="1048" t="s">
        <v>129</v>
      </c>
    </row>
    <row r="1296" spans="2:12" hidden="1" outlineLevel="1" x14ac:dyDescent="0.2">
      <c r="B1296" s="1047" t="s">
        <v>129</v>
      </c>
      <c r="C1296" s="529" t="s">
        <v>129</v>
      </c>
      <c r="D1296" s="529" t="s">
        <v>129</v>
      </c>
      <c r="E1296" s="529" t="s">
        <v>129</v>
      </c>
      <c r="F1296" s="529" t="s">
        <v>129</v>
      </c>
      <c r="G1296" s="529" t="s">
        <v>129</v>
      </c>
      <c r="H1296" s="529" t="s">
        <v>129</v>
      </c>
      <c r="I1296" s="529" t="s">
        <v>129</v>
      </c>
      <c r="J1296" s="529" t="s">
        <v>129</v>
      </c>
      <c r="K1296" s="529" t="s">
        <v>129</v>
      </c>
      <c r="L1296" s="1048" t="s">
        <v>129</v>
      </c>
    </row>
    <row r="1297" spans="2:12" hidden="1" outlineLevel="1" x14ac:dyDescent="0.2">
      <c r="B1297" s="1047" t="s">
        <v>129</v>
      </c>
      <c r="C1297" s="529" t="s">
        <v>129</v>
      </c>
      <c r="D1297" s="529" t="s">
        <v>129</v>
      </c>
      <c r="E1297" s="529" t="s">
        <v>129</v>
      </c>
      <c r="F1297" s="529" t="s">
        <v>129</v>
      </c>
      <c r="G1297" s="529" t="s">
        <v>129</v>
      </c>
      <c r="H1297" s="529" t="s">
        <v>129</v>
      </c>
      <c r="I1297" s="529" t="s">
        <v>129</v>
      </c>
      <c r="J1297" s="529" t="s">
        <v>129</v>
      </c>
      <c r="K1297" s="529" t="s">
        <v>129</v>
      </c>
      <c r="L1297" s="1048" t="s">
        <v>129</v>
      </c>
    </row>
    <row r="1298" spans="2:12" hidden="1" outlineLevel="1" x14ac:dyDescent="0.2">
      <c r="B1298" s="1047" t="s">
        <v>129</v>
      </c>
      <c r="C1298" s="529" t="s">
        <v>129</v>
      </c>
      <c r="D1298" s="529" t="s">
        <v>129</v>
      </c>
      <c r="E1298" s="529" t="s">
        <v>129</v>
      </c>
      <c r="F1298" s="529" t="s">
        <v>129</v>
      </c>
      <c r="G1298" s="529" t="s">
        <v>129</v>
      </c>
      <c r="H1298" s="529" t="s">
        <v>129</v>
      </c>
      <c r="I1298" s="529" t="s">
        <v>129</v>
      </c>
      <c r="J1298" s="529" t="s">
        <v>129</v>
      </c>
      <c r="K1298" s="529" t="s">
        <v>129</v>
      </c>
      <c r="L1298" s="1048" t="s">
        <v>129</v>
      </c>
    </row>
    <row r="1299" spans="2:12" hidden="1" outlineLevel="1" x14ac:dyDescent="0.2">
      <c r="B1299" s="1047" t="s">
        <v>129</v>
      </c>
      <c r="C1299" s="529" t="s">
        <v>129</v>
      </c>
      <c r="D1299" s="529" t="s">
        <v>129</v>
      </c>
      <c r="E1299" s="529" t="s">
        <v>129</v>
      </c>
      <c r="F1299" s="529" t="s">
        <v>129</v>
      </c>
      <c r="G1299" s="529" t="s">
        <v>129</v>
      </c>
      <c r="H1299" s="529" t="s">
        <v>129</v>
      </c>
      <c r="I1299" s="529" t="s">
        <v>129</v>
      </c>
      <c r="J1299" s="529" t="s">
        <v>129</v>
      </c>
      <c r="K1299" s="529" t="s">
        <v>129</v>
      </c>
      <c r="L1299" s="1048" t="s">
        <v>129</v>
      </c>
    </row>
    <row r="1300" spans="2:12" hidden="1" outlineLevel="1" x14ac:dyDescent="0.2">
      <c r="B1300" s="1047" t="s">
        <v>129</v>
      </c>
      <c r="C1300" s="529" t="s">
        <v>129</v>
      </c>
      <c r="D1300" s="529" t="s">
        <v>129</v>
      </c>
      <c r="E1300" s="529" t="s">
        <v>129</v>
      </c>
      <c r="F1300" s="529" t="s">
        <v>129</v>
      </c>
      <c r="G1300" s="529" t="s">
        <v>129</v>
      </c>
      <c r="H1300" s="529" t="s">
        <v>129</v>
      </c>
      <c r="I1300" s="529" t="s">
        <v>129</v>
      </c>
      <c r="J1300" s="529" t="s">
        <v>129</v>
      </c>
      <c r="K1300" s="529" t="s">
        <v>129</v>
      </c>
      <c r="L1300" s="1048" t="s">
        <v>129</v>
      </c>
    </row>
    <row r="1301" spans="2:12" hidden="1" outlineLevel="1" x14ac:dyDescent="0.2">
      <c r="B1301" s="1047" t="s">
        <v>129</v>
      </c>
      <c r="C1301" s="529" t="s">
        <v>129</v>
      </c>
      <c r="D1301" s="529" t="s">
        <v>129</v>
      </c>
      <c r="E1301" s="529" t="s">
        <v>129</v>
      </c>
      <c r="F1301" s="529" t="s">
        <v>129</v>
      </c>
      <c r="G1301" s="529" t="s">
        <v>129</v>
      </c>
      <c r="H1301" s="529" t="s">
        <v>129</v>
      </c>
      <c r="I1301" s="529" t="s">
        <v>129</v>
      </c>
      <c r="J1301" s="529" t="s">
        <v>129</v>
      </c>
      <c r="K1301" s="529" t="s">
        <v>129</v>
      </c>
      <c r="L1301" s="1048" t="s">
        <v>129</v>
      </c>
    </row>
    <row r="1302" spans="2:12" hidden="1" outlineLevel="1" x14ac:dyDescent="0.2">
      <c r="B1302" s="1047" t="s">
        <v>129</v>
      </c>
      <c r="C1302" s="529" t="s">
        <v>129</v>
      </c>
      <c r="D1302" s="529" t="s">
        <v>129</v>
      </c>
      <c r="E1302" s="529" t="s">
        <v>129</v>
      </c>
      <c r="F1302" s="529" t="s">
        <v>129</v>
      </c>
      <c r="G1302" s="529" t="s">
        <v>129</v>
      </c>
      <c r="H1302" s="529" t="s">
        <v>129</v>
      </c>
      <c r="I1302" s="529" t="s">
        <v>129</v>
      </c>
      <c r="J1302" s="529" t="s">
        <v>129</v>
      </c>
      <c r="K1302" s="529" t="s">
        <v>129</v>
      </c>
      <c r="L1302" s="1048" t="s">
        <v>129</v>
      </c>
    </row>
    <row r="1303" spans="2:12" hidden="1" outlineLevel="1" x14ac:dyDescent="0.2">
      <c r="B1303" s="1047" t="s">
        <v>129</v>
      </c>
      <c r="C1303" s="529" t="s">
        <v>129</v>
      </c>
      <c r="D1303" s="529" t="s">
        <v>129</v>
      </c>
      <c r="E1303" s="529" t="s">
        <v>129</v>
      </c>
      <c r="F1303" s="529" t="s">
        <v>129</v>
      </c>
      <c r="G1303" s="529" t="s">
        <v>129</v>
      </c>
      <c r="H1303" s="529" t="s">
        <v>129</v>
      </c>
      <c r="I1303" s="529" t="s">
        <v>129</v>
      </c>
      <c r="J1303" s="529" t="s">
        <v>129</v>
      </c>
      <c r="K1303" s="529" t="s">
        <v>129</v>
      </c>
      <c r="L1303" s="1048" t="s">
        <v>129</v>
      </c>
    </row>
    <row r="1304" spans="2:12" hidden="1" outlineLevel="1" x14ac:dyDescent="0.2">
      <c r="B1304" s="1047" t="s">
        <v>129</v>
      </c>
      <c r="C1304" s="529" t="s">
        <v>129</v>
      </c>
      <c r="D1304" s="529" t="s">
        <v>129</v>
      </c>
      <c r="E1304" s="529" t="s">
        <v>129</v>
      </c>
      <c r="F1304" s="529" t="s">
        <v>129</v>
      </c>
      <c r="G1304" s="529" t="s">
        <v>129</v>
      </c>
      <c r="H1304" s="529" t="s">
        <v>129</v>
      </c>
      <c r="I1304" s="529" t="s">
        <v>129</v>
      </c>
      <c r="J1304" s="529" t="s">
        <v>129</v>
      </c>
      <c r="K1304" s="529" t="s">
        <v>129</v>
      </c>
      <c r="L1304" s="1048" t="s">
        <v>129</v>
      </c>
    </row>
    <row r="1305" spans="2:12" hidden="1" outlineLevel="1" x14ac:dyDescent="0.2">
      <c r="B1305" s="1047" t="s">
        <v>129</v>
      </c>
      <c r="C1305" s="529" t="s">
        <v>129</v>
      </c>
      <c r="D1305" s="529" t="s">
        <v>129</v>
      </c>
      <c r="E1305" s="529" t="s">
        <v>129</v>
      </c>
      <c r="F1305" s="529" t="s">
        <v>129</v>
      </c>
      <c r="G1305" s="529" t="s">
        <v>129</v>
      </c>
      <c r="H1305" s="529" t="s">
        <v>129</v>
      </c>
      <c r="I1305" s="529" t="s">
        <v>129</v>
      </c>
      <c r="J1305" s="529" t="s">
        <v>129</v>
      </c>
      <c r="K1305" s="529" t="s">
        <v>129</v>
      </c>
      <c r="L1305" s="1048" t="s">
        <v>129</v>
      </c>
    </row>
    <row r="1306" spans="2:12" hidden="1" outlineLevel="1" x14ac:dyDescent="0.2">
      <c r="B1306" s="1047" t="s">
        <v>129</v>
      </c>
      <c r="C1306" s="529" t="s">
        <v>129</v>
      </c>
      <c r="D1306" s="529" t="s">
        <v>129</v>
      </c>
      <c r="E1306" s="529" t="s">
        <v>129</v>
      </c>
      <c r="F1306" s="529" t="s">
        <v>129</v>
      </c>
      <c r="G1306" s="529" t="s">
        <v>129</v>
      </c>
      <c r="H1306" s="529" t="s">
        <v>129</v>
      </c>
      <c r="I1306" s="529" t="s">
        <v>129</v>
      </c>
      <c r="J1306" s="529" t="s">
        <v>129</v>
      </c>
      <c r="K1306" s="529" t="s">
        <v>129</v>
      </c>
      <c r="L1306" s="1048" t="s">
        <v>129</v>
      </c>
    </row>
    <row r="1307" spans="2:12" hidden="1" outlineLevel="1" x14ac:dyDescent="0.2">
      <c r="B1307" s="1047" t="s">
        <v>129</v>
      </c>
      <c r="C1307" s="529" t="s">
        <v>129</v>
      </c>
      <c r="D1307" s="529" t="s">
        <v>129</v>
      </c>
      <c r="E1307" s="529" t="s">
        <v>129</v>
      </c>
      <c r="F1307" s="529" t="s">
        <v>129</v>
      </c>
      <c r="G1307" s="529" t="s">
        <v>129</v>
      </c>
      <c r="H1307" s="529" t="s">
        <v>129</v>
      </c>
      <c r="I1307" s="529" t="s">
        <v>129</v>
      </c>
      <c r="J1307" s="529" t="s">
        <v>129</v>
      </c>
      <c r="K1307" s="529" t="s">
        <v>129</v>
      </c>
      <c r="L1307" s="1048" t="s">
        <v>129</v>
      </c>
    </row>
    <row r="1308" spans="2:12" hidden="1" outlineLevel="1" x14ac:dyDescent="0.2">
      <c r="B1308" s="1047" t="s">
        <v>129</v>
      </c>
      <c r="C1308" s="529" t="s">
        <v>129</v>
      </c>
      <c r="D1308" s="529" t="s">
        <v>129</v>
      </c>
      <c r="E1308" s="529" t="s">
        <v>129</v>
      </c>
      <c r="F1308" s="529" t="s">
        <v>129</v>
      </c>
      <c r="G1308" s="529" t="s">
        <v>129</v>
      </c>
      <c r="H1308" s="529" t="s">
        <v>129</v>
      </c>
      <c r="I1308" s="529" t="s">
        <v>129</v>
      </c>
      <c r="J1308" s="529" t="s">
        <v>129</v>
      </c>
      <c r="K1308" s="529" t="s">
        <v>129</v>
      </c>
      <c r="L1308" s="1048" t="s">
        <v>129</v>
      </c>
    </row>
    <row r="1309" spans="2:12" hidden="1" outlineLevel="1" x14ac:dyDescent="0.2">
      <c r="B1309" s="1047" t="s">
        <v>129</v>
      </c>
      <c r="C1309" s="529" t="s">
        <v>129</v>
      </c>
      <c r="D1309" s="529" t="s">
        <v>129</v>
      </c>
      <c r="E1309" s="529" t="s">
        <v>129</v>
      </c>
      <c r="F1309" s="529" t="s">
        <v>129</v>
      </c>
      <c r="G1309" s="529" t="s">
        <v>129</v>
      </c>
      <c r="H1309" s="529" t="s">
        <v>129</v>
      </c>
      <c r="I1309" s="529" t="s">
        <v>129</v>
      </c>
      <c r="J1309" s="529" t="s">
        <v>129</v>
      </c>
      <c r="K1309" s="529" t="s">
        <v>129</v>
      </c>
      <c r="L1309" s="1048" t="s">
        <v>129</v>
      </c>
    </row>
    <row r="1310" spans="2:12" hidden="1" outlineLevel="1" x14ac:dyDescent="0.2">
      <c r="B1310" s="1047" t="s">
        <v>129</v>
      </c>
      <c r="C1310" s="529" t="s">
        <v>129</v>
      </c>
      <c r="D1310" s="529" t="s">
        <v>129</v>
      </c>
      <c r="E1310" s="529" t="s">
        <v>129</v>
      </c>
      <c r="F1310" s="529" t="s">
        <v>129</v>
      </c>
      <c r="G1310" s="529" t="s">
        <v>129</v>
      </c>
      <c r="H1310" s="529" t="s">
        <v>129</v>
      </c>
      <c r="I1310" s="529" t="s">
        <v>129</v>
      </c>
      <c r="J1310" s="529" t="s">
        <v>129</v>
      </c>
      <c r="K1310" s="529" t="s">
        <v>129</v>
      </c>
      <c r="L1310" s="1048" t="s">
        <v>129</v>
      </c>
    </row>
    <row r="1311" spans="2:12" hidden="1" outlineLevel="1" x14ac:dyDescent="0.2">
      <c r="B1311" s="1047" t="s">
        <v>129</v>
      </c>
      <c r="C1311" s="529" t="s">
        <v>129</v>
      </c>
      <c r="D1311" s="529" t="s">
        <v>129</v>
      </c>
      <c r="E1311" s="529" t="s">
        <v>129</v>
      </c>
      <c r="F1311" s="529" t="s">
        <v>129</v>
      </c>
      <c r="G1311" s="529" t="s">
        <v>129</v>
      </c>
      <c r="H1311" s="529" t="s">
        <v>129</v>
      </c>
      <c r="I1311" s="529" t="s">
        <v>129</v>
      </c>
      <c r="J1311" s="529" t="s">
        <v>129</v>
      </c>
      <c r="K1311" s="529" t="s">
        <v>129</v>
      </c>
      <c r="L1311" s="1048" t="s">
        <v>129</v>
      </c>
    </row>
    <row r="1312" spans="2:12" hidden="1" outlineLevel="1" x14ac:dyDescent="0.2">
      <c r="B1312" s="1047" t="s">
        <v>129</v>
      </c>
      <c r="C1312" s="529" t="s">
        <v>129</v>
      </c>
      <c r="D1312" s="529" t="s">
        <v>129</v>
      </c>
      <c r="E1312" s="529" t="s">
        <v>129</v>
      </c>
      <c r="F1312" s="529" t="s">
        <v>129</v>
      </c>
      <c r="G1312" s="529" t="s">
        <v>129</v>
      </c>
      <c r="H1312" s="529" t="s">
        <v>129</v>
      </c>
      <c r="I1312" s="529" t="s">
        <v>129</v>
      </c>
      <c r="J1312" s="529" t="s">
        <v>129</v>
      </c>
      <c r="K1312" s="529" t="s">
        <v>129</v>
      </c>
      <c r="L1312" s="1048" t="s">
        <v>129</v>
      </c>
    </row>
    <row r="1313" spans="2:12" hidden="1" outlineLevel="1" x14ac:dyDescent="0.2">
      <c r="B1313" s="1047" t="s">
        <v>129</v>
      </c>
      <c r="C1313" s="529" t="s">
        <v>129</v>
      </c>
      <c r="D1313" s="529" t="s">
        <v>129</v>
      </c>
      <c r="E1313" s="529" t="s">
        <v>129</v>
      </c>
      <c r="F1313" s="529" t="s">
        <v>129</v>
      </c>
      <c r="G1313" s="529" t="s">
        <v>129</v>
      </c>
      <c r="H1313" s="529" t="s">
        <v>129</v>
      </c>
      <c r="I1313" s="529" t="s">
        <v>129</v>
      </c>
      <c r="J1313" s="529" t="s">
        <v>129</v>
      </c>
      <c r="K1313" s="529" t="s">
        <v>129</v>
      </c>
      <c r="L1313" s="1048" t="s">
        <v>129</v>
      </c>
    </row>
    <row r="1314" spans="2:12" hidden="1" outlineLevel="1" x14ac:dyDescent="0.2">
      <c r="B1314" s="1047" t="s">
        <v>129</v>
      </c>
      <c r="C1314" s="529" t="s">
        <v>129</v>
      </c>
      <c r="D1314" s="529" t="s">
        <v>129</v>
      </c>
      <c r="E1314" s="529" t="s">
        <v>129</v>
      </c>
      <c r="F1314" s="529" t="s">
        <v>129</v>
      </c>
      <c r="G1314" s="529" t="s">
        <v>129</v>
      </c>
      <c r="H1314" s="529" t="s">
        <v>129</v>
      </c>
      <c r="I1314" s="529" t="s">
        <v>129</v>
      </c>
      <c r="J1314" s="529" t="s">
        <v>129</v>
      </c>
      <c r="K1314" s="529" t="s">
        <v>129</v>
      </c>
      <c r="L1314" s="1048" t="s">
        <v>129</v>
      </c>
    </row>
    <row r="1315" spans="2:12" hidden="1" outlineLevel="1" x14ac:dyDescent="0.2">
      <c r="B1315" s="1047" t="s">
        <v>129</v>
      </c>
      <c r="C1315" s="529" t="s">
        <v>129</v>
      </c>
      <c r="D1315" s="529" t="s">
        <v>129</v>
      </c>
      <c r="E1315" s="529" t="s">
        <v>129</v>
      </c>
      <c r="F1315" s="529" t="s">
        <v>129</v>
      </c>
      <c r="G1315" s="529" t="s">
        <v>129</v>
      </c>
      <c r="H1315" s="529" t="s">
        <v>129</v>
      </c>
      <c r="I1315" s="529" t="s">
        <v>129</v>
      </c>
      <c r="J1315" s="529" t="s">
        <v>129</v>
      </c>
      <c r="K1315" s="529" t="s">
        <v>129</v>
      </c>
      <c r="L1315" s="1048" t="s">
        <v>129</v>
      </c>
    </row>
    <row r="1316" spans="2:12" hidden="1" outlineLevel="1" x14ac:dyDescent="0.2">
      <c r="B1316" s="1047" t="s">
        <v>129</v>
      </c>
      <c r="C1316" s="529" t="s">
        <v>129</v>
      </c>
      <c r="D1316" s="529" t="s">
        <v>129</v>
      </c>
      <c r="E1316" s="529" t="s">
        <v>129</v>
      </c>
      <c r="F1316" s="529" t="s">
        <v>129</v>
      </c>
      <c r="G1316" s="529" t="s">
        <v>129</v>
      </c>
      <c r="H1316" s="529" t="s">
        <v>129</v>
      </c>
      <c r="I1316" s="529" t="s">
        <v>129</v>
      </c>
      <c r="J1316" s="529" t="s">
        <v>129</v>
      </c>
      <c r="K1316" s="529" t="s">
        <v>129</v>
      </c>
      <c r="L1316" s="1048" t="s">
        <v>129</v>
      </c>
    </row>
    <row r="1317" spans="2:12" hidden="1" outlineLevel="1" x14ac:dyDescent="0.2">
      <c r="B1317" s="1047" t="s">
        <v>129</v>
      </c>
      <c r="C1317" s="529" t="s">
        <v>129</v>
      </c>
      <c r="D1317" s="529" t="s">
        <v>129</v>
      </c>
      <c r="E1317" s="529" t="s">
        <v>129</v>
      </c>
      <c r="F1317" s="529" t="s">
        <v>129</v>
      </c>
      <c r="G1317" s="529" t="s">
        <v>129</v>
      </c>
      <c r="H1317" s="529" t="s">
        <v>129</v>
      </c>
      <c r="I1317" s="529" t="s">
        <v>129</v>
      </c>
      <c r="J1317" s="529" t="s">
        <v>129</v>
      </c>
      <c r="K1317" s="529" t="s">
        <v>129</v>
      </c>
      <c r="L1317" s="1048" t="s">
        <v>129</v>
      </c>
    </row>
    <row r="1318" spans="2:12" hidden="1" outlineLevel="1" x14ac:dyDescent="0.2">
      <c r="B1318" s="1047" t="s">
        <v>129</v>
      </c>
      <c r="C1318" s="529" t="s">
        <v>129</v>
      </c>
      <c r="D1318" s="529" t="s">
        <v>129</v>
      </c>
      <c r="E1318" s="529" t="s">
        <v>129</v>
      </c>
      <c r="F1318" s="529" t="s">
        <v>129</v>
      </c>
      <c r="G1318" s="529" t="s">
        <v>129</v>
      </c>
      <c r="H1318" s="529" t="s">
        <v>129</v>
      </c>
      <c r="I1318" s="529" t="s">
        <v>129</v>
      </c>
      <c r="J1318" s="529" t="s">
        <v>129</v>
      </c>
      <c r="K1318" s="529" t="s">
        <v>129</v>
      </c>
      <c r="L1318" s="1048" t="s">
        <v>129</v>
      </c>
    </row>
    <row r="1319" spans="2:12" hidden="1" outlineLevel="1" x14ac:dyDescent="0.2">
      <c r="B1319" s="1047" t="s">
        <v>129</v>
      </c>
      <c r="C1319" s="529" t="s">
        <v>129</v>
      </c>
      <c r="D1319" s="529" t="s">
        <v>129</v>
      </c>
      <c r="E1319" s="529" t="s">
        <v>129</v>
      </c>
      <c r="F1319" s="529" t="s">
        <v>129</v>
      </c>
      <c r="G1319" s="529" t="s">
        <v>129</v>
      </c>
      <c r="H1319" s="529" t="s">
        <v>129</v>
      </c>
      <c r="I1319" s="529" t="s">
        <v>129</v>
      </c>
      <c r="J1319" s="529" t="s">
        <v>129</v>
      </c>
      <c r="K1319" s="529" t="s">
        <v>129</v>
      </c>
      <c r="L1319" s="1048" t="s">
        <v>129</v>
      </c>
    </row>
    <row r="1320" spans="2:12" hidden="1" outlineLevel="1" x14ac:dyDescent="0.2">
      <c r="B1320" s="1047" t="s">
        <v>129</v>
      </c>
      <c r="C1320" s="529" t="s">
        <v>129</v>
      </c>
      <c r="D1320" s="529" t="s">
        <v>129</v>
      </c>
      <c r="E1320" s="529" t="s">
        <v>129</v>
      </c>
      <c r="F1320" s="529" t="s">
        <v>129</v>
      </c>
      <c r="G1320" s="529" t="s">
        <v>129</v>
      </c>
      <c r="H1320" s="529" t="s">
        <v>129</v>
      </c>
      <c r="I1320" s="529" t="s">
        <v>129</v>
      </c>
      <c r="J1320" s="529" t="s">
        <v>129</v>
      </c>
      <c r="K1320" s="529" t="s">
        <v>129</v>
      </c>
      <c r="L1320" s="1048" t="s">
        <v>129</v>
      </c>
    </row>
    <row r="1321" spans="2:12" hidden="1" outlineLevel="1" x14ac:dyDescent="0.2">
      <c r="B1321" s="1047" t="s">
        <v>129</v>
      </c>
      <c r="C1321" s="529" t="s">
        <v>129</v>
      </c>
      <c r="D1321" s="529" t="s">
        <v>129</v>
      </c>
      <c r="E1321" s="529" t="s">
        <v>129</v>
      </c>
      <c r="F1321" s="529" t="s">
        <v>129</v>
      </c>
      <c r="G1321" s="529" t="s">
        <v>129</v>
      </c>
      <c r="H1321" s="529" t="s">
        <v>129</v>
      </c>
      <c r="I1321" s="529" t="s">
        <v>129</v>
      </c>
      <c r="J1321" s="529" t="s">
        <v>129</v>
      </c>
      <c r="K1321" s="529" t="s">
        <v>129</v>
      </c>
      <c r="L1321" s="1048" t="s">
        <v>129</v>
      </c>
    </row>
    <row r="1322" spans="2:12" hidden="1" outlineLevel="1" x14ac:dyDescent="0.2">
      <c r="B1322" s="1047" t="s">
        <v>129</v>
      </c>
      <c r="C1322" s="529" t="s">
        <v>129</v>
      </c>
      <c r="D1322" s="529" t="s">
        <v>129</v>
      </c>
      <c r="E1322" s="529" t="s">
        <v>129</v>
      </c>
      <c r="F1322" s="529" t="s">
        <v>129</v>
      </c>
      <c r="G1322" s="529" t="s">
        <v>129</v>
      </c>
      <c r="H1322" s="529" t="s">
        <v>129</v>
      </c>
      <c r="I1322" s="529" t="s">
        <v>129</v>
      </c>
      <c r="J1322" s="529" t="s">
        <v>129</v>
      </c>
      <c r="K1322" s="529" t="s">
        <v>129</v>
      </c>
      <c r="L1322" s="1048" t="s">
        <v>129</v>
      </c>
    </row>
    <row r="1323" spans="2:12" hidden="1" outlineLevel="1" x14ac:dyDescent="0.2">
      <c r="B1323" s="1047" t="s">
        <v>129</v>
      </c>
      <c r="C1323" s="529" t="s">
        <v>129</v>
      </c>
      <c r="D1323" s="529" t="s">
        <v>129</v>
      </c>
      <c r="E1323" s="529" t="s">
        <v>129</v>
      </c>
      <c r="F1323" s="529" t="s">
        <v>129</v>
      </c>
      <c r="G1323" s="529" t="s">
        <v>129</v>
      </c>
      <c r="H1323" s="529" t="s">
        <v>129</v>
      </c>
      <c r="I1323" s="529" t="s">
        <v>129</v>
      </c>
      <c r="J1323" s="529" t="s">
        <v>129</v>
      </c>
      <c r="K1323" s="529" t="s">
        <v>129</v>
      </c>
      <c r="L1323" s="1048" t="s">
        <v>129</v>
      </c>
    </row>
    <row r="1324" spans="2:12" hidden="1" outlineLevel="1" x14ac:dyDescent="0.2">
      <c r="B1324" s="1047" t="s">
        <v>129</v>
      </c>
      <c r="C1324" s="529" t="s">
        <v>129</v>
      </c>
      <c r="D1324" s="529" t="s">
        <v>129</v>
      </c>
      <c r="E1324" s="529" t="s">
        <v>129</v>
      </c>
      <c r="F1324" s="529" t="s">
        <v>129</v>
      </c>
      <c r="G1324" s="529" t="s">
        <v>129</v>
      </c>
      <c r="H1324" s="529" t="s">
        <v>129</v>
      </c>
      <c r="I1324" s="529" t="s">
        <v>129</v>
      </c>
      <c r="J1324" s="529" t="s">
        <v>129</v>
      </c>
      <c r="K1324" s="529" t="s">
        <v>129</v>
      </c>
      <c r="L1324" s="1048" t="s">
        <v>129</v>
      </c>
    </row>
    <row r="1325" spans="2:12" hidden="1" outlineLevel="1" x14ac:dyDescent="0.2">
      <c r="B1325" s="1047" t="s">
        <v>129</v>
      </c>
      <c r="C1325" s="529" t="s">
        <v>129</v>
      </c>
      <c r="D1325" s="529" t="s">
        <v>129</v>
      </c>
      <c r="E1325" s="529" t="s">
        <v>129</v>
      </c>
      <c r="F1325" s="529" t="s">
        <v>129</v>
      </c>
      <c r="G1325" s="529" t="s">
        <v>129</v>
      </c>
      <c r="H1325" s="529" t="s">
        <v>129</v>
      </c>
      <c r="I1325" s="529" t="s">
        <v>129</v>
      </c>
      <c r="J1325" s="529" t="s">
        <v>129</v>
      </c>
      <c r="K1325" s="529" t="s">
        <v>129</v>
      </c>
      <c r="L1325" s="1048" t="s">
        <v>129</v>
      </c>
    </row>
    <row r="1326" spans="2:12" hidden="1" outlineLevel="1" x14ac:dyDescent="0.2">
      <c r="B1326" s="1047" t="s">
        <v>129</v>
      </c>
      <c r="C1326" s="529" t="s">
        <v>129</v>
      </c>
      <c r="D1326" s="529" t="s">
        <v>129</v>
      </c>
      <c r="E1326" s="529" t="s">
        <v>129</v>
      </c>
      <c r="F1326" s="529" t="s">
        <v>129</v>
      </c>
      <c r="G1326" s="529" t="s">
        <v>129</v>
      </c>
      <c r="H1326" s="529" t="s">
        <v>129</v>
      </c>
      <c r="I1326" s="529" t="s">
        <v>129</v>
      </c>
      <c r="J1326" s="529" t="s">
        <v>129</v>
      </c>
      <c r="K1326" s="529" t="s">
        <v>129</v>
      </c>
      <c r="L1326" s="1048" t="s">
        <v>129</v>
      </c>
    </row>
    <row r="1327" spans="2:12" hidden="1" outlineLevel="1" x14ac:dyDescent="0.2">
      <c r="B1327" s="1047" t="s">
        <v>129</v>
      </c>
      <c r="C1327" s="529" t="s">
        <v>129</v>
      </c>
      <c r="D1327" s="529" t="s">
        <v>129</v>
      </c>
      <c r="E1327" s="529" t="s">
        <v>129</v>
      </c>
      <c r="F1327" s="529" t="s">
        <v>129</v>
      </c>
      <c r="G1327" s="529" t="s">
        <v>129</v>
      </c>
      <c r="H1327" s="529" t="s">
        <v>129</v>
      </c>
      <c r="I1327" s="529" t="s">
        <v>129</v>
      </c>
      <c r="J1327" s="529" t="s">
        <v>129</v>
      </c>
      <c r="K1327" s="529" t="s">
        <v>129</v>
      </c>
      <c r="L1327" s="1048" t="s">
        <v>129</v>
      </c>
    </row>
    <row r="1328" spans="2:12" hidden="1" outlineLevel="1" x14ac:dyDescent="0.2">
      <c r="B1328" s="1047" t="s">
        <v>129</v>
      </c>
      <c r="C1328" s="529" t="s">
        <v>129</v>
      </c>
      <c r="D1328" s="529" t="s">
        <v>129</v>
      </c>
      <c r="E1328" s="529" t="s">
        <v>129</v>
      </c>
      <c r="F1328" s="529" t="s">
        <v>129</v>
      </c>
      <c r="G1328" s="529" t="s">
        <v>129</v>
      </c>
      <c r="H1328" s="529" t="s">
        <v>129</v>
      </c>
      <c r="I1328" s="529" t="s">
        <v>129</v>
      </c>
      <c r="J1328" s="529" t="s">
        <v>129</v>
      </c>
      <c r="K1328" s="529" t="s">
        <v>129</v>
      </c>
      <c r="L1328" s="1048" t="s">
        <v>129</v>
      </c>
    </row>
    <row r="1329" spans="2:12" hidden="1" outlineLevel="1" x14ac:dyDescent="0.2">
      <c r="B1329" s="1047" t="s">
        <v>129</v>
      </c>
      <c r="C1329" s="529" t="s">
        <v>129</v>
      </c>
      <c r="D1329" s="529" t="s">
        <v>129</v>
      </c>
      <c r="E1329" s="529" t="s">
        <v>129</v>
      </c>
      <c r="F1329" s="529" t="s">
        <v>129</v>
      </c>
      <c r="G1329" s="529" t="s">
        <v>129</v>
      </c>
      <c r="H1329" s="529" t="s">
        <v>129</v>
      </c>
      <c r="I1329" s="529" t="s">
        <v>129</v>
      </c>
      <c r="J1329" s="529" t="s">
        <v>129</v>
      </c>
      <c r="K1329" s="529" t="s">
        <v>129</v>
      </c>
      <c r="L1329" s="1048" t="s">
        <v>129</v>
      </c>
    </row>
    <row r="1330" spans="2:12" hidden="1" outlineLevel="1" x14ac:dyDescent="0.2">
      <c r="B1330" s="1047" t="s">
        <v>129</v>
      </c>
      <c r="C1330" s="529" t="s">
        <v>129</v>
      </c>
      <c r="D1330" s="529" t="s">
        <v>129</v>
      </c>
      <c r="E1330" s="529" t="s">
        <v>129</v>
      </c>
      <c r="F1330" s="529" t="s">
        <v>129</v>
      </c>
      <c r="G1330" s="529" t="s">
        <v>129</v>
      </c>
      <c r="H1330" s="529" t="s">
        <v>129</v>
      </c>
      <c r="I1330" s="529" t="s">
        <v>129</v>
      </c>
      <c r="J1330" s="529" t="s">
        <v>129</v>
      </c>
      <c r="K1330" s="529" t="s">
        <v>129</v>
      </c>
      <c r="L1330" s="1048" t="s">
        <v>129</v>
      </c>
    </row>
    <row r="1331" spans="2:12" hidden="1" outlineLevel="1" x14ac:dyDescent="0.2">
      <c r="B1331" s="1047" t="s">
        <v>129</v>
      </c>
      <c r="C1331" s="529" t="s">
        <v>129</v>
      </c>
      <c r="D1331" s="529" t="s">
        <v>129</v>
      </c>
      <c r="E1331" s="529" t="s">
        <v>129</v>
      </c>
      <c r="F1331" s="529" t="s">
        <v>129</v>
      </c>
      <c r="G1331" s="529" t="s">
        <v>129</v>
      </c>
      <c r="H1331" s="529" t="s">
        <v>129</v>
      </c>
      <c r="I1331" s="529" t="s">
        <v>129</v>
      </c>
      <c r="J1331" s="529" t="s">
        <v>129</v>
      </c>
      <c r="K1331" s="529" t="s">
        <v>129</v>
      </c>
      <c r="L1331" s="1048" t="s">
        <v>129</v>
      </c>
    </row>
    <row r="1332" spans="2:12" hidden="1" outlineLevel="1" x14ac:dyDescent="0.2">
      <c r="B1332" s="1047" t="s">
        <v>129</v>
      </c>
      <c r="C1332" s="529" t="s">
        <v>129</v>
      </c>
      <c r="D1332" s="529" t="s">
        <v>129</v>
      </c>
      <c r="E1332" s="529" t="s">
        <v>129</v>
      </c>
      <c r="F1332" s="529" t="s">
        <v>129</v>
      </c>
      <c r="G1332" s="529" t="s">
        <v>129</v>
      </c>
      <c r="H1332" s="529" t="s">
        <v>129</v>
      </c>
      <c r="I1332" s="529" t="s">
        <v>129</v>
      </c>
      <c r="J1332" s="529" t="s">
        <v>129</v>
      </c>
      <c r="K1332" s="529" t="s">
        <v>129</v>
      </c>
      <c r="L1332" s="1048" t="s">
        <v>129</v>
      </c>
    </row>
    <row r="1333" spans="2:12" hidden="1" outlineLevel="1" x14ac:dyDescent="0.2">
      <c r="B1333" s="1047" t="s">
        <v>129</v>
      </c>
      <c r="C1333" s="529" t="s">
        <v>129</v>
      </c>
      <c r="D1333" s="529" t="s">
        <v>129</v>
      </c>
      <c r="E1333" s="529" t="s">
        <v>129</v>
      </c>
      <c r="F1333" s="529" t="s">
        <v>129</v>
      </c>
      <c r="G1333" s="529" t="s">
        <v>129</v>
      </c>
      <c r="H1333" s="529" t="s">
        <v>129</v>
      </c>
      <c r="I1333" s="529" t="s">
        <v>129</v>
      </c>
      <c r="J1333" s="529" t="s">
        <v>129</v>
      </c>
      <c r="K1333" s="529" t="s">
        <v>129</v>
      </c>
      <c r="L1333" s="1048" t="s">
        <v>129</v>
      </c>
    </row>
    <row r="1334" spans="2:12" hidden="1" outlineLevel="1" x14ac:dyDescent="0.2">
      <c r="B1334" s="1047" t="s">
        <v>129</v>
      </c>
      <c r="C1334" s="529" t="s">
        <v>129</v>
      </c>
      <c r="D1334" s="529" t="s">
        <v>129</v>
      </c>
      <c r="E1334" s="529" t="s">
        <v>129</v>
      </c>
      <c r="F1334" s="529" t="s">
        <v>129</v>
      </c>
      <c r="G1334" s="529" t="s">
        <v>129</v>
      </c>
      <c r="H1334" s="529" t="s">
        <v>129</v>
      </c>
      <c r="I1334" s="529" t="s">
        <v>129</v>
      </c>
      <c r="J1334" s="529" t="s">
        <v>129</v>
      </c>
      <c r="K1334" s="529" t="s">
        <v>129</v>
      </c>
      <c r="L1334" s="1048" t="s">
        <v>129</v>
      </c>
    </row>
    <row r="1335" spans="2:12" hidden="1" outlineLevel="1" x14ac:dyDescent="0.2">
      <c r="B1335" s="1047" t="s">
        <v>129</v>
      </c>
      <c r="C1335" s="529" t="s">
        <v>129</v>
      </c>
      <c r="D1335" s="529" t="s">
        <v>129</v>
      </c>
      <c r="E1335" s="529" t="s">
        <v>129</v>
      </c>
      <c r="F1335" s="529" t="s">
        <v>129</v>
      </c>
      <c r="G1335" s="529" t="s">
        <v>129</v>
      </c>
      <c r="H1335" s="529" t="s">
        <v>129</v>
      </c>
      <c r="I1335" s="529" t="s">
        <v>129</v>
      </c>
      <c r="J1335" s="529" t="s">
        <v>129</v>
      </c>
      <c r="K1335" s="529" t="s">
        <v>129</v>
      </c>
      <c r="L1335" s="1048" t="s">
        <v>129</v>
      </c>
    </row>
    <row r="1336" spans="2:12" hidden="1" outlineLevel="1" x14ac:dyDescent="0.2">
      <c r="B1336" s="1047" t="s">
        <v>129</v>
      </c>
      <c r="C1336" s="529" t="s">
        <v>129</v>
      </c>
      <c r="D1336" s="529" t="s">
        <v>129</v>
      </c>
      <c r="E1336" s="529" t="s">
        <v>129</v>
      </c>
      <c r="F1336" s="529" t="s">
        <v>129</v>
      </c>
      <c r="G1336" s="529" t="s">
        <v>129</v>
      </c>
      <c r="H1336" s="529" t="s">
        <v>129</v>
      </c>
      <c r="I1336" s="529" t="s">
        <v>129</v>
      </c>
      <c r="J1336" s="529" t="s">
        <v>129</v>
      </c>
      <c r="K1336" s="529" t="s">
        <v>129</v>
      </c>
      <c r="L1336" s="1048" t="s">
        <v>129</v>
      </c>
    </row>
    <row r="1337" spans="2:12" hidden="1" outlineLevel="1" x14ac:dyDescent="0.2">
      <c r="B1337" s="1047" t="s">
        <v>129</v>
      </c>
      <c r="C1337" s="529" t="s">
        <v>129</v>
      </c>
      <c r="D1337" s="529" t="s">
        <v>129</v>
      </c>
      <c r="E1337" s="529" t="s">
        <v>129</v>
      </c>
      <c r="F1337" s="529" t="s">
        <v>129</v>
      </c>
      <c r="G1337" s="529" t="s">
        <v>129</v>
      </c>
      <c r="H1337" s="529" t="s">
        <v>129</v>
      </c>
      <c r="I1337" s="529" t="s">
        <v>129</v>
      </c>
      <c r="J1337" s="529" t="s">
        <v>129</v>
      </c>
      <c r="K1337" s="529" t="s">
        <v>129</v>
      </c>
      <c r="L1337" s="1048" t="s">
        <v>129</v>
      </c>
    </row>
    <row r="1338" spans="2:12" hidden="1" outlineLevel="1" x14ac:dyDescent="0.2">
      <c r="B1338" s="1047" t="s">
        <v>129</v>
      </c>
      <c r="C1338" s="529" t="s">
        <v>129</v>
      </c>
      <c r="D1338" s="529" t="s">
        <v>129</v>
      </c>
      <c r="E1338" s="529" t="s">
        <v>129</v>
      </c>
      <c r="F1338" s="529" t="s">
        <v>129</v>
      </c>
      <c r="G1338" s="529" t="s">
        <v>129</v>
      </c>
      <c r="H1338" s="529" t="s">
        <v>129</v>
      </c>
      <c r="I1338" s="529" t="s">
        <v>129</v>
      </c>
      <c r="J1338" s="529" t="s">
        <v>129</v>
      </c>
      <c r="K1338" s="529" t="s">
        <v>129</v>
      </c>
      <c r="L1338" s="1048" t="s">
        <v>129</v>
      </c>
    </row>
    <row r="1339" spans="2:12" hidden="1" outlineLevel="1" x14ac:dyDescent="0.2">
      <c r="B1339" s="1047" t="s">
        <v>129</v>
      </c>
      <c r="C1339" s="529" t="s">
        <v>129</v>
      </c>
      <c r="D1339" s="529" t="s">
        <v>129</v>
      </c>
      <c r="E1339" s="529" t="s">
        <v>129</v>
      </c>
      <c r="F1339" s="529" t="s">
        <v>129</v>
      </c>
      <c r="G1339" s="529" t="s">
        <v>129</v>
      </c>
      <c r="H1339" s="529" t="s">
        <v>129</v>
      </c>
      <c r="I1339" s="529" t="s">
        <v>129</v>
      </c>
      <c r="J1339" s="529" t="s">
        <v>129</v>
      </c>
      <c r="K1339" s="529" t="s">
        <v>129</v>
      </c>
      <c r="L1339" s="1048" t="s">
        <v>129</v>
      </c>
    </row>
    <row r="1340" spans="2:12" hidden="1" outlineLevel="1" x14ac:dyDescent="0.2">
      <c r="B1340" s="1047" t="s">
        <v>129</v>
      </c>
      <c r="C1340" s="529" t="s">
        <v>129</v>
      </c>
      <c r="D1340" s="529" t="s">
        <v>129</v>
      </c>
      <c r="E1340" s="529" t="s">
        <v>129</v>
      </c>
      <c r="F1340" s="529" t="s">
        <v>129</v>
      </c>
      <c r="G1340" s="529" t="s">
        <v>129</v>
      </c>
      <c r="H1340" s="529" t="s">
        <v>129</v>
      </c>
      <c r="I1340" s="529" t="s">
        <v>129</v>
      </c>
      <c r="J1340" s="529" t="s">
        <v>129</v>
      </c>
      <c r="K1340" s="529" t="s">
        <v>129</v>
      </c>
      <c r="L1340" s="1048" t="s">
        <v>129</v>
      </c>
    </row>
    <row r="1341" spans="2:12" hidden="1" outlineLevel="1" x14ac:dyDescent="0.2">
      <c r="B1341" s="1047" t="s">
        <v>129</v>
      </c>
      <c r="C1341" s="529" t="s">
        <v>129</v>
      </c>
      <c r="D1341" s="529" t="s">
        <v>129</v>
      </c>
      <c r="E1341" s="529" t="s">
        <v>129</v>
      </c>
      <c r="F1341" s="529" t="s">
        <v>129</v>
      </c>
      <c r="G1341" s="529" t="s">
        <v>129</v>
      </c>
      <c r="H1341" s="529" t="s">
        <v>129</v>
      </c>
      <c r="I1341" s="529" t="s">
        <v>129</v>
      </c>
      <c r="J1341" s="529" t="s">
        <v>129</v>
      </c>
      <c r="K1341" s="529" t="s">
        <v>129</v>
      </c>
      <c r="L1341" s="1048" t="s">
        <v>129</v>
      </c>
    </row>
    <row r="1342" spans="2:12" hidden="1" outlineLevel="1" x14ac:dyDescent="0.2">
      <c r="B1342" s="1047" t="s">
        <v>129</v>
      </c>
      <c r="C1342" s="529" t="s">
        <v>129</v>
      </c>
      <c r="D1342" s="529" t="s">
        <v>129</v>
      </c>
      <c r="E1342" s="529" t="s">
        <v>129</v>
      </c>
      <c r="F1342" s="529" t="s">
        <v>129</v>
      </c>
      <c r="G1342" s="529" t="s">
        <v>129</v>
      </c>
      <c r="H1342" s="529" t="s">
        <v>129</v>
      </c>
      <c r="I1342" s="529" t="s">
        <v>129</v>
      </c>
      <c r="J1342" s="529" t="s">
        <v>129</v>
      </c>
      <c r="K1342" s="529" t="s">
        <v>129</v>
      </c>
      <c r="L1342" s="1048" t="s">
        <v>129</v>
      </c>
    </row>
    <row r="1343" spans="2:12" hidden="1" outlineLevel="1" x14ac:dyDescent="0.2">
      <c r="B1343" s="1047" t="s">
        <v>129</v>
      </c>
      <c r="C1343" s="529" t="s">
        <v>129</v>
      </c>
      <c r="D1343" s="529" t="s">
        <v>129</v>
      </c>
      <c r="E1343" s="529" t="s">
        <v>129</v>
      </c>
      <c r="F1343" s="529" t="s">
        <v>129</v>
      </c>
      <c r="G1343" s="529" t="s">
        <v>129</v>
      </c>
      <c r="H1343" s="529" t="s">
        <v>129</v>
      </c>
      <c r="I1343" s="529" t="s">
        <v>129</v>
      </c>
      <c r="J1343" s="529" t="s">
        <v>129</v>
      </c>
      <c r="K1343" s="529" t="s">
        <v>129</v>
      </c>
      <c r="L1343" s="1048" t="s">
        <v>129</v>
      </c>
    </row>
    <row r="1344" spans="2:12" hidden="1" outlineLevel="1" x14ac:dyDescent="0.2">
      <c r="B1344" s="1047" t="s">
        <v>129</v>
      </c>
      <c r="C1344" s="529" t="s">
        <v>129</v>
      </c>
      <c r="D1344" s="529" t="s">
        <v>129</v>
      </c>
      <c r="E1344" s="529" t="s">
        <v>129</v>
      </c>
      <c r="F1344" s="529" t="s">
        <v>129</v>
      </c>
      <c r="G1344" s="529" t="s">
        <v>129</v>
      </c>
      <c r="H1344" s="529" t="s">
        <v>129</v>
      </c>
      <c r="I1344" s="529" t="s">
        <v>129</v>
      </c>
      <c r="J1344" s="529" t="s">
        <v>129</v>
      </c>
      <c r="K1344" s="529" t="s">
        <v>129</v>
      </c>
      <c r="L1344" s="1048" t="s">
        <v>129</v>
      </c>
    </row>
    <row r="1345" spans="2:12" hidden="1" outlineLevel="1" x14ac:dyDescent="0.2">
      <c r="B1345" s="1047" t="s">
        <v>129</v>
      </c>
      <c r="C1345" s="529" t="s">
        <v>129</v>
      </c>
      <c r="D1345" s="529" t="s">
        <v>129</v>
      </c>
      <c r="E1345" s="529" t="s">
        <v>129</v>
      </c>
      <c r="F1345" s="529" t="s">
        <v>129</v>
      </c>
      <c r="G1345" s="529" t="s">
        <v>129</v>
      </c>
      <c r="H1345" s="529" t="s">
        <v>129</v>
      </c>
      <c r="I1345" s="529" t="s">
        <v>129</v>
      </c>
      <c r="J1345" s="529" t="s">
        <v>129</v>
      </c>
      <c r="K1345" s="529" t="s">
        <v>129</v>
      </c>
      <c r="L1345" s="1048" t="s">
        <v>129</v>
      </c>
    </row>
    <row r="1346" spans="2:12" hidden="1" outlineLevel="1" x14ac:dyDescent="0.2">
      <c r="B1346" s="1047" t="s">
        <v>129</v>
      </c>
      <c r="C1346" s="529" t="s">
        <v>129</v>
      </c>
      <c r="D1346" s="529" t="s">
        <v>129</v>
      </c>
      <c r="E1346" s="529" t="s">
        <v>129</v>
      </c>
      <c r="F1346" s="529" t="s">
        <v>129</v>
      </c>
      <c r="G1346" s="529" t="s">
        <v>129</v>
      </c>
      <c r="H1346" s="529" t="s">
        <v>129</v>
      </c>
      <c r="I1346" s="529" t="s">
        <v>129</v>
      </c>
      <c r="J1346" s="529" t="s">
        <v>129</v>
      </c>
      <c r="K1346" s="529" t="s">
        <v>129</v>
      </c>
      <c r="L1346" s="1048" t="s">
        <v>129</v>
      </c>
    </row>
    <row r="1347" spans="2:12" hidden="1" outlineLevel="1" x14ac:dyDescent="0.2">
      <c r="B1347" s="1047" t="s">
        <v>129</v>
      </c>
      <c r="C1347" s="529" t="s">
        <v>129</v>
      </c>
      <c r="D1347" s="529" t="s">
        <v>129</v>
      </c>
      <c r="E1347" s="529" t="s">
        <v>129</v>
      </c>
      <c r="F1347" s="529" t="s">
        <v>129</v>
      </c>
      <c r="G1347" s="529" t="s">
        <v>129</v>
      </c>
      <c r="H1347" s="529" t="s">
        <v>129</v>
      </c>
      <c r="I1347" s="529" t="s">
        <v>129</v>
      </c>
      <c r="J1347" s="529" t="s">
        <v>129</v>
      </c>
      <c r="K1347" s="529" t="s">
        <v>129</v>
      </c>
      <c r="L1347" s="1048" t="s">
        <v>129</v>
      </c>
    </row>
    <row r="1348" spans="2:12" hidden="1" outlineLevel="1" x14ac:dyDescent="0.2">
      <c r="B1348" s="1047" t="s">
        <v>129</v>
      </c>
      <c r="C1348" s="529" t="s">
        <v>129</v>
      </c>
      <c r="D1348" s="529" t="s">
        <v>129</v>
      </c>
      <c r="E1348" s="529" t="s">
        <v>129</v>
      </c>
      <c r="F1348" s="529" t="s">
        <v>129</v>
      </c>
      <c r="G1348" s="529" t="s">
        <v>129</v>
      </c>
      <c r="H1348" s="529" t="s">
        <v>129</v>
      </c>
      <c r="I1348" s="529" t="s">
        <v>129</v>
      </c>
      <c r="J1348" s="529" t="s">
        <v>129</v>
      </c>
      <c r="K1348" s="529" t="s">
        <v>129</v>
      </c>
      <c r="L1348" s="1048" t="s">
        <v>129</v>
      </c>
    </row>
    <row r="1349" spans="2:12" hidden="1" outlineLevel="1" x14ac:dyDescent="0.2">
      <c r="B1349" s="1047" t="s">
        <v>129</v>
      </c>
      <c r="C1349" s="529" t="s">
        <v>129</v>
      </c>
      <c r="D1349" s="529" t="s">
        <v>129</v>
      </c>
      <c r="E1349" s="529" t="s">
        <v>129</v>
      </c>
      <c r="F1349" s="529" t="s">
        <v>129</v>
      </c>
      <c r="G1349" s="529" t="s">
        <v>129</v>
      </c>
      <c r="H1349" s="529" t="s">
        <v>129</v>
      </c>
      <c r="I1349" s="529" t="s">
        <v>129</v>
      </c>
      <c r="J1349" s="529" t="s">
        <v>129</v>
      </c>
      <c r="K1349" s="529" t="s">
        <v>129</v>
      </c>
      <c r="L1349" s="1048" t="s">
        <v>129</v>
      </c>
    </row>
    <row r="1350" spans="2:12" hidden="1" outlineLevel="1" x14ac:dyDescent="0.2">
      <c r="B1350" s="1047" t="s">
        <v>129</v>
      </c>
      <c r="C1350" s="529" t="s">
        <v>129</v>
      </c>
      <c r="D1350" s="529" t="s">
        <v>129</v>
      </c>
      <c r="E1350" s="529" t="s">
        <v>129</v>
      </c>
      <c r="F1350" s="529" t="s">
        <v>129</v>
      </c>
      <c r="G1350" s="529" t="s">
        <v>129</v>
      </c>
      <c r="H1350" s="529" t="s">
        <v>129</v>
      </c>
      <c r="I1350" s="529" t="s">
        <v>129</v>
      </c>
      <c r="J1350" s="529" t="s">
        <v>129</v>
      </c>
      <c r="K1350" s="529" t="s">
        <v>129</v>
      </c>
      <c r="L1350" s="1048" t="s">
        <v>129</v>
      </c>
    </row>
    <row r="1351" spans="2:12" hidden="1" outlineLevel="1" x14ac:dyDescent="0.2">
      <c r="B1351" s="1047" t="s">
        <v>129</v>
      </c>
      <c r="C1351" s="529" t="s">
        <v>129</v>
      </c>
      <c r="D1351" s="529" t="s">
        <v>129</v>
      </c>
      <c r="E1351" s="529" t="s">
        <v>129</v>
      </c>
      <c r="F1351" s="529" t="s">
        <v>129</v>
      </c>
      <c r="G1351" s="529" t="s">
        <v>129</v>
      </c>
      <c r="H1351" s="529" t="s">
        <v>129</v>
      </c>
      <c r="I1351" s="529" t="s">
        <v>129</v>
      </c>
      <c r="J1351" s="529" t="s">
        <v>129</v>
      </c>
      <c r="K1351" s="529" t="s">
        <v>129</v>
      </c>
      <c r="L1351" s="1048" t="s">
        <v>129</v>
      </c>
    </row>
    <row r="1352" spans="2:12" hidden="1" outlineLevel="1" x14ac:dyDescent="0.2">
      <c r="B1352" s="1047" t="s">
        <v>129</v>
      </c>
      <c r="C1352" s="529" t="s">
        <v>129</v>
      </c>
      <c r="D1352" s="529" t="s">
        <v>129</v>
      </c>
      <c r="E1352" s="529" t="s">
        <v>129</v>
      </c>
      <c r="F1352" s="529" t="s">
        <v>129</v>
      </c>
      <c r="G1352" s="529" t="s">
        <v>129</v>
      </c>
      <c r="H1352" s="529" t="s">
        <v>129</v>
      </c>
      <c r="I1352" s="529" t="s">
        <v>129</v>
      </c>
      <c r="J1352" s="529" t="s">
        <v>129</v>
      </c>
      <c r="K1352" s="529" t="s">
        <v>129</v>
      </c>
      <c r="L1352" s="1048" t="s">
        <v>129</v>
      </c>
    </row>
    <row r="1353" spans="2:12" hidden="1" outlineLevel="1" x14ac:dyDescent="0.2">
      <c r="B1353" s="1047" t="s">
        <v>129</v>
      </c>
      <c r="C1353" s="529" t="s">
        <v>129</v>
      </c>
      <c r="D1353" s="529" t="s">
        <v>129</v>
      </c>
      <c r="E1353" s="529" t="s">
        <v>129</v>
      </c>
      <c r="F1353" s="529" t="s">
        <v>129</v>
      </c>
      <c r="G1353" s="529" t="s">
        <v>129</v>
      </c>
      <c r="H1353" s="529" t="s">
        <v>129</v>
      </c>
      <c r="I1353" s="529" t="s">
        <v>129</v>
      </c>
      <c r="J1353" s="529" t="s">
        <v>129</v>
      </c>
      <c r="K1353" s="529" t="s">
        <v>129</v>
      </c>
      <c r="L1353" s="1048" t="s">
        <v>129</v>
      </c>
    </row>
    <row r="1354" spans="2:12" hidden="1" outlineLevel="1" x14ac:dyDescent="0.2">
      <c r="B1354" s="1047" t="s">
        <v>129</v>
      </c>
      <c r="C1354" s="529" t="s">
        <v>129</v>
      </c>
      <c r="D1354" s="529" t="s">
        <v>129</v>
      </c>
      <c r="E1354" s="529" t="s">
        <v>129</v>
      </c>
      <c r="F1354" s="529" t="s">
        <v>129</v>
      </c>
      <c r="G1354" s="529" t="s">
        <v>129</v>
      </c>
      <c r="H1354" s="529" t="s">
        <v>129</v>
      </c>
      <c r="I1354" s="529" t="s">
        <v>129</v>
      </c>
      <c r="J1354" s="529" t="s">
        <v>129</v>
      </c>
      <c r="K1354" s="529" t="s">
        <v>129</v>
      </c>
      <c r="L1354" s="1048" t="s">
        <v>129</v>
      </c>
    </row>
    <row r="1355" spans="2:12" hidden="1" outlineLevel="1" x14ac:dyDescent="0.2">
      <c r="B1355" s="1047" t="s">
        <v>129</v>
      </c>
      <c r="C1355" s="529" t="s">
        <v>129</v>
      </c>
      <c r="D1355" s="529" t="s">
        <v>129</v>
      </c>
      <c r="E1355" s="529" t="s">
        <v>129</v>
      </c>
      <c r="F1355" s="529" t="s">
        <v>129</v>
      </c>
      <c r="G1355" s="529" t="s">
        <v>129</v>
      </c>
      <c r="H1355" s="529" t="s">
        <v>129</v>
      </c>
      <c r="I1355" s="529" t="s">
        <v>129</v>
      </c>
      <c r="J1355" s="529" t="s">
        <v>129</v>
      </c>
      <c r="K1355" s="529" t="s">
        <v>129</v>
      </c>
      <c r="L1355" s="1048" t="s">
        <v>129</v>
      </c>
    </row>
    <row r="1356" spans="2:12" hidden="1" outlineLevel="1" x14ac:dyDescent="0.2">
      <c r="B1356" s="1047" t="s">
        <v>129</v>
      </c>
      <c r="C1356" s="529" t="s">
        <v>129</v>
      </c>
      <c r="D1356" s="529" t="s">
        <v>129</v>
      </c>
      <c r="E1356" s="529" t="s">
        <v>129</v>
      </c>
      <c r="F1356" s="529" t="s">
        <v>129</v>
      </c>
      <c r="G1356" s="529" t="s">
        <v>129</v>
      </c>
      <c r="H1356" s="529" t="s">
        <v>129</v>
      </c>
      <c r="I1356" s="529" t="s">
        <v>129</v>
      </c>
      <c r="J1356" s="529" t="s">
        <v>129</v>
      </c>
      <c r="K1356" s="529" t="s">
        <v>129</v>
      </c>
      <c r="L1356" s="1048" t="s">
        <v>129</v>
      </c>
    </row>
    <row r="1357" spans="2:12" hidden="1" outlineLevel="1" x14ac:dyDescent="0.2">
      <c r="B1357" s="1047" t="s">
        <v>129</v>
      </c>
      <c r="C1357" s="529" t="s">
        <v>129</v>
      </c>
      <c r="D1357" s="529" t="s">
        <v>129</v>
      </c>
      <c r="E1357" s="529" t="s">
        <v>129</v>
      </c>
      <c r="F1357" s="529" t="s">
        <v>129</v>
      </c>
      <c r="G1357" s="529" t="s">
        <v>129</v>
      </c>
      <c r="H1357" s="529" t="s">
        <v>129</v>
      </c>
      <c r="I1357" s="529" t="s">
        <v>129</v>
      </c>
      <c r="J1357" s="529" t="s">
        <v>129</v>
      </c>
      <c r="K1357" s="529" t="s">
        <v>129</v>
      </c>
      <c r="L1357" s="1048" t="s">
        <v>129</v>
      </c>
    </row>
    <row r="1358" spans="2:12" hidden="1" outlineLevel="1" x14ac:dyDescent="0.2">
      <c r="B1358" s="1047" t="s">
        <v>129</v>
      </c>
      <c r="C1358" s="529" t="s">
        <v>129</v>
      </c>
      <c r="D1358" s="529" t="s">
        <v>129</v>
      </c>
      <c r="E1358" s="529" t="s">
        <v>129</v>
      </c>
      <c r="F1358" s="529" t="s">
        <v>129</v>
      </c>
      <c r="G1358" s="529" t="s">
        <v>129</v>
      </c>
      <c r="H1358" s="529" t="s">
        <v>129</v>
      </c>
      <c r="I1358" s="529" t="s">
        <v>129</v>
      </c>
      <c r="J1358" s="529" t="s">
        <v>129</v>
      </c>
      <c r="K1358" s="529" t="s">
        <v>129</v>
      </c>
      <c r="L1358" s="1048" t="s">
        <v>129</v>
      </c>
    </row>
    <row r="1359" spans="2:12" hidden="1" outlineLevel="1" x14ac:dyDescent="0.2">
      <c r="B1359" s="1047" t="s">
        <v>129</v>
      </c>
      <c r="C1359" s="529" t="s">
        <v>129</v>
      </c>
      <c r="D1359" s="529" t="s">
        <v>129</v>
      </c>
      <c r="E1359" s="529" t="s">
        <v>129</v>
      </c>
      <c r="F1359" s="529" t="s">
        <v>129</v>
      </c>
      <c r="G1359" s="529" t="s">
        <v>129</v>
      </c>
      <c r="H1359" s="529" t="s">
        <v>129</v>
      </c>
      <c r="I1359" s="529" t="s">
        <v>129</v>
      </c>
      <c r="J1359" s="529" t="s">
        <v>129</v>
      </c>
      <c r="K1359" s="529" t="s">
        <v>129</v>
      </c>
      <c r="L1359" s="1048" t="s">
        <v>129</v>
      </c>
    </row>
    <row r="1360" spans="2:12" hidden="1" outlineLevel="1" x14ac:dyDescent="0.2">
      <c r="B1360" s="1047" t="s">
        <v>129</v>
      </c>
      <c r="C1360" s="529" t="s">
        <v>129</v>
      </c>
      <c r="D1360" s="529" t="s">
        <v>129</v>
      </c>
      <c r="E1360" s="529" t="s">
        <v>129</v>
      </c>
      <c r="F1360" s="529" t="s">
        <v>129</v>
      </c>
      <c r="G1360" s="529" t="s">
        <v>129</v>
      </c>
      <c r="H1360" s="529" t="s">
        <v>129</v>
      </c>
      <c r="I1360" s="529" t="s">
        <v>129</v>
      </c>
      <c r="J1360" s="529" t="s">
        <v>129</v>
      </c>
      <c r="K1360" s="529" t="s">
        <v>129</v>
      </c>
      <c r="L1360" s="1048" t="s">
        <v>129</v>
      </c>
    </row>
    <row r="1361" spans="2:12" hidden="1" outlineLevel="1" x14ac:dyDescent="0.2">
      <c r="B1361" s="1047" t="s">
        <v>129</v>
      </c>
      <c r="C1361" s="529" t="s">
        <v>129</v>
      </c>
      <c r="D1361" s="529" t="s">
        <v>129</v>
      </c>
      <c r="E1361" s="529" t="s">
        <v>129</v>
      </c>
      <c r="F1361" s="529" t="s">
        <v>129</v>
      </c>
      <c r="G1361" s="529" t="s">
        <v>129</v>
      </c>
      <c r="H1361" s="529" t="s">
        <v>129</v>
      </c>
      <c r="I1361" s="529" t="s">
        <v>129</v>
      </c>
      <c r="J1361" s="529" t="s">
        <v>129</v>
      </c>
      <c r="K1361" s="529" t="s">
        <v>129</v>
      </c>
      <c r="L1361" s="1048" t="s">
        <v>129</v>
      </c>
    </row>
    <row r="1362" spans="2:12" hidden="1" outlineLevel="1" x14ac:dyDescent="0.2">
      <c r="B1362" s="1047" t="s">
        <v>129</v>
      </c>
      <c r="C1362" s="529" t="s">
        <v>129</v>
      </c>
      <c r="D1362" s="529" t="s">
        <v>129</v>
      </c>
      <c r="E1362" s="529" t="s">
        <v>129</v>
      </c>
      <c r="F1362" s="529" t="s">
        <v>129</v>
      </c>
      <c r="G1362" s="529" t="s">
        <v>129</v>
      </c>
      <c r="H1362" s="529" t="s">
        <v>129</v>
      </c>
      <c r="I1362" s="529" t="s">
        <v>129</v>
      </c>
      <c r="J1362" s="529" t="s">
        <v>129</v>
      </c>
      <c r="K1362" s="529" t="s">
        <v>129</v>
      </c>
      <c r="L1362" s="1048" t="s">
        <v>129</v>
      </c>
    </row>
    <row r="1363" spans="2:12" hidden="1" outlineLevel="1" x14ac:dyDescent="0.2">
      <c r="B1363" s="1047" t="s">
        <v>129</v>
      </c>
      <c r="C1363" s="529" t="s">
        <v>129</v>
      </c>
      <c r="D1363" s="529" t="s">
        <v>129</v>
      </c>
      <c r="E1363" s="529" t="s">
        <v>129</v>
      </c>
      <c r="F1363" s="529" t="s">
        <v>129</v>
      </c>
      <c r="G1363" s="529" t="s">
        <v>129</v>
      </c>
      <c r="H1363" s="529" t="s">
        <v>129</v>
      </c>
      <c r="I1363" s="529" t="s">
        <v>129</v>
      </c>
      <c r="J1363" s="529" t="s">
        <v>129</v>
      </c>
      <c r="K1363" s="529" t="s">
        <v>129</v>
      </c>
      <c r="L1363" s="1048" t="s">
        <v>129</v>
      </c>
    </row>
    <row r="1364" spans="2:12" hidden="1" outlineLevel="1" x14ac:dyDescent="0.2">
      <c r="B1364" s="1047" t="s">
        <v>129</v>
      </c>
      <c r="C1364" s="529" t="s">
        <v>129</v>
      </c>
      <c r="D1364" s="529" t="s">
        <v>129</v>
      </c>
      <c r="E1364" s="529" t="s">
        <v>129</v>
      </c>
      <c r="F1364" s="529" t="s">
        <v>129</v>
      </c>
      <c r="G1364" s="529" t="s">
        <v>129</v>
      </c>
      <c r="H1364" s="529" t="s">
        <v>129</v>
      </c>
      <c r="I1364" s="529" t="s">
        <v>129</v>
      </c>
      <c r="J1364" s="529" t="s">
        <v>129</v>
      </c>
      <c r="K1364" s="529" t="s">
        <v>129</v>
      </c>
      <c r="L1364" s="1048" t="s">
        <v>129</v>
      </c>
    </row>
    <row r="1365" spans="2:12" hidden="1" outlineLevel="1" x14ac:dyDescent="0.2">
      <c r="B1365" s="1047" t="s">
        <v>129</v>
      </c>
      <c r="C1365" s="529" t="s">
        <v>129</v>
      </c>
      <c r="D1365" s="529" t="s">
        <v>129</v>
      </c>
      <c r="E1365" s="529" t="s">
        <v>129</v>
      </c>
      <c r="F1365" s="529" t="s">
        <v>129</v>
      </c>
      <c r="G1365" s="529" t="s">
        <v>129</v>
      </c>
      <c r="H1365" s="529" t="s">
        <v>129</v>
      </c>
      <c r="I1365" s="529" t="s">
        <v>129</v>
      </c>
      <c r="J1365" s="529" t="s">
        <v>129</v>
      </c>
      <c r="K1365" s="529" t="s">
        <v>129</v>
      </c>
      <c r="L1365" s="1048" t="s">
        <v>129</v>
      </c>
    </row>
    <row r="1366" spans="2:12" hidden="1" outlineLevel="1" x14ac:dyDescent="0.2">
      <c r="B1366" s="1047" t="s">
        <v>129</v>
      </c>
      <c r="C1366" s="529" t="s">
        <v>129</v>
      </c>
      <c r="D1366" s="529" t="s">
        <v>129</v>
      </c>
      <c r="E1366" s="529" t="s">
        <v>129</v>
      </c>
      <c r="F1366" s="529" t="s">
        <v>129</v>
      </c>
      <c r="G1366" s="529" t="s">
        <v>129</v>
      </c>
      <c r="H1366" s="529" t="s">
        <v>129</v>
      </c>
      <c r="I1366" s="529" t="s">
        <v>129</v>
      </c>
      <c r="J1366" s="529" t="s">
        <v>129</v>
      </c>
      <c r="K1366" s="529" t="s">
        <v>129</v>
      </c>
      <c r="L1366" s="1048" t="s">
        <v>129</v>
      </c>
    </row>
    <row r="1367" spans="2:12" hidden="1" outlineLevel="1" x14ac:dyDescent="0.2">
      <c r="B1367" s="1047" t="s">
        <v>129</v>
      </c>
      <c r="C1367" s="529" t="s">
        <v>129</v>
      </c>
      <c r="D1367" s="529" t="s">
        <v>129</v>
      </c>
      <c r="E1367" s="529" t="s">
        <v>129</v>
      </c>
      <c r="F1367" s="529" t="s">
        <v>129</v>
      </c>
      <c r="G1367" s="529" t="s">
        <v>129</v>
      </c>
      <c r="H1367" s="529" t="s">
        <v>129</v>
      </c>
      <c r="I1367" s="529" t="s">
        <v>129</v>
      </c>
      <c r="J1367" s="529" t="s">
        <v>129</v>
      </c>
      <c r="K1367" s="529" t="s">
        <v>129</v>
      </c>
      <c r="L1367" s="1048" t="s">
        <v>129</v>
      </c>
    </row>
    <row r="1368" spans="2:12" hidden="1" outlineLevel="1" x14ac:dyDescent="0.2">
      <c r="B1368" s="1047" t="s">
        <v>129</v>
      </c>
      <c r="C1368" s="529" t="s">
        <v>129</v>
      </c>
      <c r="D1368" s="529" t="s">
        <v>129</v>
      </c>
      <c r="E1368" s="529" t="s">
        <v>129</v>
      </c>
      <c r="F1368" s="529" t="s">
        <v>129</v>
      </c>
      <c r="G1368" s="529" t="s">
        <v>129</v>
      </c>
      <c r="H1368" s="529" t="s">
        <v>129</v>
      </c>
      <c r="I1368" s="529" t="s">
        <v>129</v>
      </c>
      <c r="J1368" s="529" t="s">
        <v>129</v>
      </c>
      <c r="K1368" s="529" t="s">
        <v>129</v>
      </c>
      <c r="L1368" s="1048" t="s">
        <v>129</v>
      </c>
    </row>
    <row r="1369" spans="2:12" hidden="1" outlineLevel="1" x14ac:dyDescent="0.2">
      <c r="B1369" s="1047" t="s">
        <v>129</v>
      </c>
      <c r="C1369" s="529" t="s">
        <v>129</v>
      </c>
      <c r="D1369" s="529" t="s">
        <v>129</v>
      </c>
      <c r="E1369" s="529" t="s">
        <v>129</v>
      </c>
      <c r="F1369" s="529" t="s">
        <v>129</v>
      </c>
      <c r="G1369" s="529" t="s">
        <v>129</v>
      </c>
      <c r="H1369" s="529" t="s">
        <v>129</v>
      </c>
      <c r="I1369" s="529" t="s">
        <v>129</v>
      </c>
      <c r="J1369" s="529" t="s">
        <v>129</v>
      </c>
      <c r="K1369" s="529" t="s">
        <v>129</v>
      </c>
      <c r="L1369" s="1048" t="s">
        <v>129</v>
      </c>
    </row>
    <row r="1370" spans="2:12" hidden="1" outlineLevel="1" x14ac:dyDescent="0.2">
      <c r="B1370" s="1047" t="s">
        <v>129</v>
      </c>
      <c r="C1370" s="529" t="s">
        <v>129</v>
      </c>
      <c r="D1370" s="529" t="s">
        <v>129</v>
      </c>
      <c r="E1370" s="529" t="s">
        <v>129</v>
      </c>
      <c r="F1370" s="529" t="s">
        <v>129</v>
      </c>
      <c r="G1370" s="529" t="s">
        <v>129</v>
      </c>
      <c r="H1370" s="529" t="s">
        <v>129</v>
      </c>
      <c r="I1370" s="529" t="s">
        <v>129</v>
      </c>
      <c r="J1370" s="529" t="s">
        <v>129</v>
      </c>
      <c r="K1370" s="529" t="s">
        <v>129</v>
      </c>
      <c r="L1370" s="1048" t="s">
        <v>129</v>
      </c>
    </row>
    <row r="1371" spans="2:12" hidden="1" outlineLevel="1" x14ac:dyDescent="0.2">
      <c r="B1371" s="1047" t="s">
        <v>129</v>
      </c>
      <c r="C1371" s="529" t="s">
        <v>129</v>
      </c>
      <c r="D1371" s="529" t="s">
        <v>129</v>
      </c>
      <c r="E1371" s="529" t="s">
        <v>129</v>
      </c>
      <c r="F1371" s="529" t="s">
        <v>129</v>
      </c>
      <c r="G1371" s="529" t="s">
        <v>129</v>
      </c>
      <c r="H1371" s="529" t="s">
        <v>129</v>
      </c>
      <c r="I1371" s="529" t="s">
        <v>129</v>
      </c>
      <c r="J1371" s="529" t="s">
        <v>129</v>
      </c>
      <c r="K1371" s="529" t="s">
        <v>129</v>
      </c>
      <c r="L1371" s="1048" t="s">
        <v>129</v>
      </c>
    </row>
    <row r="1372" spans="2:12" hidden="1" outlineLevel="1" x14ac:dyDescent="0.2">
      <c r="B1372" s="1047" t="s">
        <v>129</v>
      </c>
      <c r="C1372" s="529" t="s">
        <v>129</v>
      </c>
      <c r="D1372" s="529" t="s">
        <v>129</v>
      </c>
      <c r="E1372" s="529" t="s">
        <v>129</v>
      </c>
      <c r="F1372" s="529" t="s">
        <v>129</v>
      </c>
      <c r="G1372" s="529" t="s">
        <v>129</v>
      </c>
      <c r="H1372" s="529" t="s">
        <v>129</v>
      </c>
      <c r="I1372" s="529" t="s">
        <v>129</v>
      </c>
      <c r="J1372" s="529" t="s">
        <v>129</v>
      </c>
      <c r="K1372" s="529" t="s">
        <v>129</v>
      </c>
      <c r="L1372" s="1048" t="s">
        <v>129</v>
      </c>
    </row>
    <row r="1373" spans="2:12" hidden="1" outlineLevel="1" x14ac:dyDescent="0.2">
      <c r="B1373" s="1047" t="s">
        <v>129</v>
      </c>
      <c r="C1373" s="529" t="s">
        <v>129</v>
      </c>
      <c r="D1373" s="529" t="s">
        <v>129</v>
      </c>
      <c r="E1373" s="529" t="s">
        <v>129</v>
      </c>
      <c r="F1373" s="529" t="s">
        <v>129</v>
      </c>
      <c r="G1373" s="529" t="s">
        <v>129</v>
      </c>
      <c r="H1373" s="529" t="s">
        <v>129</v>
      </c>
      <c r="I1373" s="529" t="s">
        <v>129</v>
      </c>
      <c r="J1373" s="529" t="s">
        <v>129</v>
      </c>
      <c r="K1373" s="529" t="s">
        <v>129</v>
      </c>
      <c r="L1373" s="1048" t="s">
        <v>129</v>
      </c>
    </row>
    <row r="1374" spans="2:12" hidden="1" outlineLevel="1" x14ac:dyDescent="0.2">
      <c r="B1374" s="1047" t="s">
        <v>129</v>
      </c>
      <c r="C1374" s="529" t="s">
        <v>129</v>
      </c>
      <c r="D1374" s="529" t="s">
        <v>129</v>
      </c>
      <c r="E1374" s="529" t="s">
        <v>129</v>
      </c>
      <c r="F1374" s="529" t="s">
        <v>129</v>
      </c>
      <c r="G1374" s="529" t="s">
        <v>129</v>
      </c>
      <c r="H1374" s="529" t="s">
        <v>129</v>
      </c>
      <c r="I1374" s="529" t="s">
        <v>129</v>
      </c>
      <c r="J1374" s="529" t="s">
        <v>129</v>
      </c>
      <c r="K1374" s="529" t="s">
        <v>129</v>
      </c>
      <c r="L1374" s="1048" t="s">
        <v>129</v>
      </c>
    </row>
    <row r="1375" spans="2:12" hidden="1" outlineLevel="1" x14ac:dyDescent="0.2">
      <c r="B1375" s="1047" t="s">
        <v>129</v>
      </c>
      <c r="C1375" s="529" t="s">
        <v>129</v>
      </c>
      <c r="D1375" s="529" t="s">
        <v>129</v>
      </c>
      <c r="E1375" s="529" t="s">
        <v>129</v>
      </c>
      <c r="F1375" s="529" t="s">
        <v>129</v>
      </c>
      <c r="G1375" s="529" t="s">
        <v>129</v>
      </c>
      <c r="H1375" s="529" t="s">
        <v>129</v>
      </c>
      <c r="I1375" s="529" t="s">
        <v>129</v>
      </c>
      <c r="J1375" s="529" t="s">
        <v>129</v>
      </c>
      <c r="K1375" s="529" t="s">
        <v>129</v>
      </c>
      <c r="L1375" s="1048" t="s">
        <v>129</v>
      </c>
    </row>
    <row r="1376" spans="2:12" hidden="1" outlineLevel="1" x14ac:dyDescent="0.2">
      <c r="B1376" s="1047" t="s">
        <v>129</v>
      </c>
      <c r="C1376" s="529" t="s">
        <v>129</v>
      </c>
      <c r="D1376" s="529" t="s">
        <v>129</v>
      </c>
      <c r="E1376" s="529" t="s">
        <v>129</v>
      </c>
      <c r="F1376" s="529" t="s">
        <v>129</v>
      </c>
      <c r="G1376" s="529" t="s">
        <v>129</v>
      </c>
      <c r="H1376" s="529" t="s">
        <v>129</v>
      </c>
      <c r="I1376" s="529" t="s">
        <v>129</v>
      </c>
      <c r="J1376" s="529" t="s">
        <v>129</v>
      </c>
      <c r="K1376" s="529" t="s">
        <v>129</v>
      </c>
      <c r="L1376" s="1048" t="s">
        <v>129</v>
      </c>
    </row>
    <row r="1377" spans="2:12" hidden="1" outlineLevel="1" x14ac:dyDescent="0.2">
      <c r="B1377" s="1047" t="s">
        <v>129</v>
      </c>
      <c r="C1377" s="529" t="s">
        <v>129</v>
      </c>
      <c r="D1377" s="529" t="s">
        <v>129</v>
      </c>
      <c r="E1377" s="529" t="s">
        <v>129</v>
      </c>
      <c r="F1377" s="529" t="s">
        <v>129</v>
      </c>
      <c r="G1377" s="529" t="s">
        <v>129</v>
      </c>
      <c r="H1377" s="529" t="s">
        <v>129</v>
      </c>
      <c r="I1377" s="529" t="s">
        <v>129</v>
      </c>
      <c r="J1377" s="529" t="s">
        <v>129</v>
      </c>
      <c r="K1377" s="529" t="s">
        <v>129</v>
      </c>
      <c r="L1377" s="1048" t="s">
        <v>129</v>
      </c>
    </row>
    <row r="1378" spans="2:12" hidden="1" outlineLevel="1" x14ac:dyDescent="0.2">
      <c r="B1378" s="1047" t="s">
        <v>129</v>
      </c>
      <c r="C1378" s="529" t="s">
        <v>129</v>
      </c>
      <c r="D1378" s="529" t="s">
        <v>129</v>
      </c>
      <c r="E1378" s="529" t="s">
        <v>129</v>
      </c>
      <c r="F1378" s="529" t="s">
        <v>129</v>
      </c>
      <c r="G1378" s="529" t="s">
        <v>129</v>
      </c>
      <c r="H1378" s="529" t="s">
        <v>129</v>
      </c>
      <c r="I1378" s="529" t="s">
        <v>129</v>
      </c>
      <c r="J1378" s="529" t="s">
        <v>129</v>
      </c>
      <c r="K1378" s="529" t="s">
        <v>129</v>
      </c>
      <c r="L1378" s="1048" t="s">
        <v>129</v>
      </c>
    </row>
    <row r="1379" spans="2:12" hidden="1" outlineLevel="1" x14ac:dyDescent="0.2">
      <c r="B1379" s="1047" t="s">
        <v>129</v>
      </c>
      <c r="C1379" s="529" t="s">
        <v>129</v>
      </c>
      <c r="D1379" s="529" t="s">
        <v>129</v>
      </c>
      <c r="E1379" s="529" t="s">
        <v>129</v>
      </c>
      <c r="F1379" s="529" t="s">
        <v>129</v>
      </c>
      <c r="G1379" s="529" t="s">
        <v>129</v>
      </c>
      <c r="H1379" s="529" t="s">
        <v>129</v>
      </c>
      <c r="I1379" s="529" t="s">
        <v>129</v>
      </c>
      <c r="J1379" s="529" t="s">
        <v>129</v>
      </c>
      <c r="K1379" s="529" t="s">
        <v>129</v>
      </c>
      <c r="L1379" s="1048" t="s">
        <v>129</v>
      </c>
    </row>
    <row r="1380" spans="2:12" hidden="1" outlineLevel="1" x14ac:dyDescent="0.2">
      <c r="B1380" s="1047" t="s">
        <v>129</v>
      </c>
      <c r="C1380" s="529" t="s">
        <v>129</v>
      </c>
      <c r="D1380" s="529" t="s">
        <v>129</v>
      </c>
      <c r="E1380" s="529" t="s">
        <v>129</v>
      </c>
      <c r="F1380" s="529" t="s">
        <v>129</v>
      </c>
      <c r="G1380" s="529" t="s">
        <v>129</v>
      </c>
      <c r="H1380" s="529" t="s">
        <v>129</v>
      </c>
      <c r="I1380" s="529" t="s">
        <v>129</v>
      </c>
      <c r="J1380" s="529" t="s">
        <v>129</v>
      </c>
      <c r="K1380" s="529" t="s">
        <v>129</v>
      </c>
      <c r="L1380" s="1048" t="s">
        <v>129</v>
      </c>
    </row>
    <row r="1381" spans="2:12" hidden="1" outlineLevel="1" x14ac:dyDescent="0.2">
      <c r="B1381" s="1047" t="s">
        <v>129</v>
      </c>
      <c r="C1381" s="529" t="s">
        <v>129</v>
      </c>
      <c r="D1381" s="529" t="s">
        <v>129</v>
      </c>
      <c r="E1381" s="529" t="s">
        <v>129</v>
      </c>
      <c r="F1381" s="529" t="s">
        <v>129</v>
      </c>
      <c r="G1381" s="529" t="s">
        <v>129</v>
      </c>
      <c r="H1381" s="529" t="s">
        <v>129</v>
      </c>
      <c r="I1381" s="529" t="s">
        <v>129</v>
      </c>
      <c r="J1381" s="529" t="s">
        <v>129</v>
      </c>
      <c r="K1381" s="529" t="s">
        <v>129</v>
      </c>
      <c r="L1381" s="1048" t="s">
        <v>129</v>
      </c>
    </row>
    <row r="1382" spans="2:12" hidden="1" outlineLevel="1" x14ac:dyDescent="0.2">
      <c r="B1382" s="1047" t="s">
        <v>129</v>
      </c>
      <c r="C1382" s="529" t="s">
        <v>129</v>
      </c>
      <c r="D1382" s="529" t="s">
        <v>129</v>
      </c>
      <c r="E1382" s="529" t="s">
        <v>129</v>
      </c>
      <c r="F1382" s="529" t="s">
        <v>129</v>
      </c>
      <c r="G1382" s="529" t="s">
        <v>129</v>
      </c>
      <c r="H1382" s="529" t="s">
        <v>129</v>
      </c>
      <c r="I1382" s="529" t="s">
        <v>129</v>
      </c>
      <c r="J1382" s="529" t="s">
        <v>129</v>
      </c>
      <c r="K1382" s="529" t="s">
        <v>129</v>
      </c>
      <c r="L1382" s="1048" t="s">
        <v>129</v>
      </c>
    </row>
    <row r="1383" spans="2:12" hidden="1" outlineLevel="1" x14ac:dyDescent="0.2">
      <c r="B1383" s="1047" t="s">
        <v>129</v>
      </c>
      <c r="C1383" s="529" t="s">
        <v>129</v>
      </c>
      <c r="D1383" s="529" t="s">
        <v>129</v>
      </c>
      <c r="E1383" s="529" t="s">
        <v>129</v>
      </c>
      <c r="F1383" s="529" t="s">
        <v>129</v>
      </c>
      <c r="G1383" s="529" t="s">
        <v>129</v>
      </c>
      <c r="H1383" s="529" t="s">
        <v>129</v>
      </c>
      <c r="I1383" s="529" t="s">
        <v>129</v>
      </c>
      <c r="J1383" s="529" t="s">
        <v>129</v>
      </c>
      <c r="K1383" s="529" t="s">
        <v>129</v>
      </c>
      <c r="L1383" s="1048" t="s">
        <v>129</v>
      </c>
    </row>
    <row r="1384" spans="2:12" hidden="1" outlineLevel="1" x14ac:dyDescent="0.2">
      <c r="B1384" s="1047" t="s">
        <v>129</v>
      </c>
      <c r="C1384" s="529" t="s">
        <v>129</v>
      </c>
      <c r="D1384" s="529" t="s">
        <v>129</v>
      </c>
      <c r="E1384" s="529" t="s">
        <v>129</v>
      </c>
      <c r="F1384" s="529" t="s">
        <v>129</v>
      </c>
      <c r="G1384" s="529" t="s">
        <v>129</v>
      </c>
      <c r="H1384" s="529" t="s">
        <v>129</v>
      </c>
      <c r="I1384" s="529" t="s">
        <v>129</v>
      </c>
      <c r="J1384" s="529" t="s">
        <v>129</v>
      </c>
      <c r="K1384" s="529" t="s">
        <v>129</v>
      </c>
      <c r="L1384" s="1048" t="s">
        <v>129</v>
      </c>
    </row>
    <row r="1385" spans="2:12" hidden="1" outlineLevel="1" x14ac:dyDescent="0.2">
      <c r="B1385" s="1047" t="s">
        <v>129</v>
      </c>
      <c r="C1385" s="529" t="s">
        <v>129</v>
      </c>
      <c r="D1385" s="529" t="s">
        <v>129</v>
      </c>
      <c r="E1385" s="529" t="s">
        <v>129</v>
      </c>
      <c r="F1385" s="529" t="s">
        <v>129</v>
      </c>
      <c r="G1385" s="529" t="s">
        <v>129</v>
      </c>
      <c r="H1385" s="529" t="s">
        <v>129</v>
      </c>
      <c r="I1385" s="529" t="s">
        <v>129</v>
      </c>
      <c r="J1385" s="529" t="s">
        <v>129</v>
      </c>
      <c r="K1385" s="529" t="s">
        <v>129</v>
      </c>
      <c r="L1385" s="1048" t="s">
        <v>129</v>
      </c>
    </row>
    <row r="1386" spans="2:12" hidden="1" outlineLevel="1" x14ac:dyDescent="0.2">
      <c r="B1386" s="1047" t="s">
        <v>129</v>
      </c>
      <c r="C1386" s="529" t="s">
        <v>129</v>
      </c>
      <c r="D1386" s="529" t="s">
        <v>129</v>
      </c>
      <c r="E1386" s="529" t="s">
        <v>129</v>
      </c>
      <c r="F1386" s="529" t="s">
        <v>129</v>
      </c>
      <c r="G1386" s="529" t="s">
        <v>129</v>
      </c>
      <c r="H1386" s="529" t="s">
        <v>129</v>
      </c>
      <c r="I1386" s="529" t="s">
        <v>129</v>
      </c>
      <c r="J1386" s="529" t="s">
        <v>129</v>
      </c>
      <c r="K1386" s="529" t="s">
        <v>129</v>
      </c>
      <c r="L1386" s="1048" t="s">
        <v>129</v>
      </c>
    </row>
    <row r="1387" spans="2:12" hidden="1" outlineLevel="1" x14ac:dyDescent="0.2">
      <c r="B1387" s="1047" t="s">
        <v>129</v>
      </c>
      <c r="C1387" s="529" t="s">
        <v>129</v>
      </c>
      <c r="D1387" s="529" t="s">
        <v>129</v>
      </c>
      <c r="E1387" s="529" t="s">
        <v>129</v>
      </c>
      <c r="F1387" s="529" t="s">
        <v>129</v>
      </c>
      <c r="G1387" s="529" t="s">
        <v>129</v>
      </c>
      <c r="H1387" s="529" t="s">
        <v>129</v>
      </c>
      <c r="I1387" s="529" t="s">
        <v>129</v>
      </c>
      <c r="J1387" s="529" t="s">
        <v>129</v>
      </c>
      <c r="K1387" s="529" t="s">
        <v>129</v>
      </c>
      <c r="L1387" s="1048" t="s">
        <v>129</v>
      </c>
    </row>
    <row r="1388" spans="2:12" hidden="1" outlineLevel="1" x14ac:dyDescent="0.2">
      <c r="B1388" s="1047" t="s">
        <v>129</v>
      </c>
      <c r="C1388" s="529" t="s">
        <v>129</v>
      </c>
      <c r="D1388" s="529" t="s">
        <v>129</v>
      </c>
      <c r="E1388" s="529" t="s">
        <v>129</v>
      </c>
      <c r="F1388" s="529" t="s">
        <v>129</v>
      </c>
      <c r="G1388" s="529" t="s">
        <v>129</v>
      </c>
      <c r="H1388" s="529" t="s">
        <v>129</v>
      </c>
      <c r="I1388" s="529" t="s">
        <v>129</v>
      </c>
      <c r="J1388" s="529" t="s">
        <v>129</v>
      </c>
      <c r="K1388" s="529" t="s">
        <v>129</v>
      </c>
      <c r="L1388" s="1048" t="s">
        <v>129</v>
      </c>
    </row>
    <row r="1389" spans="2:12" hidden="1" outlineLevel="1" x14ac:dyDescent="0.2">
      <c r="B1389" s="1047" t="s">
        <v>129</v>
      </c>
      <c r="C1389" s="529" t="s">
        <v>129</v>
      </c>
      <c r="D1389" s="529" t="s">
        <v>129</v>
      </c>
      <c r="E1389" s="529" t="s">
        <v>129</v>
      </c>
      <c r="F1389" s="529" t="s">
        <v>129</v>
      </c>
      <c r="G1389" s="529" t="s">
        <v>129</v>
      </c>
      <c r="H1389" s="529" t="s">
        <v>129</v>
      </c>
      <c r="I1389" s="529" t="s">
        <v>129</v>
      </c>
      <c r="J1389" s="529" t="s">
        <v>129</v>
      </c>
      <c r="K1389" s="529" t="s">
        <v>129</v>
      </c>
      <c r="L1389" s="1048" t="s">
        <v>129</v>
      </c>
    </row>
    <row r="1390" spans="2:12" hidden="1" outlineLevel="1" x14ac:dyDescent="0.2">
      <c r="B1390" s="1047" t="s">
        <v>129</v>
      </c>
      <c r="C1390" s="529" t="s">
        <v>129</v>
      </c>
      <c r="D1390" s="529" t="s">
        <v>129</v>
      </c>
      <c r="E1390" s="529" t="s">
        <v>129</v>
      </c>
      <c r="F1390" s="529" t="s">
        <v>129</v>
      </c>
      <c r="G1390" s="529" t="s">
        <v>129</v>
      </c>
      <c r="H1390" s="529" t="s">
        <v>129</v>
      </c>
      <c r="I1390" s="529" t="s">
        <v>129</v>
      </c>
      <c r="J1390" s="529" t="s">
        <v>129</v>
      </c>
      <c r="K1390" s="529" t="s">
        <v>129</v>
      </c>
      <c r="L1390" s="1048" t="s">
        <v>129</v>
      </c>
    </row>
    <row r="1391" spans="2:12" hidden="1" outlineLevel="1" x14ac:dyDescent="0.2">
      <c r="B1391" s="1047" t="s">
        <v>129</v>
      </c>
      <c r="C1391" s="529" t="s">
        <v>129</v>
      </c>
      <c r="D1391" s="529" t="s">
        <v>129</v>
      </c>
      <c r="E1391" s="529" t="s">
        <v>129</v>
      </c>
      <c r="F1391" s="529" t="s">
        <v>129</v>
      </c>
      <c r="G1391" s="529" t="s">
        <v>129</v>
      </c>
      <c r="H1391" s="529" t="s">
        <v>129</v>
      </c>
      <c r="I1391" s="529" t="s">
        <v>129</v>
      </c>
      <c r="J1391" s="529" t="s">
        <v>129</v>
      </c>
      <c r="K1391" s="529" t="s">
        <v>129</v>
      </c>
      <c r="L1391" s="1048" t="s">
        <v>129</v>
      </c>
    </row>
    <row r="1392" spans="2:12" hidden="1" outlineLevel="1" x14ac:dyDescent="0.2">
      <c r="B1392" s="1047" t="s">
        <v>129</v>
      </c>
      <c r="C1392" s="529" t="s">
        <v>129</v>
      </c>
      <c r="D1392" s="529" t="s">
        <v>129</v>
      </c>
      <c r="E1392" s="529" t="s">
        <v>129</v>
      </c>
      <c r="F1392" s="529" t="s">
        <v>129</v>
      </c>
      <c r="G1392" s="529" t="s">
        <v>129</v>
      </c>
      <c r="H1392" s="529" t="s">
        <v>129</v>
      </c>
      <c r="I1392" s="529" t="s">
        <v>129</v>
      </c>
      <c r="J1392" s="529" t="s">
        <v>129</v>
      </c>
      <c r="K1392" s="529" t="s">
        <v>129</v>
      </c>
      <c r="L1392" s="1048" t="s">
        <v>129</v>
      </c>
    </row>
    <row r="1393" spans="2:12" hidden="1" outlineLevel="1" x14ac:dyDescent="0.2">
      <c r="B1393" s="1047" t="s">
        <v>129</v>
      </c>
      <c r="C1393" s="529" t="s">
        <v>129</v>
      </c>
      <c r="D1393" s="529" t="s">
        <v>129</v>
      </c>
      <c r="E1393" s="529" t="s">
        <v>129</v>
      </c>
      <c r="F1393" s="529" t="s">
        <v>129</v>
      </c>
      <c r="G1393" s="529" t="s">
        <v>129</v>
      </c>
      <c r="H1393" s="529" t="s">
        <v>129</v>
      </c>
      <c r="I1393" s="529" t="s">
        <v>129</v>
      </c>
      <c r="J1393" s="529" t="s">
        <v>129</v>
      </c>
      <c r="K1393" s="529" t="s">
        <v>129</v>
      </c>
      <c r="L1393" s="1048" t="s">
        <v>129</v>
      </c>
    </row>
    <row r="1394" spans="2:12" hidden="1" outlineLevel="1" x14ac:dyDescent="0.2">
      <c r="B1394" s="1047" t="s">
        <v>129</v>
      </c>
      <c r="C1394" s="529" t="s">
        <v>129</v>
      </c>
      <c r="D1394" s="529" t="s">
        <v>129</v>
      </c>
      <c r="E1394" s="529" t="s">
        <v>129</v>
      </c>
      <c r="F1394" s="529" t="s">
        <v>129</v>
      </c>
      <c r="G1394" s="529" t="s">
        <v>129</v>
      </c>
      <c r="H1394" s="529" t="s">
        <v>129</v>
      </c>
      <c r="I1394" s="529" t="s">
        <v>129</v>
      </c>
      <c r="J1394" s="529" t="s">
        <v>129</v>
      </c>
      <c r="K1394" s="529" t="s">
        <v>129</v>
      </c>
      <c r="L1394" s="1048" t="s">
        <v>129</v>
      </c>
    </row>
    <row r="1395" spans="2:12" hidden="1" outlineLevel="1" x14ac:dyDescent="0.2">
      <c r="B1395" s="1047" t="s">
        <v>129</v>
      </c>
      <c r="C1395" s="529" t="s">
        <v>129</v>
      </c>
      <c r="D1395" s="529" t="s">
        <v>129</v>
      </c>
      <c r="E1395" s="529" t="s">
        <v>129</v>
      </c>
      <c r="F1395" s="529" t="s">
        <v>129</v>
      </c>
      <c r="G1395" s="529" t="s">
        <v>129</v>
      </c>
      <c r="H1395" s="529" t="s">
        <v>129</v>
      </c>
      <c r="I1395" s="529" t="s">
        <v>129</v>
      </c>
      <c r="J1395" s="529" t="s">
        <v>129</v>
      </c>
      <c r="K1395" s="529" t="s">
        <v>129</v>
      </c>
      <c r="L1395" s="1048" t="s">
        <v>129</v>
      </c>
    </row>
    <row r="1396" spans="2:12" hidden="1" outlineLevel="1" x14ac:dyDescent="0.2">
      <c r="B1396" s="1047" t="s">
        <v>129</v>
      </c>
      <c r="C1396" s="529" t="s">
        <v>129</v>
      </c>
      <c r="D1396" s="529" t="s">
        <v>129</v>
      </c>
      <c r="E1396" s="529" t="s">
        <v>129</v>
      </c>
      <c r="F1396" s="529" t="s">
        <v>129</v>
      </c>
      <c r="G1396" s="529" t="s">
        <v>129</v>
      </c>
      <c r="H1396" s="529" t="s">
        <v>129</v>
      </c>
      <c r="I1396" s="529" t="s">
        <v>129</v>
      </c>
      <c r="J1396" s="529" t="s">
        <v>129</v>
      </c>
      <c r="K1396" s="529" t="s">
        <v>129</v>
      </c>
      <c r="L1396" s="1048" t="s">
        <v>129</v>
      </c>
    </row>
    <row r="1397" spans="2:12" hidden="1" outlineLevel="1" x14ac:dyDescent="0.2">
      <c r="B1397" s="1047" t="s">
        <v>129</v>
      </c>
      <c r="C1397" s="529" t="s">
        <v>129</v>
      </c>
      <c r="D1397" s="529" t="s">
        <v>129</v>
      </c>
      <c r="E1397" s="529" t="s">
        <v>129</v>
      </c>
      <c r="F1397" s="529" t="s">
        <v>129</v>
      </c>
      <c r="G1397" s="529" t="s">
        <v>129</v>
      </c>
      <c r="H1397" s="529" t="s">
        <v>129</v>
      </c>
      <c r="I1397" s="529" t="s">
        <v>129</v>
      </c>
      <c r="J1397" s="529" t="s">
        <v>129</v>
      </c>
      <c r="K1397" s="529" t="s">
        <v>129</v>
      </c>
      <c r="L1397" s="1048" t="s">
        <v>129</v>
      </c>
    </row>
    <row r="1398" spans="2:12" hidden="1" outlineLevel="1" x14ac:dyDescent="0.2">
      <c r="B1398" s="1047" t="s">
        <v>129</v>
      </c>
      <c r="C1398" s="529" t="s">
        <v>129</v>
      </c>
      <c r="D1398" s="529" t="s">
        <v>129</v>
      </c>
      <c r="E1398" s="529" t="s">
        <v>129</v>
      </c>
      <c r="F1398" s="529" t="s">
        <v>129</v>
      </c>
      <c r="G1398" s="529" t="s">
        <v>129</v>
      </c>
      <c r="H1398" s="529" t="s">
        <v>129</v>
      </c>
      <c r="I1398" s="529" t="s">
        <v>129</v>
      </c>
      <c r="J1398" s="529" t="s">
        <v>129</v>
      </c>
      <c r="K1398" s="529" t="s">
        <v>129</v>
      </c>
      <c r="L1398" s="1048" t="s">
        <v>129</v>
      </c>
    </row>
    <row r="1399" spans="2:12" hidden="1" outlineLevel="1" x14ac:dyDescent="0.2">
      <c r="B1399" s="1047" t="s">
        <v>129</v>
      </c>
      <c r="C1399" s="529" t="s">
        <v>129</v>
      </c>
      <c r="D1399" s="529" t="s">
        <v>129</v>
      </c>
      <c r="E1399" s="529" t="s">
        <v>129</v>
      </c>
      <c r="F1399" s="529" t="s">
        <v>129</v>
      </c>
      <c r="G1399" s="529" t="s">
        <v>129</v>
      </c>
      <c r="H1399" s="529" t="s">
        <v>129</v>
      </c>
      <c r="I1399" s="529" t="s">
        <v>129</v>
      </c>
      <c r="J1399" s="529" t="s">
        <v>129</v>
      </c>
      <c r="K1399" s="529" t="s">
        <v>129</v>
      </c>
      <c r="L1399" s="1048" t="s">
        <v>129</v>
      </c>
    </row>
    <row r="1400" spans="2:12" hidden="1" outlineLevel="1" x14ac:dyDescent="0.2">
      <c r="B1400" s="1047" t="s">
        <v>129</v>
      </c>
      <c r="C1400" s="529" t="s">
        <v>129</v>
      </c>
      <c r="D1400" s="529" t="s">
        <v>129</v>
      </c>
      <c r="E1400" s="529" t="s">
        <v>129</v>
      </c>
      <c r="F1400" s="529" t="s">
        <v>129</v>
      </c>
      <c r="G1400" s="529" t="s">
        <v>129</v>
      </c>
      <c r="H1400" s="529" t="s">
        <v>129</v>
      </c>
      <c r="I1400" s="529" t="s">
        <v>129</v>
      </c>
      <c r="J1400" s="529" t="s">
        <v>129</v>
      </c>
      <c r="K1400" s="529" t="s">
        <v>129</v>
      </c>
      <c r="L1400" s="1048" t="s">
        <v>129</v>
      </c>
    </row>
    <row r="1401" spans="2:12" hidden="1" outlineLevel="1" x14ac:dyDescent="0.2">
      <c r="B1401" s="1047" t="s">
        <v>129</v>
      </c>
      <c r="C1401" s="529" t="s">
        <v>129</v>
      </c>
      <c r="D1401" s="529" t="s">
        <v>129</v>
      </c>
      <c r="E1401" s="529" t="s">
        <v>129</v>
      </c>
      <c r="F1401" s="529" t="s">
        <v>129</v>
      </c>
      <c r="G1401" s="529" t="s">
        <v>129</v>
      </c>
      <c r="H1401" s="529" t="s">
        <v>129</v>
      </c>
      <c r="I1401" s="529" t="s">
        <v>129</v>
      </c>
      <c r="J1401" s="529" t="s">
        <v>129</v>
      </c>
      <c r="K1401" s="529" t="s">
        <v>129</v>
      </c>
      <c r="L1401" s="1048" t="s">
        <v>129</v>
      </c>
    </row>
    <row r="1402" spans="2:12" hidden="1" outlineLevel="1" x14ac:dyDescent="0.2">
      <c r="B1402" s="1047" t="s">
        <v>129</v>
      </c>
      <c r="C1402" s="529" t="s">
        <v>129</v>
      </c>
      <c r="D1402" s="529" t="s">
        <v>129</v>
      </c>
      <c r="E1402" s="529" t="s">
        <v>129</v>
      </c>
      <c r="F1402" s="529" t="s">
        <v>129</v>
      </c>
      <c r="G1402" s="529" t="s">
        <v>129</v>
      </c>
      <c r="H1402" s="529" t="s">
        <v>129</v>
      </c>
      <c r="I1402" s="529" t="s">
        <v>129</v>
      </c>
      <c r="J1402" s="529" t="s">
        <v>129</v>
      </c>
      <c r="K1402" s="529" t="s">
        <v>129</v>
      </c>
      <c r="L1402" s="1048" t="s">
        <v>129</v>
      </c>
    </row>
    <row r="1403" spans="2:12" hidden="1" outlineLevel="1" x14ac:dyDescent="0.2">
      <c r="B1403" s="1047" t="s">
        <v>129</v>
      </c>
      <c r="C1403" s="529" t="s">
        <v>129</v>
      </c>
      <c r="D1403" s="529" t="s">
        <v>129</v>
      </c>
      <c r="E1403" s="529" t="s">
        <v>129</v>
      </c>
      <c r="F1403" s="529" t="s">
        <v>129</v>
      </c>
      <c r="G1403" s="529" t="s">
        <v>129</v>
      </c>
      <c r="H1403" s="529" t="s">
        <v>129</v>
      </c>
      <c r="I1403" s="529" t="s">
        <v>129</v>
      </c>
      <c r="J1403" s="529" t="s">
        <v>129</v>
      </c>
      <c r="K1403" s="529" t="s">
        <v>129</v>
      </c>
      <c r="L1403" s="1048" t="s">
        <v>129</v>
      </c>
    </row>
    <row r="1404" spans="2:12" hidden="1" outlineLevel="1" x14ac:dyDescent="0.2">
      <c r="B1404" s="1047" t="s">
        <v>129</v>
      </c>
      <c r="C1404" s="529" t="s">
        <v>129</v>
      </c>
      <c r="D1404" s="529" t="s">
        <v>129</v>
      </c>
      <c r="E1404" s="529" t="s">
        <v>129</v>
      </c>
      <c r="F1404" s="529" t="s">
        <v>129</v>
      </c>
      <c r="G1404" s="529" t="s">
        <v>129</v>
      </c>
      <c r="H1404" s="529" t="s">
        <v>129</v>
      </c>
      <c r="I1404" s="529" t="s">
        <v>129</v>
      </c>
      <c r="J1404" s="529" t="s">
        <v>129</v>
      </c>
      <c r="K1404" s="529" t="s">
        <v>129</v>
      </c>
      <c r="L1404" s="1048" t="s">
        <v>129</v>
      </c>
    </row>
    <row r="1405" spans="2:12" hidden="1" outlineLevel="1" x14ac:dyDescent="0.2">
      <c r="B1405" s="1047" t="s">
        <v>129</v>
      </c>
      <c r="C1405" s="529" t="s">
        <v>129</v>
      </c>
      <c r="D1405" s="529" t="s">
        <v>129</v>
      </c>
      <c r="E1405" s="529" t="s">
        <v>129</v>
      </c>
      <c r="F1405" s="529" t="s">
        <v>129</v>
      </c>
      <c r="G1405" s="529" t="s">
        <v>129</v>
      </c>
      <c r="H1405" s="529" t="s">
        <v>129</v>
      </c>
      <c r="I1405" s="529" t="s">
        <v>129</v>
      </c>
      <c r="J1405" s="529" t="s">
        <v>129</v>
      </c>
      <c r="K1405" s="529" t="s">
        <v>129</v>
      </c>
      <c r="L1405" s="1048" t="s">
        <v>129</v>
      </c>
    </row>
    <row r="1406" spans="2:12" hidden="1" outlineLevel="1" x14ac:dyDescent="0.2">
      <c r="B1406" s="1047" t="s">
        <v>129</v>
      </c>
      <c r="C1406" s="529" t="s">
        <v>129</v>
      </c>
      <c r="D1406" s="529" t="s">
        <v>129</v>
      </c>
      <c r="E1406" s="529" t="s">
        <v>129</v>
      </c>
      <c r="F1406" s="529" t="s">
        <v>129</v>
      </c>
      <c r="G1406" s="529" t="s">
        <v>129</v>
      </c>
      <c r="H1406" s="529" t="s">
        <v>129</v>
      </c>
      <c r="I1406" s="529" t="s">
        <v>129</v>
      </c>
      <c r="J1406" s="529" t="s">
        <v>129</v>
      </c>
      <c r="K1406" s="529" t="s">
        <v>129</v>
      </c>
      <c r="L1406" s="1048" t="s">
        <v>129</v>
      </c>
    </row>
    <row r="1407" spans="2:12" hidden="1" outlineLevel="1" x14ac:dyDescent="0.2">
      <c r="B1407" s="1047" t="s">
        <v>129</v>
      </c>
      <c r="C1407" s="529" t="s">
        <v>129</v>
      </c>
      <c r="D1407" s="529" t="s">
        <v>129</v>
      </c>
      <c r="E1407" s="529" t="s">
        <v>129</v>
      </c>
      <c r="F1407" s="529" t="s">
        <v>129</v>
      </c>
      <c r="G1407" s="529" t="s">
        <v>129</v>
      </c>
      <c r="H1407" s="529" t="s">
        <v>129</v>
      </c>
      <c r="I1407" s="529" t="s">
        <v>129</v>
      </c>
      <c r="J1407" s="529" t="s">
        <v>129</v>
      </c>
      <c r="K1407" s="529" t="s">
        <v>129</v>
      </c>
      <c r="L1407" s="1048" t="s">
        <v>129</v>
      </c>
    </row>
    <row r="1408" spans="2:12" ht="12" collapsed="1" thickBot="1" x14ac:dyDescent="0.25">
      <c r="B1408" s="1040"/>
      <c r="C1408" s="1041"/>
      <c r="D1408" s="1041"/>
      <c r="E1408" s="1041"/>
      <c r="F1408" s="1041"/>
      <c r="G1408" s="1041"/>
      <c r="H1408" s="1041"/>
      <c r="I1408" s="1041"/>
      <c r="J1408" s="1041"/>
      <c r="K1408" s="1041"/>
      <c r="L1408" s="1042"/>
    </row>
    <row r="1409" spans="2:18" ht="12" thickTop="1" x14ac:dyDescent="0.2"/>
    <row r="1411" spans="2:18" ht="12" x14ac:dyDescent="0.25">
      <c r="B1411" s="26" t="str">
        <f>'WK9 - Ratios'!G5</f>
        <v>WORKSHEET 9</v>
      </c>
    </row>
    <row r="1412" spans="2:18" ht="12" x14ac:dyDescent="0.25">
      <c r="B1412" s="26" t="str">
        <f>'WK9 - Ratios'!G7</f>
        <v>FINANCIAL RATIOS</v>
      </c>
    </row>
    <row r="1413" spans="2:18" ht="12" x14ac:dyDescent="0.25">
      <c r="B1413" s="1205"/>
      <c r="C1413" s="815"/>
      <c r="D1413" s="815"/>
      <c r="E1413" s="1199"/>
      <c r="F1413" s="930" t="str">
        <f>'WK9 - Ratios'!I15</f>
        <v>Historical ratios</v>
      </c>
      <c r="G1413" s="918"/>
      <c r="H1413" s="815"/>
      <c r="I1413" s="815"/>
      <c r="J1413" s="815"/>
      <c r="K1413" s="815"/>
      <c r="L1413" s="930" t="str">
        <f>'WK9 - Ratios'!P15</f>
        <v>Forecast ratios</v>
      </c>
      <c r="M1413" s="815"/>
      <c r="N1413" s="815"/>
      <c r="O1413" s="815"/>
      <c r="P1413" s="815"/>
      <c r="Q1413" s="815"/>
      <c r="R1413" s="918"/>
    </row>
    <row r="1414" spans="2:18" x14ac:dyDescent="0.2">
      <c r="B1414" s="630" t="s">
        <v>145</v>
      </c>
      <c r="C1414" s="3"/>
      <c r="D1414" s="3"/>
      <c r="E1414" s="1200" t="s">
        <v>146</v>
      </c>
      <c r="F1414" s="872" t="s">
        <v>147</v>
      </c>
      <c r="G1414" s="922" t="s">
        <v>148</v>
      </c>
      <c r="H1414" s="872" t="str">
        <f>'WK9 - Ratios'!L16</f>
        <v>Year 0</v>
      </c>
      <c r="I1414" s="872" t="str">
        <f>'WK9 - Ratios'!M16</f>
        <v>Year 1</v>
      </c>
      <c r="J1414" s="872" t="str">
        <f>'WK9 - Ratios'!N16</f>
        <v>Year 2</v>
      </c>
      <c r="K1414" s="872" t="str">
        <f>'WK9 - Ratios'!O16</f>
        <v>Year 3</v>
      </c>
      <c r="L1414" s="872" t="str">
        <f>'WK9 - Ratios'!P16</f>
        <v>Year 4</v>
      </c>
      <c r="M1414" s="872" t="str">
        <f>'WK9 - Ratios'!Q16</f>
        <v>Year 5</v>
      </c>
      <c r="N1414" s="872" t="str">
        <f>'WK9 - Ratios'!R16</f>
        <v>Year 6</v>
      </c>
      <c r="O1414" s="872" t="str">
        <f>'WK9 - Ratios'!S16</f>
        <v>Year 7</v>
      </c>
      <c r="P1414" s="872" t="str">
        <f>'WK9 - Ratios'!T16</f>
        <v>Year 8</v>
      </c>
      <c r="Q1414" s="872" t="str">
        <f>'WK9 - Ratios'!U16</f>
        <v>Year 9</v>
      </c>
      <c r="R1414" s="922" t="str">
        <f>'WK9 - Ratios'!V16</f>
        <v>Year 10</v>
      </c>
    </row>
    <row r="1415" spans="2:18" ht="12" x14ac:dyDescent="0.25">
      <c r="B1415" s="621" t="s">
        <v>149</v>
      </c>
      <c r="C1415" s="93"/>
      <c r="D1415" s="93"/>
      <c r="E1415" s="709" t="str">
        <f>'WK9 - Ratios'!I17</f>
        <v>2019-20</v>
      </c>
      <c r="F1415" s="626" t="str">
        <f>'WK9 - Ratios'!J17</f>
        <v>2020-21</v>
      </c>
      <c r="G1415" s="640" t="str">
        <f>'WK9 - Ratios'!K17</f>
        <v>2021-22</v>
      </c>
      <c r="H1415" s="626" t="str">
        <f>'WK9 - Ratios'!L17</f>
        <v>2022-23</v>
      </c>
      <c r="I1415" s="626" t="str">
        <f>'WK9 - Ratios'!M17</f>
        <v>2023-24</v>
      </c>
      <c r="J1415" s="626" t="str">
        <f>'WK9 - Ratios'!N17</f>
        <v>2024-25</v>
      </c>
      <c r="K1415" s="626" t="str">
        <f>'WK9 - Ratios'!O17</f>
        <v>2025-26</v>
      </c>
      <c r="L1415" s="626" t="str">
        <f>'WK9 - Ratios'!P17</f>
        <v>2026-27</v>
      </c>
      <c r="M1415" s="626" t="str">
        <f>'WK9 - Ratios'!Q17</f>
        <v>2027-28</v>
      </c>
      <c r="N1415" s="626" t="str">
        <f>'WK9 - Ratios'!R17</f>
        <v>2028-29</v>
      </c>
      <c r="O1415" s="626" t="str">
        <f>'WK9 - Ratios'!S17</f>
        <v>2029-30</v>
      </c>
      <c r="P1415" s="626" t="str">
        <f>'WK9 - Ratios'!T17</f>
        <v>2030-31</v>
      </c>
      <c r="Q1415" s="626" t="str">
        <f>'WK9 - Ratios'!U17</f>
        <v>2031-32</v>
      </c>
      <c r="R1415" s="640" t="str">
        <f>'WK9 - Ratios'!V17</f>
        <v>2032-33</v>
      </c>
    </row>
    <row r="1416" spans="2:18" x14ac:dyDescent="0.2">
      <c r="B1416" s="135"/>
      <c r="C1416" s="3"/>
      <c r="D1416" s="3"/>
      <c r="E1416" s="135" t="str">
        <f>'WK9 - Ratios'!G56</f>
        <v>$'000 nominal</v>
      </c>
      <c r="F1416" s="3"/>
      <c r="G1416" s="96"/>
      <c r="H1416" s="3" t="str">
        <f>'WK9 - Ratios'!L56</f>
        <v>$'000 nominal</v>
      </c>
      <c r="I1416" s="3"/>
      <c r="J1416" s="3"/>
      <c r="K1416" s="3"/>
      <c r="L1416" s="3"/>
      <c r="M1416" s="3"/>
      <c r="N1416" s="3"/>
      <c r="O1416" s="3"/>
      <c r="P1416" s="3"/>
      <c r="Q1416" s="3"/>
      <c r="R1416" s="96"/>
    </row>
    <row r="1417" spans="2:18" ht="12" x14ac:dyDescent="0.25">
      <c r="B1417" s="665" t="str">
        <f>'WK9 - Ratios'!C59</f>
        <v>Infrastructure Renewals Ratio</v>
      </c>
      <c r="C1417" s="79"/>
      <c r="D1417" s="79"/>
      <c r="E1417" s="563"/>
      <c r="F1417" s="79"/>
      <c r="G1417" s="564"/>
      <c r="H1417" s="79"/>
      <c r="I1417" s="79"/>
      <c r="J1417" s="79"/>
      <c r="K1417" s="79"/>
      <c r="L1417" s="79"/>
      <c r="M1417" s="79"/>
      <c r="N1417" s="79"/>
      <c r="O1417" s="79"/>
      <c r="P1417" s="79"/>
      <c r="Q1417" s="79"/>
      <c r="R1417" s="564"/>
    </row>
    <row r="1418" spans="2:18" x14ac:dyDescent="0.2">
      <c r="B1418" s="767" t="str">
        <f>'WK9 - Ratios'!C60</f>
        <v>Asset renewals (building and infrastructure)</v>
      </c>
      <c r="D1418" t="str">
        <f>'WK9 - Ratios'!F60</f>
        <v>Scenario 1: Proposed (with SV)</v>
      </c>
      <c r="E1418" s="1053">
        <f>'WK9 - Ratios'!I60</f>
        <v>15434</v>
      </c>
      <c r="F1418" s="1049">
        <f>'WK9 - Ratios'!J60</f>
        <v>13837</v>
      </c>
      <c r="G1418" s="1050">
        <f>'WK9 - Ratios'!K60</f>
        <v>14171</v>
      </c>
      <c r="H1418" s="1049">
        <f>'WK9 - Ratios'!L60</f>
        <v>23058.666666666664</v>
      </c>
      <c r="I1418" s="1049">
        <f>'WK9 - Ratios'!M60</f>
        <v>18003.490000000002</v>
      </c>
      <c r="J1418" s="1049">
        <f>'WK9 - Ratios'!N60</f>
        <v>18556.127209999999</v>
      </c>
      <c r="K1418" s="1049">
        <f>'WK9 - Ratios'!O60</f>
        <v>19125.946771879997</v>
      </c>
      <c r="L1418" s="1049">
        <f>'WK9 - Ratios'!P60</f>
        <v>19408.441494405117</v>
      </c>
      <c r="M1418" s="1049">
        <f>'WK9 - Ratios'!Q60</f>
        <v>20010.068090270841</v>
      </c>
      <c r="N1418" s="1049">
        <f>'WK9 - Ratios'!R60</f>
        <v>20411.045724437343</v>
      </c>
      <c r="O1418" s="1049">
        <f>'WK9 - Ratios'!S60</f>
        <v>20781.598821823838</v>
      </c>
      <c r="P1418" s="1049">
        <f>'WK9 - Ratios'!T60</f>
        <v>21251.957193547609</v>
      </c>
      <c r="Q1418" s="1049">
        <f>'WK9 - Ratios'!U60</f>
        <v>21751.206123386299</v>
      </c>
      <c r="R1418" s="1050">
        <f>'WK9 - Ratios'!V60</f>
        <v>22261.611276470951</v>
      </c>
    </row>
    <row r="1419" spans="2:18" x14ac:dyDescent="0.2">
      <c r="B1419" s="767" t="str">
        <f>'WK9 - Ratios'!C61</f>
        <v>Depreciation, amortisation and impairment (building and infrastructure)</v>
      </c>
      <c r="D1419" t="str">
        <f>'WK9 - Ratios'!F61</f>
        <v>Scenario 1: Proposed (with SV)</v>
      </c>
      <c r="E1419" s="1053">
        <f>'WK9 - Ratios'!I61</f>
        <v>16721</v>
      </c>
      <c r="F1419" s="1049">
        <f>'WK9 - Ratios'!J61</f>
        <v>15497</v>
      </c>
      <c r="G1419" s="1050">
        <f>'WK9 - Ratios'!K61</f>
        <v>15533</v>
      </c>
      <c r="H1419" s="1049">
        <f>'WK9 - Ratios'!L61</f>
        <v>17486.582104597397</v>
      </c>
      <c r="I1419" s="1049">
        <f>'WK9 - Ratios'!M61</f>
        <v>17781.94474788777</v>
      </c>
      <c r="J1419" s="1049">
        <f>'WK9 - Ratios'!N61</f>
        <v>18083.521163684523</v>
      </c>
      <c r="K1419" s="1049">
        <f>'WK9 - Ratios'!O61</f>
        <v>18392.641456645568</v>
      </c>
      <c r="L1419" s="1049">
        <f>'WK9 - Ratios'!P61</f>
        <v>18709.484297545849</v>
      </c>
      <c r="M1419" s="1049">
        <f>'WK9 - Ratios'!Q61</f>
        <v>19034.248209468638</v>
      </c>
      <c r="N1419" s="1049">
        <f>'WK9 - Ratios'!R61</f>
        <v>19367.131715497202</v>
      </c>
      <c r="O1419" s="1049">
        <f>'WK9 - Ratios'!S61</f>
        <v>19708.333338714816</v>
      </c>
      <c r="P1419" s="1049">
        <f>'WK9 - Ratios'!T61</f>
        <v>20058.071454513076</v>
      </c>
      <c r="Q1419" s="1049">
        <f>'WK9 - Ratios'!U61</f>
        <v>20416.544585975254</v>
      </c>
      <c r="R1419" s="1050">
        <f>'WK9 - Ratios'!V61</f>
        <v>20783.990960801279</v>
      </c>
    </row>
    <row r="1420" spans="2:18" x14ac:dyDescent="0.2">
      <c r="B1420" s="767" t="str">
        <f>'WK9 - Ratios'!C62</f>
        <v>Asset renewals (building and infrastructure)</v>
      </c>
      <c r="D1420" t="str">
        <f>'WK9 - Ratios'!F62</f>
        <v>Scenario 2 - Base case (no SV)</v>
      </c>
      <c r="E1420" s="1053">
        <f>'WK9 - Ratios'!I62</f>
        <v>15434</v>
      </c>
      <c r="F1420" s="1049">
        <f>'WK9 - Ratios'!J62</f>
        <v>13837</v>
      </c>
      <c r="G1420" s="1050">
        <f>'WK9 - Ratios'!K62</f>
        <v>14171</v>
      </c>
      <c r="H1420" s="1049">
        <f>'WK9 - Ratios'!L62</f>
        <v>23058.666666666664</v>
      </c>
      <c r="I1420" s="1049">
        <f>'WK9 - Ratios'!M62</f>
        <v>14987.489999999998</v>
      </c>
      <c r="J1420" s="1049">
        <f>'WK9 - Ratios'!N62</f>
        <v>15422.127209999997</v>
      </c>
      <c r="K1420" s="1049">
        <f>'WK9 - Ratios'!O62</f>
        <v>15853.946771879997</v>
      </c>
      <c r="L1420" s="1049">
        <f>'WK9 - Ratios'!P62</f>
        <v>16234.441494405117</v>
      </c>
      <c r="M1420" s="1049">
        <f>'WK9 - Ratios'!Q62</f>
        <v>16624.068090270841</v>
      </c>
      <c r="N1420" s="1049">
        <f>'WK9 - Ratios'!R62</f>
        <v>17023.045724437343</v>
      </c>
      <c r="O1420" s="1049">
        <f>'WK9 - Ratios'!S62</f>
        <v>17431.598821823838</v>
      </c>
      <c r="P1420" s="1049">
        <f>'WK9 - Ratios'!T62</f>
        <v>17849.957193547609</v>
      </c>
      <c r="Q1420" s="1049">
        <f>'WK9 - Ratios'!U62</f>
        <v>18296.206123386299</v>
      </c>
      <c r="R1420" s="1050">
        <f>'WK9 - Ratios'!V62</f>
        <v>18753.611276470951</v>
      </c>
    </row>
    <row r="1421" spans="2:18" x14ac:dyDescent="0.2">
      <c r="B1421" s="767" t="str">
        <f>'WK9 - Ratios'!C63</f>
        <v>Depreciation, amortisation and impairment (building and infrastructure)</v>
      </c>
      <c r="D1421" t="str">
        <f>'WK9 - Ratios'!F63</f>
        <v>Scenario 2 - Base case (no SV)</v>
      </c>
      <c r="E1421" s="1053">
        <f>'WK9 - Ratios'!I63</f>
        <v>16721</v>
      </c>
      <c r="F1421" s="1049">
        <f>'WK9 - Ratios'!J63</f>
        <v>15497</v>
      </c>
      <c r="G1421" s="1050">
        <f>'WK9 - Ratios'!K63</f>
        <v>15533</v>
      </c>
      <c r="H1421" s="1049">
        <f>'WK9 - Ratios'!L63</f>
        <v>17486.582104597397</v>
      </c>
      <c r="I1421" s="1049">
        <f>'WK9 - Ratios'!M63</f>
        <v>17781.94474788777</v>
      </c>
      <c r="J1421" s="1049">
        <f>'WK9 - Ratios'!N63</f>
        <v>18083.521163684523</v>
      </c>
      <c r="K1421" s="1049">
        <f>'WK9 - Ratios'!O63</f>
        <v>18392.641456645568</v>
      </c>
      <c r="L1421" s="1049">
        <f>'WK9 - Ratios'!P63</f>
        <v>18709.484297545849</v>
      </c>
      <c r="M1421" s="1049">
        <f>'WK9 - Ratios'!Q63</f>
        <v>19034.248209468638</v>
      </c>
      <c r="N1421" s="1049">
        <f>'WK9 - Ratios'!R63</f>
        <v>19367.131715497202</v>
      </c>
      <c r="O1421" s="1049">
        <f>'WK9 - Ratios'!S63</f>
        <v>19708.333338714816</v>
      </c>
      <c r="P1421" s="1049">
        <f>'WK9 - Ratios'!T63</f>
        <v>20058.071454513076</v>
      </c>
      <c r="Q1421" s="1049">
        <f>'WK9 - Ratios'!U63</f>
        <v>20416.544585975254</v>
      </c>
      <c r="R1421" s="1050">
        <f>'WK9 - Ratios'!V63</f>
        <v>20783.990960801279</v>
      </c>
    </row>
    <row r="1422" spans="2:18" ht="12" x14ac:dyDescent="0.25">
      <c r="B1422" s="665" t="str">
        <f>'WK9 - Ratios'!C65</f>
        <v>Infrastructure Backlog Ratio</v>
      </c>
      <c r="C1422" s="79"/>
      <c r="D1422" s="79"/>
      <c r="E1422" s="563"/>
      <c r="F1422" s="79"/>
      <c r="G1422" s="564"/>
      <c r="H1422" s="79"/>
      <c r="I1422" s="79"/>
      <c r="J1422" s="79"/>
      <c r="K1422" s="79"/>
      <c r="L1422" s="79"/>
      <c r="M1422" s="79"/>
      <c r="N1422" s="79"/>
      <c r="O1422" s="79"/>
      <c r="P1422" s="79"/>
      <c r="Q1422" s="79"/>
      <c r="R1422" s="564"/>
    </row>
    <row r="1423" spans="2:18" x14ac:dyDescent="0.2">
      <c r="B1423" s="767" t="str">
        <f>'WK9 - Ratios'!C66</f>
        <v>Estimated cost to bring assets to satisfactory condition</v>
      </c>
      <c r="D1423" t="str">
        <f>'WK9 - Ratios'!F66</f>
        <v>Scenario 1: Proposed (with SV)</v>
      </c>
      <c r="E1423" s="1053">
        <f>'WK9 - Ratios'!I66</f>
        <v>12176</v>
      </c>
      <c r="F1423" s="1049">
        <f>'WK9 - Ratios'!J66</f>
        <v>13496</v>
      </c>
      <c r="G1423" s="1050">
        <f>'WK9 - Ratios'!K66</f>
        <v>16790</v>
      </c>
      <c r="H1423" s="1049">
        <f>'WK9 - Ratios'!L66</f>
        <v>8212</v>
      </c>
      <c r="I1423" s="1049">
        <f>'WK9 - Ratios'!M66</f>
        <v>6562</v>
      </c>
      <c r="J1423" s="1049">
        <f>'WK9 - Ratios'!N66</f>
        <v>6221</v>
      </c>
      <c r="K1423" s="1049">
        <f>'WK9 - Ratios'!O66</f>
        <v>6221</v>
      </c>
      <c r="L1423" s="1049">
        <f>'WK9 - Ratios'!P66</f>
        <v>6221</v>
      </c>
      <c r="M1423" s="1049">
        <f>'WK9 - Ratios'!Q66</f>
        <v>6221</v>
      </c>
      <c r="N1423" s="1049">
        <f>'WK9 - Ratios'!R66</f>
        <v>6221</v>
      </c>
      <c r="O1423" s="1049">
        <f>'WK9 - Ratios'!S66</f>
        <v>6221</v>
      </c>
      <c r="P1423" s="1049">
        <f>'WK9 - Ratios'!T66</f>
        <v>6221</v>
      </c>
      <c r="Q1423" s="1049">
        <f>'WK9 - Ratios'!U66</f>
        <v>6221</v>
      </c>
      <c r="R1423" s="1050">
        <f>'WK9 - Ratios'!V66</f>
        <v>6221</v>
      </c>
    </row>
    <row r="1424" spans="2:18" x14ac:dyDescent="0.2">
      <c r="B1424" s="767" t="str">
        <f>'WK9 - Ratios'!C67</f>
        <v>Total (WDV)b of infrastructure, buildings, other  structures, depreciable land, and improvement assets</v>
      </c>
      <c r="D1424" t="str">
        <f>'WK9 - Ratios'!F67</f>
        <v>Scenario 1: Proposed (with SV)</v>
      </c>
      <c r="E1424" s="1053">
        <f>'WK9 - Ratios'!I67</f>
        <v>1008005</v>
      </c>
      <c r="F1424" s="1049">
        <f>'WK9 - Ratios'!J67</f>
        <v>1027576</v>
      </c>
      <c r="G1424" s="1050">
        <f>'WK9 - Ratios'!K67</f>
        <v>1141534</v>
      </c>
      <c r="H1424" s="1049">
        <f>'WK9 - Ratios'!L67</f>
        <v>1161927.9807292749</v>
      </c>
      <c r="I1424" s="1049">
        <f>'WK9 - Ratios'!M67</f>
        <v>1157513.5988152595</v>
      </c>
      <c r="J1424" s="1049">
        <f>'WK9 - Ratios'!N67</f>
        <v>1153177.6404854469</v>
      </c>
      <c r="K1424" s="1049">
        <f>'WK9 - Ratios'!O67</f>
        <v>1148921.5618626734</v>
      </c>
      <c r="L1424" s="1049">
        <f>'WK9 - Ratios'!P67</f>
        <v>1144747.6403989999</v>
      </c>
      <c r="M1424" s="1049">
        <f>'WK9 - Ratios'!Q67</f>
        <v>1140657.9550234037</v>
      </c>
      <c r="N1424" s="1049">
        <f>'WK9 - Ratios'!R67</f>
        <v>1136654.3861417784</v>
      </c>
      <c r="O1424" s="1049">
        <f>'WK9 - Ratios'!S67</f>
        <v>1132739.6156369359</v>
      </c>
      <c r="P1424" s="1049">
        <f>'WK9 - Ratios'!T67</f>
        <v>1128915.1070162952</v>
      </c>
      <c r="Q1424" s="1049">
        <f>'WK9 - Ratios'!U67</f>
        <v>1125184.125264192</v>
      </c>
      <c r="R1424" s="1050">
        <f>'WK9 - Ratios'!V67</f>
        <v>1121547.6971372631</v>
      </c>
    </row>
    <row r="1425" spans="2:18" x14ac:dyDescent="0.2">
      <c r="B1425" s="767" t="str">
        <f>'WK9 - Ratios'!C68</f>
        <v>Estimated cost to bring assets to satisfactory condition</v>
      </c>
      <c r="D1425" t="str">
        <f>'WK9 - Ratios'!F68</f>
        <v>Scenario 2 - Base case (no SV)</v>
      </c>
      <c r="E1425" s="1053">
        <f>'WK9 - Ratios'!I68</f>
        <v>12176</v>
      </c>
      <c r="F1425" s="1049">
        <f>'WK9 - Ratios'!J68</f>
        <v>13496</v>
      </c>
      <c r="G1425" s="1050">
        <f>'WK9 - Ratios'!K68</f>
        <v>16790</v>
      </c>
      <c r="H1425" s="1049">
        <f>'WK9 - Ratios'!L68</f>
        <v>8212</v>
      </c>
      <c r="I1425" s="1049">
        <f>'WK9 - Ratios'!M68</f>
        <v>8499.42</v>
      </c>
      <c r="J1425" s="1049">
        <f>'WK9 - Ratios'!N68</f>
        <v>8450.1479999999992</v>
      </c>
      <c r="K1425" s="1049">
        <f>'WK9 - Ratios'!O68</f>
        <v>8441.9359999999997</v>
      </c>
      <c r="L1425" s="1049">
        <f>'WK9 - Ratios'!P68</f>
        <v>8409.0879999999997</v>
      </c>
      <c r="M1425" s="1049">
        <f>'WK9 - Ratios'!Q68</f>
        <v>8409.0879999999997</v>
      </c>
      <c r="N1425" s="1049">
        <f>'WK9 - Ratios'!R68</f>
        <v>8409.0879999999997</v>
      </c>
      <c r="O1425" s="1049">
        <f>'WK9 - Ratios'!S68</f>
        <v>8409.0879999999997</v>
      </c>
      <c r="P1425" s="1049">
        <f>'WK9 - Ratios'!T68</f>
        <v>8409.0879999999997</v>
      </c>
      <c r="Q1425" s="1049">
        <f>'WK9 - Ratios'!U68</f>
        <v>8417.2999999999993</v>
      </c>
      <c r="R1425" s="1050">
        <f>'WK9 - Ratios'!V68</f>
        <v>8417.2999999999993</v>
      </c>
    </row>
    <row r="1426" spans="2:18" x14ac:dyDescent="0.2">
      <c r="B1426" s="767" t="str">
        <f>'WK9 - Ratios'!C69</f>
        <v>Total (WDV)b of infrastructure, buildings, other  structures, depreciable land, and improvement assets</v>
      </c>
      <c r="D1426" t="str">
        <f>'WK9 - Ratios'!F69</f>
        <v>Scenario 2 - Base case (no SV)</v>
      </c>
      <c r="E1426" s="1053">
        <f>'WK9 - Ratios'!I69</f>
        <v>1008005</v>
      </c>
      <c r="F1426" s="1049">
        <f>'WK9 - Ratios'!J69</f>
        <v>1027576</v>
      </c>
      <c r="G1426" s="1050">
        <f>'WK9 - Ratios'!K69</f>
        <v>1141534</v>
      </c>
      <c r="H1426" s="1049">
        <f>'WK9 - Ratios'!L69</f>
        <v>1161927.9807292749</v>
      </c>
      <c r="I1426" s="1049">
        <f>'WK9 - Ratios'!M69</f>
        <v>1157513.5988152595</v>
      </c>
      <c r="J1426" s="1049">
        <f>'WK9 - Ratios'!N69</f>
        <v>1153177.6404854469</v>
      </c>
      <c r="K1426" s="1049">
        <f>'WK9 - Ratios'!O69</f>
        <v>1148921.5618626734</v>
      </c>
      <c r="L1426" s="1049">
        <f>'WK9 - Ratios'!P69</f>
        <v>1144747.6403989999</v>
      </c>
      <c r="M1426" s="1049">
        <f>'WK9 - Ratios'!Q69</f>
        <v>1140657.9550234037</v>
      </c>
      <c r="N1426" s="1049">
        <f>'WK9 - Ratios'!R69</f>
        <v>1136654.3861417784</v>
      </c>
      <c r="O1426" s="1049">
        <f>'WK9 - Ratios'!S69</f>
        <v>1132739.6156369359</v>
      </c>
      <c r="P1426" s="1049">
        <f>'WK9 - Ratios'!T69</f>
        <v>1128915.1070162952</v>
      </c>
      <c r="Q1426" s="1049">
        <f>'WK9 - Ratios'!U69</f>
        <v>1125184.125264192</v>
      </c>
      <c r="R1426" s="1050">
        <f>'WK9 - Ratios'!V69</f>
        <v>1121547.6971372631</v>
      </c>
    </row>
    <row r="1427" spans="2:18" ht="12" x14ac:dyDescent="0.25">
      <c r="B1427" s="665" t="str">
        <f>'WK9 - Ratios'!C71</f>
        <v>Asset Maintenance Ratio</v>
      </c>
      <c r="C1427" s="79"/>
      <c r="D1427" s="79"/>
      <c r="E1427" s="563"/>
      <c r="F1427" s="79"/>
      <c r="G1427" s="564"/>
      <c r="H1427" s="79"/>
      <c r="I1427" s="79"/>
      <c r="J1427" s="79"/>
      <c r="K1427" s="79"/>
      <c r="L1427" s="79"/>
      <c r="M1427" s="79"/>
      <c r="N1427" s="79"/>
      <c r="O1427" s="79"/>
      <c r="P1427" s="79"/>
      <c r="Q1427" s="79"/>
      <c r="R1427" s="564"/>
    </row>
    <row r="1428" spans="2:18" x14ac:dyDescent="0.2">
      <c r="B1428" s="767" t="str">
        <f>'WK9 - Ratios'!C72</f>
        <v>Actual asset maintenance</v>
      </c>
      <c r="D1428" t="str">
        <f>'WK9 - Ratios'!F72</f>
        <v>Scenario 1: Proposed (with SV)</v>
      </c>
      <c r="E1428" s="1053">
        <f>'WK9 - Ratios'!I72</f>
        <v>8738</v>
      </c>
      <c r="F1428" s="1049">
        <f>'WK9 - Ratios'!J72</f>
        <v>9129</v>
      </c>
      <c r="G1428" s="1050">
        <f>'WK9 - Ratios'!K72</f>
        <v>5888</v>
      </c>
      <c r="H1428" s="1049">
        <f>'WK9 - Ratios'!L72</f>
        <v>5888</v>
      </c>
      <c r="I1428" s="1049">
        <f>'WK9 - Ratios'!M72</f>
        <v>6164.55</v>
      </c>
      <c r="J1428" s="1049">
        <f>'WK9 - Ratios'!N72</f>
        <v>5958.4519500000006</v>
      </c>
      <c r="K1428" s="1049">
        <f>'WK9 - Ratios'!O72</f>
        <v>7536</v>
      </c>
      <c r="L1428" s="1049">
        <f>'WK9 - Ratios'!P72</f>
        <v>8110</v>
      </c>
      <c r="M1428" s="1049">
        <f>'WK9 - Ratios'!Q72</f>
        <v>10041</v>
      </c>
      <c r="N1428" s="1049">
        <f>'WK9 - Ratios'!R72</f>
        <v>10064</v>
      </c>
      <c r="O1428" s="1049">
        <f>'WK9 - Ratios'!S72</f>
        <v>9078</v>
      </c>
      <c r="P1428" s="1049">
        <f>'WK9 - Ratios'!T72</f>
        <v>9142</v>
      </c>
      <c r="Q1428" s="1049">
        <f>'WK9 - Ratios'!U72</f>
        <v>9216</v>
      </c>
      <c r="R1428" s="1050">
        <f>'WK9 - Ratios'!V72</f>
        <v>9260</v>
      </c>
    </row>
    <row r="1429" spans="2:18" x14ac:dyDescent="0.2">
      <c r="B1429" s="767" t="str">
        <f>'WK9 - Ratios'!C73</f>
        <v>Required asset maintenance</v>
      </c>
      <c r="D1429" t="str">
        <f>'WK9 - Ratios'!F73</f>
        <v>Scenario 1: Proposed (with SV)</v>
      </c>
      <c r="E1429" s="1053">
        <f>'WK9 - Ratios'!I73</f>
        <v>8314</v>
      </c>
      <c r="F1429" s="1049">
        <f>'WK9 - Ratios'!J73</f>
        <v>9186</v>
      </c>
      <c r="G1429" s="1050">
        <f>'WK9 - Ratios'!K73</f>
        <v>7375</v>
      </c>
      <c r="H1429" s="1049">
        <f>'WK9 - Ratios'!L73</f>
        <v>6867</v>
      </c>
      <c r="I1429" s="1049">
        <f>'WK9 - Ratios'!M73</f>
        <v>6370.5150000000003</v>
      </c>
      <c r="J1429" s="1049">
        <f>'WK9 - Ratios'!N73</f>
        <v>6170.3899349999992</v>
      </c>
      <c r="K1429" s="1049">
        <f>'WK9 - Ratios'!O73</f>
        <v>7754</v>
      </c>
      <c r="L1429" s="1049">
        <f>'WK9 - Ratios'!P73</f>
        <v>8333</v>
      </c>
      <c r="M1429" s="1049">
        <f>'WK9 - Ratios'!Q73</f>
        <v>10269</v>
      </c>
      <c r="N1429" s="1049">
        <f>'WK9 - Ratios'!R73</f>
        <v>10298</v>
      </c>
      <c r="O1429" s="1049">
        <f>'WK9 - Ratios'!S73</f>
        <v>9318</v>
      </c>
      <c r="P1429" s="1049">
        <f>'WK9 - Ratios'!T73</f>
        <v>9387</v>
      </c>
      <c r="Q1429" s="1049">
        <f>'WK9 - Ratios'!U73</f>
        <v>9467</v>
      </c>
      <c r="R1429" s="1050">
        <f>'WK9 - Ratios'!V73</f>
        <v>9518</v>
      </c>
    </row>
    <row r="1430" spans="2:18" x14ac:dyDescent="0.2">
      <c r="B1430" s="767" t="str">
        <f>'WK9 - Ratios'!C74</f>
        <v>Actual asset maintenance</v>
      </c>
      <c r="D1430" t="str">
        <f>'WK9 - Ratios'!F74</f>
        <v>Scenario 2 - Base case (no SV)</v>
      </c>
      <c r="E1430" s="1053">
        <f>'WK9 - Ratios'!I74</f>
        <v>8738</v>
      </c>
      <c r="F1430" s="1049">
        <f>'WK9 - Ratios'!J74</f>
        <v>9129</v>
      </c>
      <c r="G1430" s="1050">
        <f>'WK9 - Ratios'!K74</f>
        <v>5888</v>
      </c>
      <c r="H1430" s="1049">
        <f>'WK9 - Ratios'!L74</f>
        <v>5888</v>
      </c>
      <c r="I1430" s="1049">
        <f>'WK9 - Ratios'!M74</f>
        <v>6164.55</v>
      </c>
      <c r="J1430" s="1049">
        <f>'WK9 - Ratios'!N74</f>
        <v>5958.4519500000006</v>
      </c>
      <c r="K1430" s="1049">
        <f>'WK9 - Ratios'!O74</f>
        <v>7536</v>
      </c>
      <c r="L1430" s="1049">
        <f>'WK9 - Ratios'!P74</f>
        <v>8110</v>
      </c>
      <c r="M1430" s="1049">
        <f>'WK9 - Ratios'!Q74</f>
        <v>10041</v>
      </c>
      <c r="N1430" s="1049">
        <f>'WK9 - Ratios'!R74</f>
        <v>10064</v>
      </c>
      <c r="O1430" s="1049">
        <f>'WK9 - Ratios'!S74</f>
        <v>9078</v>
      </c>
      <c r="P1430" s="1049">
        <f>'WK9 - Ratios'!T74</f>
        <v>9142</v>
      </c>
      <c r="Q1430" s="1049">
        <f>'WK9 - Ratios'!U74</f>
        <v>9216</v>
      </c>
      <c r="R1430" s="1050">
        <f>'WK9 - Ratios'!V74</f>
        <v>9260</v>
      </c>
    </row>
    <row r="1431" spans="2:18" x14ac:dyDescent="0.2">
      <c r="B1431" s="767" t="str">
        <f>'WK9 - Ratios'!C75</f>
        <v>Required asset maintenance</v>
      </c>
      <c r="D1431" t="str">
        <f>'WK9 - Ratios'!F75</f>
        <v>Scenario 2 - Base case (no SV)</v>
      </c>
      <c r="E1431" s="1053">
        <f>'WK9 - Ratios'!I75</f>
        <v>8314</v>
      </c>
      <c r="F1431" s="1049">
        <f>'WK9 - Ratios'!J75</f>
        <v>9186</v>
      </c>
      <c r="G1431" s="1050">
        <f>'WK9 - Ratios'!K75</f>
        <v>7375</v>
      </c>
      <c r="H1431" s="1049">
        <f>'WK9 - Ratios'!L75</f>
        <v>6867</v>
      </c>
      <c r="I1431" s="1049">
        <f>'WK9 - Ratios'!M75</f>
        <v>6370.5150000000003</v>
      </c>
      <c r="J1431" s="1049">
        <f>'WK9 - Ratios'!N75</f>
        <v>6170.3899349999992</v>
      </c>
      <c r="K1431" s="1049">
        <f>'WK9 - Ratios'!O75</f>
        <v>7754</v>
      </c>
      <c r="L1431" s="1049">
        <f>'WK9 - Ratios'!P75</f>
        <v>8333</v>
      </c>
      <c r="M1431" s="1049">
        <f>'WK9 - Ratios'!Q75</f>
        <v>10269</v>
      </c>
      <c r="N1431" s="1049">
        <f>'WK9 - Ratios'!R75</f>
        <v>10298</v>
      </c>
      <c r="O1431" s="1049">
        <f>'WK9 - Ratios'!S75</f>
        <v>9318</v>
      </c>
      <c r="P1431" s="1049">
        <f>'WK9 - Ratios'!T75</f>
        <v>9387</v>
      </c>
      <c r="Q1431" s="1049">
        <f>'WK9 - Ratios'!U75</f>
        <v>9467</v>
      </c>
      <c r="R1431" s="1050">
        <f>'WK9 - Ratios'!V75</f>
        <v>9518</v>
      </c>
    </row>
    <row r="1432" spans="2:18" x14ac:dyDescent="0.2">
      <c r="B1432" s="1051"/>
      <c r="C1432" s="1037"/>
      <c r="D1432" s="1037"/>
      <c r="E1432" s="1051"/>
      <c r="F1432" s="1037"/>
      <c r="G1432" s="1052"/>
      <c r="H1432" s="1037"/>
      <c r="I1432" s="1037"/>
      <c r="J1432" s="1037"/>
      <c r="K1432" s="1037"/>
      <c r="L1432" s="1037"/>
      <c r="M1432" s="1037"/>
      <c r="N1432" s="1037"/>
      <c r="O1432" s="1037"/>
      <c r="P1432" s="1037"/>
      <c r="Q1432" s="1037"/>
      <c r="R1432" s="1052"/>
    </row>
    <row r="1434" spans="2:18" ht="12" x14ac:dyDescent="0.25">
      <c r="C1434" s="26"/>
    </row>
    <row r="1435" spans="2:18" ht="12" x14ac:dyDescent="0.25">
      <c r="C1435" s="26"/>
    </row>
    <row r="1436" spans="2:18" x14ac:dyDescent="0.2">
      <c r="B1436" s="619" t="str">
        <f>'WK9 - Ratios'!G5</f>
        <v>WORKSHEET 9</v>
      </c>
      <c r="C1436" s="3"/>
      <c r="D1436" s="3"/>
      <c r="E1436" s="3"/>
      <c r="F1436" s="3"/>
      <c r="G1436" s="3"/>
    </row>
    <row r="1437" spans="2:18" ht="12" x14ac:dyDescent="0.25">
      <c r="B1437" s="620" t="str">
        <f>'WK9 - Ratios'!G7</f>
        <v>FINANCIAL RATIOS</v>
      </c>
      <c r="C1437" s="3"/>
      <c r="D1437" s="3"/>
      <c r="E1437" s="3"/>
      <c r="F1437" s="3"/>
      <c r="G1437" s="3"/>
    </row>
    <row r="1438" spans="2:18" ht="12" x14ac:dyDescent="0.25">
      <c r="B1438" s="1205"/>
      <c r="C1438" s="815"/>
      <c r="D1438" s="918"/>
      <c r="E1438" s="930" t="str">
        <f>'WK9 - Ratios'!I15</f>
        <v>Historical ratios</v>
      </c>
      <c r="F1438" s="930"/>
      <c r="G1438" s="918"/>
      <c r="I1438" t="s">
        <v>150</v>
      </c>
    </row>
    <row r="1439" spans="2:18" x14ac:dyDescent="0.2">
      <c r="B1439" s="630" t="str">
        <f>B$51</f>
        <v>Year number</v>
      </c>
      <c r="C1439" s="3"/>
      <c r="D1439" s="96"/>
      <c r="E1439" s="872" t="str">
        <f>'WK0 - Input data'!C55</f>
        <v>Hist yr 5</v>
      </c>
      <c r="F1439" s="872" t="str">
        <f>'WK0 - Input data'!D55</f>
        <v>Hist yr 4</v>
      </c>
      <c r="G1439" s="922"/>
    </row>
    <row r="1440" spans="2:18" ht="12" x14ac:dyDescent="0.25">
      <c r="B1440" s="621" t="str">
        <f>B$52</f>
        <v>Financial year</v>
      </c>
      <c r="C1440" s="93"/>
      <c r="D1440" s="98"/>
      <c r="E1440" s="626" t="str">
        <f>'WK0 - Input data'!C58</f>
        <v>2017-18</v>
      </c>
      <c r="F1440" s="626" t="str">
        <f>'WK0 - Input data'!D58</f>
        <v>2018-19</v>
      </c>
      <c r="G1440" s="640"/>
    </row>
    <row r="1441" spans="2:7" x14ac:dyDescent="0.2">
      <c r="B1441" s="135"/>
      <c r="C1441" s="3"/>
      <c r="D1441" s="96"/>
      <c r="E1441" s="3" t="str">
        <f>'WK9 - Ratios'!G56</f>
        <v>$'000 nominal</v>
      </c>
      <c r="F1441" s="3"/>
      <c r="G1441" s="96"/>
    </row>
    <row r="1442" spans="2:7" ht="12" x14ac:dyDescent="0.25">
      <c r="B1442" s="665" t="str">
        <f>'WK9 - Ratios'!C19</f>
        <v>1. Sustainability</v>
      </c>
      <c r="C1442" s="79"/>
      <c r="D1442" s="79"/>
      <c r="E1442" s="563"/>
      <c r="F1442" s="79"/>
      <c r="G1442" s="564"/>
    </row>
    <row r="1443" spans="2:7" x14ac:dyDescent="0.2">
      <c r="B1443" s="135"/>
      <c r="C1443" s="3"/>
      <c r="D1443" s="96"/>
      <c r="E1443" s="3"/>
      <c r="F1443" s="3"/>
      <c r="G1443" s="96"/>
    </row>
    <row r="1444" spans="2:7" ht="12" x14ac:dyDescent="0.25">
      <c r="B1444" s="632" t="str">
        <f>'WK9 - Ratios'!C21</f>
        <v>Operating Performance Ratio</v>
      </c>
      <c r="C1444" s="3"/>
      <c r="D1444" s="96"/>
      <c r="E1444" s="3"/>
      <c r="F1444" s="3"/>
      <c r="G1444" s="96"/>
    </row>
    <row r="1445" spans="2:7" x14ac:dyDescent="0.2">
      <c r="B1445" s="630" t="str">
        <f>B$617</f>
        <v>SCENARIO 1: Proposed additional SV income and expenditure</v>
      </c>
      <c r="C1445" s="3"/>
      <c r="D1445" s="96"/>
      <c r="E1445" s="684">
        <f>'WK9 - Ratios'!G22</f>
        <v>5.2642829997466431E-2</v>
      </c>
      <c r="F1445" s="684">
        <f>'WK9 - Ratios'!H22</f>
        <v>4.3626096724247852E-2</v>
      </c>
      <c r="G1445" s="685"/>
    </row>
    <row r="1446" spans="2:7" x14ac:dyDescent="0.2">
      <c r="B1446" s="630" t="str">
        <f>B$635</f>
        <v>SCENARIO 2: Base case -  no SV income or expenditure</v>
      </c>
      <c r="C1446" s="3"/>
      <c r="D1446" s="96"/>
      <c r="E1446" s="684">
        <f>'WK9 - Ratios'!G23</f>
        <v>5.2642829997466431E-2</v>
      </c>
      <c r="F1446" s="684">
        <f>'WK9 - Ratios'!H23</f>
        <v>4.3626096724247852E-2</v>
      </c>
      <c r="G1446" s="685"/>
    </row>
    <row r="1447" spans="2:7" x14ac:dyDescent="0.2">
      <c r="B1447" s="630" t="str">
        <f>B$653</f>
        <v xml:space="preserve">SCENARIO 3: Hybrid case  - SV expenditure but no SV income </v>
      </c>
      <c r="C1447" s="3"/>
      <c r="D1447" s="96"/>
      <c r="E1447" s="684">
        <f>'WK9 - Ratios'!G24</f>
        <v>5.2642829997466431E-2</v>
      </c>
      <c r="F1447" s="684">
        <f>'WK9 - Ratios'!H24</f>
        <v>4.3626096724247852E-2</v>
      </c>
      <c r="G1447" s="685"/>
    </row>
    <row r="1448" spans="2:7" x14ac:dyDescent="0.2">
      <c r="B1448" s="135"/>
      <c r="C1448" s="3"/>
      <c r="D1448" s="96"/>
      <c r="E1448" s="508"/>
      <c r="F1448" s="508"/>
      <c r="G1448" s="512"/>
    </row>
    <row r="1449" spans="2:7" ht="12" x14ac:dyDescent="0.25">
      <c r="B1449" s="632" t="str">
        <f>'WK9 - Ratios'!C27</f>
        <v>Own Source Revenue Ratio</v>
      </c>
      <c r="C1449" s="3"/>
      <c r="D1449" s="96"/>
      <c r="E1449" s="508"/>
      <c r="F1449" s="508"/>
      <c r="G1449" s="512"/>
    </row>
    <row r="1450" spans="2:7" x14ac:dyDescent="0.2">
      <c r="B1450" s="655" t="str">
        <f>B$705</f>
        <v>SCENARIO 1: Proposed additional SV income and expenditure</v>
      </c>
      <c r="C1450" s="3"/>
      <c r="D1450" s="96"/>
      <c r="E1450" s="684">
        <f>'WK9 - Ratios'!G28</f>
        <v>0.49736989367655288</v>
      </c>
      <c r="F1450" s="684">
        <f>'WK9 - Ratios'!H28</f>
        <v>0.75997247677728086</v>
      </c>
      <c r="G1450" s="685"/>
    </row>
    <row r="1451" spans="2:7" x14ac:dyDescent="0.2">
      <c r="B1451" s="655" t="str">
        <f>B$706</f>
        <v>SCENARIO 2: Base case -  no SV income or expenditure</v>
      </c>
      <c r="C1451" s="3"/>
      <c r="D1451" s="96"/>
      <c r="E1451" s="684">
        <f>'WK9 - Ratios'!G29</f>
        <v>0.49736989367655288</v>
      </c>
      <c r="F1451" s="684">
        <f>'WK9 - Ratios'!H29</f>
        <v>0.75997247677728086</v>
      </c>
      <c r="G1451" s="685"/>
    </row>
    <row r="1452" spans="2:7" x14ac:dyDescent="0.2">
      <c r="B1452" s="135"/>
      <c r="C1452" s="3"/>
      <c r="D1452" s="96"/>
      <c r="E1452" s="508"/>
      <c r="F1452" s="508"/>
      <c r="G1452" s="512"/>
    </row>
    <row r="1453" spans="2:7" ht="12" x14ac:dyDescent="0.25">
      <c r="B1453" s="676" t="str">
        <f>'WK9 - Ratios'!C33</f>
        <v>Infrastructure Renewals Ratio</v>
      </c>
      <c r="C1453" s="3"/>
      <c r="D1453" s="96"/>
      <c r="E1453" s="508"/>
      <c r="F1453" s="508"/>
      <c r="G1453" s="512"/>
    </row>
    <row r="1454" spans="2:7" x14ac:dyDescent="0.2">
      <c r="B1454" s="655" t="str">
        <f>B$705</f>
        <v>SCENARIO 1: Proposed additional SV income and expenditure</v>
      </c>
      <c r="C1454" s="3"/>
      <c r="D1454" s="96"/>
      <c r="E1454" s="684">
        <f>'WK9 - Ratios'!G33</f>
        <v>0.95320000000000005</v>
      </c>
      <c r="F1454" s="684">
        <f>'WK9 - Ratios'!H33</f>
        <v>0.9294</v>
      </c>
      <c r="G1454" s="685"/>
    </row>
    <row r="1455" spans="2:7" x14ac:dyDescent="0.2">
      <c r="B1455" s="655" t="str">
        <f>B$706</f>
        <v>SCENARIO 2: Base case -  no SV income or expenditure</v>
      </c>
      <c r="C1455" s="3"/>
      <c r="D1455" s="96"/>
      <c r="E1455" s="684">
        <f>'WK9 - Ratios'!G34</f>
        <v>0.95320000000000005</v>
      </c>
      <c r="F1455" s="684">
        <f>'WK9 - Ratios'!H34</f>
        <v>0.9294</v>
      </c>
      <c r="G1455" s="685"/>
    </row>
    <row r="1456" spans="2:7" x14ac:dyDescent="0.2">
      <c r="B1456" s="248"/>
      <c r="C1456" s="3"/>
      <c r="D1456" s="96"/>
      <c r="E1456" s="508"/>
      <c r="F1456" s="508"/>
      <c r="G1456" s="512"/>
    </row>
    <row r="1457" spans="2:7" x14ac:dyDescent="0.2">
      <c r="B1457" s="248"/>
      <c r="C1457" s="3"/>
      <c r="D1457" s="96"/>
      <c r="E1457" s="508"/>
      <c r="F1457" s="508"/>
      <c r="G1457" s="512"/>
    </row>
    <row r="1458" spans="2:7" ht="12" x14ac:dyDescent="0.25">
      <c r="B1458" s="665" t="str">
        <f>'WK9 - Ratios'!C37</f>
        <v>2. Effective infrastructure and service management</v>
      </c>
      <c r="C1458" s="79"/>
      <c r="D1458" s="79"/>
      <c r="E1458" s="563"/>
      <c r="F1458" s="79"/>
      <c r="G1458" s="564"/>
    </row>
    <row r="1459" spans="2:7" x14ac:dyDescent="0.2">
      <c r="B1459" s="248"/>
      <c r="C1459" s="3"/>
      <c r="D1459" s="96"/>
      <c r="E1459" s="508"/>
      <c r="F1459" s="508"/>
      <c r="G1459" s="512"/>
    </row>
    <row r="1460" spans="2:7" ht="12" x14ac:dyDescent="0.25">
      <c r="B1460" s="676" t="str">
        <f>'WK9 - Ratios'!C39</f>
        <v>Infrastructure Backlog Ratio</v>
      </c>
      <c r="C1460" s="3"/>
      <c r="D1460" s="96"/>
      <c r="E1460" s="508"/>
      <c r="F1460" s="508"/>
      <c r="G1460" s="512"/>
    </row>
    <row r="1461" spans="2:7" x14ac:dyDescent="0.2">
      <c r="B1461" s="655" t="str">
        <f>B$705</f>
        <v>SCENARIO 1: Proposed additional SV income and expenditure</v>
      </c>
      <c r="C1461" s="3"/>
      <c r="D1461" s="96"/>
      <c r="E1461" s="684">
        <f>'WK9 - Ratios'!G40</f>
        <v>9.1999999999999998E-3</v>
      </c>
      <c r="F1461" s="684">
        <f>'WK9 - Ratios'!H40</f>
        <v>9.7999999999999997E-3</v>
      </c>
      <c r="G1461" s="685"/>
    </row>
    <row r="1462" spans="2:7" x14ac:dyDescent="0.2">
      <c r="B1462" s="655" t="str">
        <f>B$706</f>
        <v>SCENARIO 2: Base case -  no SV income or expenditure</v>
      </c>
      <c r="C1462" s="3"/>
      <c r="D1462" s="96"/>
      <c r="E1462" s="684">
        <f>'WK9 - Ratios'!G41</f>
        <v>9.1999999999999998E-3</v>
      </c>
      <c r="F1462" s="684">
        <f>'WK9 - Ratios'!H41</f>
        <v>9.7999999999999997E-3</v>
      </c>
      <c r="G1462" s="685"/>
    </row>
    <row r="1463" spans="2:7" x14ac:dyDescent="0.2">
      <c r="B1463" s="135"/>
      <c r="C1463" s="3"/>
      <c r="D1463" s="96"/>
      <c r="E1463" s="508"/>
      <c r="F1463" s="508"/>
      <c r="G1463" s="512"/>
    </row>
    <row r="1464" spans="2:7" x14ac:dyDescent="0.2">
      <c r="B1464" s="135"/>
      <c r="C1464" s="3"/>
      <c r="D1464" s="96"/>
      <c r="E1464" s="508"/>
      <c r="F1464" s="508"/>
      <c r="G1464" s="512"/>
    </row>
    <row r="1465" spans="2:7" ht="12" x14ac:dyDescent="0.25">
      <c r="B1465" s="676" t="str">
        <f>'WK9 - Ratios'!C45</f>
        <v>Asset Maintenance Ratio</v>
      </c>
      <c r="C1465" s="3"/>
      <c r="D1465" s="96"/>
      <c r="E1465" s="508"/>
      <c r="F1465" s="508"/>
      <c r="G1465" s="512"/>
    </row>
    <row r="1466" spans="2:7" x14ac:dyDescent="0.2">
      <c r="B1466" s="655" t="str">
        <f>B$705</f>
        <v>SCENARIO 1: Proposed additional SV income and expenditure</v>
      </c>
      <c r="C1466" s="3"/>
      <c r="D1466" s="96"/>
      <c r="E1466" s="684">
        <f>'WK9 - Ratios'!G46</f>
        <v>1.0046999999999999</v>
      </c>
      <c r="F1466" s="684">
        <f>'WK9 - Ratios'!H46</f>
        <v>1.0163</v>
      </c>
      <c r="G1466" s="685"/>
    </row>
    <row r="1467" spans="2:7" x14ac:dyDescent="0.2">
      <c r="B1467" s="655" t="str">
        <f>B$706</f>
        <v>SCENARIO 2: Base case -  no SV income or expenditure</v>
      </c>
      <c r="C1467" s="3"/>
      <c r="D1467" s="96"/>
      <c r="E1467" s="684">
        <f>'WK9 - Ratios'!G47</f>
        <v>1.0046999999999999</v>
      </c>
      <c r="F1467" s="684">
        <f>'WK9 - Ratios'!H47</f>
        <v>1.0163</v>
      </c>
      <c r="G1467" s="685"/>
    </row>
    <row r="1468" spans="2:7" x14ac:dyDescent="0.2">
      <c r="B1468" s="135"/>
      <c r="C1468" s="3"/>
      <c r="D1468" s="96"/>
      <c r="E1468" s="508"/>
      <c r="F1468" s="508"/>
      <c r="G1468" s="512"/>
    </row>
    <row r="1469" spans="2:7" ht="12" x14ac:dyDescent="0.25">
      <c r="B1469" s="676" t="str">
        <f>'WK9 - Ratios'!C50</f>
        <v>Debt Service Ratio</v>
      </c>
      <c r="C1469" s="3"/>
      <c r="D1469" s="96"/>
      <c r="E1469" s="508"/>
      <c r="F1469" s="508"/>
      <c r="G1469" s="512"/>
    </row>
    <row r="1470" spans="2:7" x14ac:dyDescent="0.2">
      <c r="B1470" s="655" t="str">
        <f>B$705</f>
        <v>SCENARIO 1: Proposed additional SV income and expenditure</v>
      </c>
      <c r="C1470" s="3"/>
      <c r="D1470" s="96"/>
      <c r="E1470" s="684">
        <f>'WK9 - Ratios'!G52</f>
        <v>1.0229734216642687E-2</v>
      </c>
      <c r="F1470" s="684">
        <f>'WK9 - Ratios'!H52</f>
        <v>7.4774510467679207E-3</v>
      </c>
      <c r="G1470" s="685"/>
    </row>
    <row r="1471" spans="2:7" x14ac:dyDescent="0.2">
      <c r="B1471" s="655" t="str">
        <f>B$706</f>
        <v>SCENARIO 2: Base case -  no SV income or expenditure</v>
      </c>
      <c r="C1471" s="3"/>
      <c r="D1471" s="96"/>
      <c r="E1471" s="684">
        <f>'WK9 - Ratios'!G53</f>
        <v>1.0229734216642687E-2</v>
      </c>
      <c r="F1471" s="684">
        <f>'WK9 - Ratios'!H53</f>
        <v>7.4774510467679207E-3</v>
      </c>
      <c r="G1471" s="685"/>
    </row>
    <row r="1472" spans="2:7" x14ac:dyDescent="0.2">
      <c r="B1472" s="97"/>
      <c r="C1472" s="93"/>
      <c r="D1472" s="98"/>
      <c r="E1472" s="93"/>
      <c r="F1472" s="93"/>
      <c r="G1472" s="98"/>
    </row>
    <row r="1476" spans="2:7" ht="12" x14ac:dyDescent="0.25">
      <c r="B1476" s="26" t="str">
        <f>'WK9 - Ratios'!G5</f>
        <v>WORKSHEET 9</v>
      </c>
    </row>
    <row r="1477" spans="2:7" ht="12" x14ac:dyDescent="0.25">
      <c r="B1477" s="26" t="str">
        <f>'WK9 - Ratios'!G7</f>
        <v>FINANCIAL RATIOS</v>
      </c>
    </row>
    <row r="1478" spans="2:7" ht="12" x14ac:dyDescent="0.25">
      <c r="B1478" s="1205"/>
      <c r="C1478" s="815"/>
      <c r="D1478" s="815"/>
      <c r="E1478" s="1199" t="str">
        <f>'WK9 - Ratios'!I15</f>
        <v>Historical ratios</v>
      </c>
      <c r="F1478" s="930"/>
      <c r="G1478" s="918"/>
    </row>
    <row r="1479" spans="2:7" x14ac:dyDescent="0.2">
      <c r="B1479" s="630" t="s">
        <v>145</v>
      </c>
      <c r="C1479" s="3"/>
      <c r="D1479" s="3"/>
      <c r="E1479" s="1200" t="str">
        <f>'WK0 - Input data'!C55</f>
        <v>Hist yr 5</v>
      </c>
      <c r="F1479" s="872" t="str">
        <f>'WK0 - Input data'!D55</f>
        <v>Hist yr 4</v>
      </c>
      <c r="G1479" s="922"/>
    </row>
    <row r="1480" spans="2:7" ht="12" x14ac:dyDescent="0.25">
      <c r="B1480" s="621" t="s">
        <v>149</v>
      </c>
      <c r="C1480" s="93"/>
      <c r="D1480" s="93"/>
      <c r="E1480" s="625" t="str">
        <f>'WK0 - Input data'!C58</f>
        <v>2017-18</v>
      </c>
      <c r="F1480" s="626" t="str">
        <f>'WK0 - Input data'!D58</f>
        <v>2018-19</v>
      </c>
      <c r="G1480" s="640"/>
    </row>
    <row r="1481" spans="2:7" x14ac:dyDescent="0.2">
      <c r="B1481" s="135"/>
      <c r="C1481" s="3"/>
      <c r="D1481" s="3"/>
      <c r="E1481" s="135" t="str">
        <f>'WK9 - Ratios'!G56</f>
        <v>$'000 nominal</v>
      </c>
      <c r="F1481" s="3"/>
      <c r="G1481" s="96"/>
    </row>
    <row r="1482" spans="2:7" ht="12" x14ac:dyDescent="0.25">
      <c r="B1482" s="665" t="str">
        <f>'WK9 - Ratios'!C59</f>
        <v>Infrastructure Renewals Ratio</v>
      </c>
      <c r="C1482" s="79"/>
      <c r="D1482" s="79"/>
      <c r="E1482" s="563"/>
      <c r="F1482" s="79"/>
      <c r="G1482" s="564"/>
    </row>
    <row r="1483" spans="2:7" x14ac:dyDescent="0.2">
      <c r="B1483" s="767" t="str">
        <f>'WK9 - Ratios'!C60</f>
        <v>Asset renewals (building and infrastructure)</v>
      </c>
      <c r="D1483" t="str">
        <f>'WK9 - Ratios'!F60</f>
        <v>Scenario 1: Proposed (with SV)</v>
      </c>
      <c r="E1483" s="1053">
        <f>'WK9 - Ratios'!G60</f>
        <v>13409</v>
      </c>
      <c r="F1483" s="1049">
        <f>'WK9 - Ratios'!H60</f>
        <v>13825</v>
      </c>
      <c r="G1483" s="1050"/>
    </row>
    <row r="1484" spans="2:7" x14ac:dyDescent="0.2">
      <c r="B1484" s="767" t="str">
        <f>'WK9 - Ratios'!C61</f>
        <v>Depreciation, amortisation and impairment (building and infrastructure)</v>
      </c>
      <c r="D1484" t="str">
        <f>'WK9 - Ratios'!F61</f>
        <v>Scenario 1: Proposed (with SV)</v>
      </c>
      <c r="E1484" s="1053">
        <f>'WK9 - Ratios'!G61</f>
        <v>14067</v>
      </c>
      <c r="F1484" s="1049">
        <f>'WK9 - Ratios'!H61</f>
        <v>14875</v>
      </c>
      <c r="G1484" s="1050"/>
    </row>
    <row r="1485" spans="2:7" x14ac:dyDescent="0.2">
      <c r="B1485" s="767" t="str">
        <f>'WK9 - Ratios'!C62</f>
        <v>Asset renewals (building and infrastructure)</v>
      </c>
      <c r="D1485" t="str">
        <f>'WK9 - Ratios'!F62</f>
        <v>Scenario 2 - Base case (no SV)</v>
      </c>
      <c r="E1485" s="1053">
        <f>'WK9 - Ratios'!G62</f>
        <v>13409</v>
      </c>
      <c r="F1485" s="1049">
        <f>'WK9 - Ratios'!H62</f>
        <v>13825</v>
      </c>
      <c r="G1485" s="1050"/>
    </row>
    <row r="1486" spans="2:7" x14ac:dyDescent="0.2">
      <c r="B1486" s="767" t="str">
        <f>'WK9 - Ratios'!C63</f>
        <v>Depreciation, amortisation and impairment (building and infrastructure)</v>
      </c>
      <c r="D1486" t="str">
        <f>'WK9 - Ratios'!F63</f>
        <v>Scenario 2 - Base case (no SV)</v>
      </c>
      <c r="E1486" s="1053">
        <f>'WK9 - Ratios'!G63</f>
        <v>14067</v>
      </c>
      <c r="F1486" s="1049">
        <f>'WK9 - Ratios'!H63</f>
        <v>14875</v>
      </c>
      <c r="G1486" s="1050"/>
    </row>
    <row r="1487" spans="2:7" ht="12" x14ac:dyDescent="0.25">
      <c r="B1487" s="665" t="str">
        <f>'WK9 - Ratios'!C65</f>
        <v>Infrastructure Backlog Ratio</v>
      </c>
      <c r="C1487" s="79"/>
      <c r="D1487" s="79"/>
      <c r="E1487" s="563"/>
      <c r="F1487" s="79"/>
      <c r="G1487" s="564"/>
    </row>
    <row r="1488" spans="2:7" x14ac:dyDescent="0.2">
      <c r="B1488" s="767" t="str">
        <f>'WK9 - Ratios'!C66</f>
        <v>Estimated cost to bring assets to satisfactory condition</v>
      </c>
      <c r="D1488" t="str">
        <f>'WK9 - Ratios'!F66</f>
        <v>Scenario 1: Proposed (with SV)</v>
      </c>
      <c r="E1488" s="1053">
        <f>'WK9 - Ratios'!G66</f>
        <v>8529</v>
      </c>
      <c r="F1488" s="1049">
        <f>'WK9 - Ratios'!H66</f>
        <v>9174</v>
      </c>
      <c r="G1488" s="1050"/>
    </row>
    <row r="1489" spans="2:7" x14ac:dyDescent="0.2">
      <c r="B1489" s="767" t="str">
        <f>'WK9 - Ratios'!C67</f>
        <v>Total (WDV)b of infrastructure, buildings, other  structures, depreciable land, and improvement assets</v>
      </c>
      <c r="D1489" t="str">
        <f>'WK9 - Ratios'!F67</f>
        <v>Scenario 1: Proposed (with SV)</v>
      </c>
      <c r="E1489" s="1053">
        <f>'WK9 - Ratios'!G67</f>
        <v>929774</v>
      </c>
      <c r="F1489" s="1049">
        <f>'WK9 - Ratios'!H67</f>
        <v>931737</v>
      </c>
      <c r="G1489" s="1050"/>
    </row>
    <row r="1490" spans="2:7" x14ac:dyDescent="0.2">
      <c r="B1490" s="767" t="str">
        <f>'WK9 - Ratios'!C68</f>
        <v>Estimated cost to bring assets to satisfactory condition</v>
      </c>
      <c r="D1490" t="str">
        <f>'WK9 - Ratios'!F68</f>
        <v>Scenario 2 - Base case (no SV)</v>
      </c>
      <c r="E1490" s="1053">
        <f>'WK9 - Ratios'!G68</f>
        <v>8529</v>
      </c>
      <c r="F1490" s="1049">
        <f>'WK9 - Ratios'!H68</f>
        <v>9174</v>
      </c>
      <c r="G1490" s="1050"/>
    </row>
    <row r="1491" spans="2:7" x14ac:dyDescent="0.2">
      <c r="B1491" s="767" t="str">
        <f>'WK9 - Ratios'!C69</f>
        <v>Total (WDV)b of infrastructure, buildings, other  structures, depreciable land, and improvement assets</v>
      </c>
      <c r="D1491" t="str">
        <f>'WK9 - Ratios'!F69</f>
        <v>Scenario 2 - Base case (no SV)</v>
      </c>
      <c r="E1491" s="1053">
        <f>'WK9 - Ratios'!G69</f>
        <v>929774</v>
      </c>
      <c r="F1491" s="1049">
        <f>'WK9 - Ratios'!H69</f>
        <v>931737</v>
      </c>
      <c r="G1491" s="1050"/>
    </row>
    <row r="1492" spans="2:7" ht="12" x14ac:dyDescent="0.25">
      <c r="B1492" s="665" t="str">
        <f>'WK9 - Ratios'!C71</f>
        <v>Asset Maintenance Ratio</v>
      </c>
      <c r="C1492" s="79"/>
      <c r="D1492" s="79"/>
      <c r="E1492" s="563"/>
      <c r="F1492" s="79"/>
      <c r="G1492" s="564"/>
    </row>
    <row r="1493" spans="2:7" x14ac:dyDescent="0.2">
      <c r="B1493" s="767" t="str">
        <f>'WK9 - Ratios'!C72</f>
        <v>Actual asset maintenance</v>
      </c>
      <c r="D1493" t="str">
        <f>'WK9 - Ratios'!F72</f>
        <v>Scenario 1: Proposed (with SV)</v>
      </c>
      <c r="E1493" s="1053">
        <f>'WK9 - Ratios'!G72</f>
        <v>8356</v>
      </c>
      <c r="F1493" s="1049">
        <f>'WK9 - Ratios'!H72</f>
        <v>9056</v>
      </c>
      <c r="G1493" s="1050"/>
    </row>
    <row r="1494" spans="2:7" x14ac:dyDescent="0.2">
      <c r="B1494" s="767" t="str">
        <f>'WK9 - Ratios'!C73</f>
        <v>Required asset maintenance</v>
      </c>
      <c r="D1494" t="str">
        <f>'WK9 - Ratios'!F73</f>
        <v>Scenario 1: Proposed (with SV)</v>
      </c>
      <c r="E1494" s="1053">
        <f>'WK9 - Ratios'!G73</f>
        <v>8317</v>
      </c>
      <c r="F1494" s="1049">
        <f>'WK9 - Ratios'!H73</f>
        <v>8911</v>
      </c>
      <c r="G1494" s="1050"/>
    </row>
    <row r="1495" spans="2:7" x14ac:dyDescent="0.2">
      <c r="B1495" s="767" t="str">
        <f>'WK9 - Ratios'!C74</f>
        <v>Actual asset maintenance</v>
      </c>
      <c r="D1495" t="str">
        <f>'WK9 - Ratios'!F74</f>
        <v>Scenario 2 - Base case (no SV)</v>
      </c>
      <c r="E1495" s="1053">
        <f>'WK9 - Ratios'!G74</f>
        <v>8356</v>
      </c>
      <c r="F1495" s="1049">
        <f>'WK9 - Ratios'!H74</f>
        <v>9056</v>
      </c>
      <c r="G1495" s="1050"/>
    </row>
    <row r="1496" spans="2:7" x14ac:dyDescent="0.2">
      <c r="B1496" s="767" t="str">
        <f>'WK9 - Ratios'!C75</f>
        <v>Required asset maintenance</v>
      </c>
      <c r="D1496" t="str">
        <f>'WK9 - Ratios'!F75</f>
        <v>Scenario 2 - Base case (no SV)</v>
      </c>
      <c r="E1496" s="1053">
        <f>'WK9 - Ratios'!G75</f>
        <v>8317</v>
      </c>
      <c r="F1496" s="1049">
        <f>'WK9 - Ratios'!H75</f>
        <v>8911</v>
      </c>
      <c r="G1496" s="1050"/>
    </row>
    <row r="1497" spans="2:7" x14ac:dyDescent="0.2">
      <c r="B1497" s="1051"/>
      <c r="C1497" s="1037"/>
      <c r="D1497" s="1037"/>
      <c r="E1497" s="1051"/>
      <c r="F1497" s="1037"/>
      <c r="G1497" s="1052"/>
    </row>
    <row r="1501" spans="2:7" x14ac:dyDescent="0.2">
      <c r="B1501" s="619" t="str">
        <f>'WK7 - Financials'!F5</f>
        <v>WORKSHEET 7</v>
      </c>
    </row>
    <row r="1502" spans="2:7" ht="12" x14ac:dyDescent="0.25">
      <c r="B1502" s="620" t="str">
        <f>'WK7 - Financials'!F7</f>
        <v>FINANCIAL INFORMATION</v>
      </c>
    </row>
    <row r="1503" spans="2:7" ht="12" x14ac:dyDescent="0.25">
      <c r="B1503" s="26" t="str">
        <f>'WK7 - Financials'!C121</f>
        <v>Infrastructure, property and equipment - (General fund) - historical and forecasts for baseline scenario</v>
      </c>
      <c r="C1503" s="26"/>
    </row>
    <row r="1504" spans="2:7" ht="12" x14ac:dyDescent="0.25">
      <c r="B1504" s="26" t="str">
        <f>'WK7 - Financials'!C122</f>
        <v>Sources:</v>
      </c>
      <c r="C1504" s="26" t="str">
        <f>'WK7 - Financials'!D122</f>
        <v>Notes to financial statements and Council's Long Term Financial Plan (LTFP)</v>
      </c>
    </row>
    <row r="1505" spans="2:19" x14ac:dyDescent="0.2">
      <c r="B1505" s="1207"/>
      <c r="C1505" s="1055"/>
      <c r="D1505" s="1208" t="str">
        <f>'WK7 - Financials'!E123</f>
        <v>Actual</v>
      </c>
      <c r="E1505" s="1098" t="str">
        <f>'WK7 - Financials'!F123</f>
        <v>Actual</v>
      </c>
      <c r="F1505" s="1098" t="str">
        <f>'WK7 - Financials'!G123</f>
        <v>Actual</v>
      </c>
      <c r="G1505" s="1098" t="str">
        <f>'WK7 - Financials'!H123</f>
        <v>Actual</v>
      </c>
      <c r="H1505" s="1099" t="str">
        <f>'WK7 - Financials'!I123</f>
        <v>Actual</v>
      </c>
      <c r="I1505" s="1208" t="str">
        <f>'WK7 - Financials'!J123</f>
        <v>Forecast</v>
      </c>
      <c r="J1505" s="1098" t="str">
        <f>'WK7 - Financials'!K123</f>
        <v>Forecast</v>
      </c>
      <c r="K1505" s="1098" t="str">
        <f>'WK7 - Financials'!L123</f>
        <v>Forecast</v>
      </c>
      <c r="L1505" s="1098" t="str">
        <f>'WK7 - Financials'!M123</f>
        <v>Forecast</v>
      </c>
      <c r="M1505" s="1098" t="str">
        <f>'WK7 - Financials'!N123</f>
        <v>Forecast</v>
      </c>
      <c r="N1505" s="1098" t="str">
        <f>'WK7 - Financials'!O123</f>
        <v>Forecast</v>
      </c>
      <c r="O1505" s="1098" t="str">
        <f>'WK7 - Financials'!P123</f>
        <v>Forecast</v>
      </c>
      <c r="P1505" s="1098" t="str">
        <f>'WK7 - Financials'!Q123</f>
        <v>Forecast</v>
      </c>
      <c r="Q1505" s="1098" t="str">
        <f>'WK7 - Financials'!R123</f>
        <v>Forecast</v>
      </c>
      <c r="R1505" s="1098" t="str">
        <f>'WK7 - Financials'!S123</f>
        <v>Forecast</v>
      </c>
      <c r="S1505" s="1099" t="str">
        <f>'WK7 - Financials'!T123</f>
        <v>Forecast</v>
      </c>
    </row>
    <row r="1506" spans="2:19" ht="12" x14ac:dyDescent="0.2">
      <c r="B1506" s="767"/>
      <c r="C1506" s="768"/>
      <c r="D1506" s="1097" t="str">
        <f>'WK7 - Financials'!E124</f>
        <v>2017-18</v>
      </c>
      <c r="E1506" s="1100" t="str">
        <f>'WK7 - Financials'!F124</f>
        <v>2018-19</v>
      </c>
      <c r="F1506" s="1100" t="str">
        <f>'WK7 - Financials'!G124</f>
        <v>2019-20</v>
      </c>
      <c r="G1506" s="1100" t="str">
        <f>'WK7 - Financials'!H124</f>
        <v>2020-21</v>
      </c>
      <c r="H1506" s="1101" t="str">
        <f>'WK7 - Financials'!I124</f>
        <v>2021-22</v>
      </c>
      <c r="I1506" s="1097" t="str">
        <f>'WK7 - Financials'!J124</f>
        <v>2022-23</v>
      </c>
      <c r="J1506" s="1100" t="str">
        <f>'WK7 - Financials'!K124</f>
        <v>2023-24</v>
      </c>
      <c r="K1506" s="1100" t="str">
        <f>'WK7 - Financials'!L124</f>
        <v>2024-25</v>
      </c>
      <c r="L1506" s="1100" t="str">
        <f>'WK7 - Financials'!M124</f>
        <v>2025-26</v>
      </c>
      <c r="M1506" s="1100" t="str">
        <f>'WK7 - Financials'!N124</f>
        <v>2026-27</v>
      </c>
      <c r="N1506" s="1100" t="str">
        <f>'WK7 - Financials'!O124</f>
        <v>2027-28</v>
      </c>
      <c r="O1506" s="1100" t="str">
        <f>'WK7 - Financials'!P124</f>
        <v>2028-29</v>
      </c>
      <c r="P1506" s="1100" t="str">
        <f>'WK7 - Financials'!Q124</f>
        <v>2029-30</v>
      </c>
      <c r="Q1506" s="1100" t="str">
        <f>'WK7 - Financials'!R124</f>
        <v>2030-31</v>
      </c>
      <c r="R1506" s="1100" t="str">
        <f>'WK7 - Financials'!S124</f>
        <v>2031-32</v>
      </c>
      <c r="S1506" s="1101" t="str">
        <f>'WK7 - Financials'!T124</f>
        <v>2032-33</v>
      </c>
    </row>
    <row r="1507" spans="2:19" ht="12" x14ac:dyDescent="0.2">
      <c r="B1507" s="767"/>
      <c r="C1507" s="768"/>
      <c r="D1507" s="1097" t="str">
        <f>'WK7 - Financials'!J121</f>
        <v>$'000 nominal</v>
      </c>
      <c r="E1507" s="1100"/>
      <c r="F1507" s="1100"/>
      <c r="G1507" s="1100"/>
      <c r="H1507" s="1101"/>
      <c r="I1507" s="1097" t="str">
        <f>'WK7 - Financials'!J121</f>
        <v>$'000 nominal</v>
      </c>
      <c r="J1507" s="1100"/>
      <c r="K1507" s="1100"/>
      <c r="L1507" s="1100"/>
      <c r="M1507" s="1100"/>
      <c r="N1507" s="1100"/>
      <c r="O1507" s="1100"/>
      <c r="P1507" s="1100"/>
      <c r="Q1507" s="1100"/>
      <c r="R1507" s="1100"/>
      <c r="S1507" s="1101"/>
    </row>
    <row r="1508" spans="2:19" ht="12" x14ac:dyDescent="0.25">
      <c r="B1508" s="1095" t="str">
        <f>'WK7 - Financials'!C125</f>
        <v>Infrastructure, PPEa</v>
      </c>
      <c r="C1508" s="1096"/>
      <c r="D1508" s="1102"/>
      <c r="E1508" s="1103"/>
      <c r="F1508" s="1103"/>
      <c r="G1508" s="1103"/>
      <c r="H1508" s="1104"/>
      <c r="I1508" s="1102"/>
      <c r="J1508" s="1103"/>
      <c r="K1508" s="1103"/>
      <c r="L1508" s="1103"/>
      <c r="M1508" s="1103"/>
      <c r="N1508" s="1103"/>
      <c r="O1508" s="1103"/>
      <c r="P1508" s="1103"/>
      <c r="Q1508" s="1103"/>
      <c r="R1508" s="1103"/>
      <c r="S1508" s="1104"/>
    </row>
    <row r="1509" spans="2:19" ht="22.8" x14ac:dyDescent="0.2">
      <c r="B1509" s="1093" t="str">
        <f>'WK7 - Financials'!C126</f>
        <v>Infrastructure, PPE (Gross Carrying Amount)</v>
      </c>
      <c r="C1509" s="768"/>
      <c r="D1509" s="1092">
        <f>'WK7 - Financials'!E126</f>
        <v>1913524</v>
      </c>
      <c r="E1509" s="614">
        <f>'WK7 - Financials'!F126</f>
        <v>1937222</v>
      </c>
      <c r="F1509" s="614">
        <f>'WK7 - Financials'!G126</f>
        <v>1955398</v>
      </c>
      <c r="G1509" s="614">
        <f>'WK7 - Financials'!H126</f>
        <v>1973532</v>
      </c>
      <c r="H1509" s="1105">
        <f>'WK7 - Financials'!I126</f>
        <v>2131480</v>
      </c>
      <c r="I1509" s="1092">
        <f>'WK7 - Financials'!J126</f>
        <v>2180202.4340100004</v>
      </c>
      <c r="J1509" s="614">
        <f>'WK7 - Financials'!K126</f>
        <v>2227841.1594700003</v>
      </c>
      <c r="K1509" s="614">
        <f>'WK7 - Financials'!L126</f>
        <v>2318890.1454400001</v>
      </c>
      <c r="L1509" s="614">
        <f>'WK7 - Financials'!M126</f>
        <v>2346832.52483</v>
      </c>
      <c r="M1509" s="614">
        <f>'WK7 - Financials'!N126</f>
        <v>2424911.9589300002</v>
      </c>
      <c r="N1509" s="614">
        <f>'WK7 - Financials'!O126</f>
        <v>2461900.6409100005</v>
      </c>
      <c r="O1509" s="614">
        <f>'WK7 - Financials'!P126</f>
        <v>2507940.2850700002</v>
      </c>
      <c r="P1509" s="614">
        <f>'WK7 - Financials'!Q126</f>
        <v>2553736.1718299999</v>
      </c>
      <c r="Q1509" s="614">
        <f>'WK7 - Financials'!R126</f>
        <v>2584765.0018699998</v>
      </c>
      <c r="R1509" s="614">
        <f>'WK7 - Financials'!S126</f>
        <v>2616662.5157300001</v>
      </c>
      <c r="S1509" s="1105">
        <f>'WK7 - Financials'!T126</f>
        <v>2649396.2174399998</v>
      </c>
    </row>
    <row r="1510" spans="2:19" ht="34.200000000000003" x14ac:dyDescent="0.2">
      <c r="B1510" s="1093" t="str">
        <f>'WK7 - Financials'!C127</f>
        <v>Less: Accumulated depreciation and impairments</v>
      </c>
      <c r="C1510" s="768"/>
      <c r="D1510" s="1092">
        <f>'WK7 - Financials'!E127</f>
        <v>326755</v>
      </c>
      <c r="E1510" s="614">
        <f>'WK7 - Financials'!F127</f>
        <v>342481</v>
      </c>
      <c r="F1510" s="614">
        <f>'WK7 - Financials'!G127</f>
        <v>357733</v>
      </c>
      <c r="G1510" s="614">
        <f>'WK7 - Financials'!H127</f>
        <v>371343</v>
      </c>
      <c r="H1510" s="1105">
        <f>'WK7 - Financials'!I127</f>
        <v>406844</v>
      </c>
      <c r="I1510" s="1092">
        <f>'WK7 - Financials'!J127</f>
        <v>427607.55529000005</v>
      </c>
      <c r="J1510" s="614">
        <f>'WK7 - Financials'!K127</f>
        <v>449236.95084</v>
      </c>
      <c r="K1510" s="614">
        <f>'WK7 - Financials'!L127</f>
        <v>471768.29221000004</v>
      </c>
      <c r="L1510" s="614">
        <f>'WK7 - Financials'!M127</f>
        <v>495239.19050000008</v>
      </c>
      <c r="M1510" s="614">
        <f>'WK7 - Financials'!N127</f>
        <v>519688.82523000007</v>
      </c>
      <c r="N1510" s="614">
        <f>'WK7 - Financials'!O127</f>
        <v>545158.00973000005</v>
      </c>
      <c r="O1510" s="614">
        <f>'WK7 - Financials'!P127</f>
        <v>571689.25922999997</v>
      </c>
      <c r="P1510" s="614">
        <f>'WK7 - Financials'!Q127</f>
        <v>599326.86182000011</v>
      </c>
      <c r="Q1510" s="614">
        <f>'WK7 - Financials'!R127</f>
        <v>628116.95243000006</v>
      </c>
      <c r="R1510" s="614">
        <f>'WK7 - Financials'!S127</f>
        <v>658107.58981000003</v>
      </c>
      <c r="S1510" s="1105">
        <f>'WK7 - Financials'!T127</f>
        <v>689348.83676000009</v>
      </c>
    </row>
    <row r="1511" spans="2:19" ht="22.8" x14ac:dyDescent="0.2">
      <c r="B1511" s="1094" t="str">
        <f>'WK7 - Financials'!C128</f>
        <v>Infrastructure, PPE (Net Carrying Amount)</v>
      </c>
      <c r="C1511" s="1052"/>
      <c r="D1511" s="1106">
        <f>'WK7 - Financials'!E128</f>
        <v>1586769</v>
      </c>
      <c r="E1511" s="1107">
        <f>'WK7 - Financials'!F128</f>
        <v>1594741</v>
      </c>
      <c r="F1511" s="1107">
        <f>'WK7 - Financials'!G128</f>
        <v>1597665</v>
      </c>
      <c r="G1511" s="1107">
        <f>'WK7 - Financials'!H128</f>
        <v>1602189</v>
      </c>
      <c r="H1511" s="1108">
        <f>'WK7 - Financials'!I128</f>
        <v>1724636</v>
      </c>
      <c r="I1511" s="1106">
        <f>'WK7 - Financials'!J128</f>
        <v>1752594.8787200004</v>
      </c>
      <c r="J1511" s="1107">
        <f>'WK7 - Financials'!K128</f>
        <v>1778604.2086300002</v>
      </c>
      <c r="K1511" s="1107">
        <f>'WK7 - Financials'!L128</f>
        <v>1847121.85323</v>
      </c>
      <c r="L1511" s="1107">
        <f>'WK7 - Financials'!M128</f>
        <v>1851593.33433</v>
      </c>
      <c r="M1511" s="1107">
        <f>'WK7 - Financials'!N128</f>
        <v>1905223.1337000001</v>
      </c>
      <c r="N1511" s="1107">
        <f>'WK7 - Financials'!O128</f>
        <v>1916742.6311800005</v>
      </c>
      <c r="O1511" s="1107">
        <f>'WK7 - Financials'!P128</f>
        <v>1936251.0258400002</v>
      </c>
      <c r="P1511" s="1107">
        <f>'WK7 - Financials'!Q128</f>
        <v>1954409.3100099997</v>
      </c>
      <c r="Q1511" s="1107">
        <f>'WK7 - Financials'!R128</f>
        <v>1956648.0494399997</v>
      </c>
      <c r="R1511" s="1107">
        <f>'WK7 - Financials'!S128</f>
        <v>1958554.9259200001</v>
      </c>
      <c r="S1511" s="1108">
        <f>'WK7 - Financials'!T128</f>
        <v>1960047.3806799997</v>
      </c>
    </row>
    <row r="1512" spans="2:19" x14ac:dyDescent="0.2">
      <c r="B1512" s="25"/>
      <c r="D1512" s="72"/>
      <c r="E1512" s="72"/>
      <c r="F1512" s="72"/>
      <c r="G1512" s="72"/>
      <c r="H1512" s="72"/>
      <c r="I1512" s="72"/>
      <c r="J1512" s="72"/>
      <c r="K1512" s="72"/>
      <c r="L1512" s="72"/>
      <c r="M1512" s="72"/>
      <c r="N1512" s="72"/>
      <c r="O1512" s="72"/>
      <c r="P1512" s="72"/>
      <c r="Q1512" s="72"/>
      <c r="R1512" s="72"/>
      <c r="S1512" s="72"/>
    </row>
    <row r="1513" spans="2:19" x14ac:dyDescent="0.2">
      <c r="B1513" s="25"/>
      <c r="D1513" s="72"/>
      <c r="E1513" s="72"/>
      <c r="F1513" s="72"/>
      <c r="G1513" s="72"/>
      <c r="H1513" s="72"/>
      <c r="I1513" s="72"/>
      <c r="J1513" s="72"/>
      <c r="K1513" s="72"/>
      <c r="L1513" s="72"/>
      <c r="M1513" s="72"/>
      <c r="N1513" s="72"/>
      <c r="O1513" s="72"/>
      <c r="P1513" s="72"/>
      <c r="Q1513" s="72"/>
      <c r="R1513" s="72"/>
      <c r="S1513" s="72"/>
    </row>
    <row r="1514" spans="2:19" ht="12" x14ac:dyDescent="0.25">
      <c r="B1514" s="1057"/>
      <c r="C1514" s="26"/>
      <c r="D1514" s="72"/>
      <c r="E1514" s="72"/>
      <c r="F1514" s="72"/>
      <c r="G1514" s="72"/>
      <c r="H1514" s="72"/>
      <c r="I1514" s="72"/>
      <c r="J1514" s="72"/>
      <c r="K1514" s="72"/>
      <c r="L1514" s="72"/>
      <c r="M1514" s="72"/>
      <c r="N1514" s="72"/>
      <c r="O1514" s="72"/>
      <c r="P1514" s="72"/>
      <c r="Q1514" s="72"/>
      <c r="R1514" s="72"/>
      <c r="S1514" s="72"/>
    </row>
    <row r="1515" spans="2:19" ht="12" x14ac:dyDescent="0.25">
      <c r="B1515" s="26" t="str">
        <f>'WK7 - Financials'!C132</f>
        <v>Infrastructure, property and equipment - (General fund) -  forecasts for SV scenariob</v>
      </c>
      <c r="C1515" s="26"/>
      <c r="D1515" s="72"/>
      <c r="E1515" s="72"/>
      <c r="F1515" s="72"/>
      <c r="G1515" s="72"/>
      <c r="H1515" s="72"/>
      <c r="I1515" s="72"/>
      <c r="J1515" s="72"/>
      <c r="K1515" s="72"/>
      <c r="L1515" s="72"/>
      <c r="M1515" s="72"/>
      <c r="N1515" s="72"/>
      <c r="O1515" s="72"/>
      <c r="P1515" s="72"/>
      <c r="Q1515" s="72"/>
      <c r="R1515" s="72"/>
      <c r="S1515" s="72"/>
    </row>
    <row r="1516" spans="2:19" ht="12" x14ac:dyDescent="0.25">
      <c r="B1516" s="1057" t="str">
        <f>'WK7 - Financials'!C133</f>
        <v>Sources:</v>
      </c>
      <c r="C1516" s="26" t="str">
        <f>'WK7 - Financials'!D133</f>
        <v>Council's Long Term Financial Plan (LTFP)</v>
      </c>
      <c r="D1516" s="72"/>
      <c r="E1516" s="72"/>
      <c r="F1516" s="72"/>
      <c r="G1516" s="72"/>
      <c r="H1516" s="72"/>
      <c r="I1516" s="72"/>
      <c r="J1516" s="72"/>
      <c r="K1516" s="72"/>
      <c r="L1516" s="72"/>
      <c r="M1516" s="72"/>
      <c r="N1516" s="72"/>
      <c r="O1516" s="72"/>
      <c r="P1516" s="72"/>
      <c r="Q1516" s="72"/>
      <c r="R1516" s="72"/>
      <c r="S1516" s="72"/>
    </row>
    <row r="1517" spans="2:19" x14ac:dyDescent="0.2">
      <c r="B1517" s="1207"/>
      <c r="C1517" s="1055"/>
      <c r="D1517" s="1208" t="str">
        <f>'WK7 - Financials'!E134</f>
        <v>Actual</v>
      </c>
      <c r="E1517" s="1098" t="str">
        <f>'WK7 - Financials'!F134</f>
        <v>Actual</v>
      </c>
      <c r="F1517" s="1098" t="str">
        <f>'WK7 - Financials'!G134</f>
        <v>Actual</v>
      </c>
      <c r="G1517" s="1098" t="str">
        <f>'WK7 - Financials'!H134</f>
        <v>Actual</v>
      </c>
      <c r="H1517" s="1099" t="str">
        <f>'WK7 - Financials'!I134</f>
        <v>Actual</v>
      </c>
      <c r="I1517" s="1208" t="str">
        <f>'WK7 - Financials'!J134</f>
        <v>Forecast</v>
      </c>
      <c r="J1517" s="1098" t="str">
        <f>'WK7 - Financials'!K134</f>
        <v>Forecast</v>
      </c>
      <c r="K1517" s="1098" t="str">
        <f>'WK7 - Financials'!L134</f>
        <v>Forecast</v>
      </c>
      <c r="L1517" s="1098" t="str">
        <f>'WK7 - Financials'!M134</f>
        <v>Forecast</v>
      </c>
      <c r="M1517" s="1098" t="str">
        <f>'WK7 - Financials'!N134</f>
        <v>Forecast</v>
      </c>
      <c r="N1517" s="1098" t="str">
        <f>'WK7 - Financials'!O134</f>
        <v>Forecast</v>
      </c>
      <c r="O1517" s="1098" t="str">
        <f>'WK7 - Financials'!P134</f>
        <v>Forecast</v>
      </c>
      <c r="P1517" s="1098" t="str">
        <f>'WK7 - Financials'!Q134</f>
        <v>Forecast</v>
      </c>
      <c r="Q1517" s="1098" t="str">
        <f>'WK7 - Financials'!R134</f>
        <v>Forecast</v>
      </c>
      <c r="R1517" s="1098" t="str">
        <f>'WK7 - Financials'!S134</f>
        <v>Forecast</v>
      </c>
      <c r="S1517" s="1099" t="str">
        <f>'WK7 - Financials'!T134</f>
        <v>Forecast</v>
      </c>
    </row>
    <row r="1518" spans="2:19" ht="12" x14ac:dyDescent="0.2">
      <c r="B1518" s="767"/>
      <c r="C1518" s="768"/>
      <c r="D1518" s="1097" t="str">
        <f>'WK7 - Financials'!E135</f>
        <v>2017-18</v>
      </c>
      <c r="E1518" s="1100" t="str">
        <f>'WK7 - Financials'!F135</f>
        <v>2018-19</v>
      </c>
      <c r="F1518" s="1100" t="str">
        <f>'WK7 - Financials'!G135</f>
        <v>2019-20</v>
      </c>
      <c r="G1518" s="1100" t="str">
        <f>'WK7 - Financials'!H135</f>
        <v>2020-21</v>
      </c>
      <c r="H1518" s="1101" t="str">
        <f>'WK7 - Financials'!I135</f>
        <v>2021-22</v>
      </c>
      <c r="I1518" s="1097" t="str">
        <f>'WK7 - Financials'!J135</f>
        <v>2022-23</v>
      </c>
      <c r="J1518" s="1100" t="str">
        <f>'WK7 - Financials'!K135</f>
        <v>2023-24</v>
      </c>
      <c r="K1518" s="1100" t="str">
        <f>'WK7 - Financials'!L135</f>
        <v>2024-25</v>
      </c>
      <c r="L1518" s="1100" t="str">
        <f>'WK7 - Financials'!M135</f>
        <v>2025-26</v>
      </c>
      <c r="M1518" s="1100" t="str">
        <f>'WK7 - Financials'!N135</f>
        <v>2026-27</v>
      </c>
      <c r="N1518" s="1100" t="str">
        <f>'WK7 - Financials'!O135</f>
        <v>2027-28</v>
      </c>
      <c r="O1518" s="1100" t="str">
        <f>'WK7 - Financials'!P135</f>
        <v>2028-29</v>
      </c>
      <c r="P1518" s="1100" t="str">
        <f>'WK7 - Financials'!Q135</f>
        <v>2029-30</v>
      </c>
      <c r="Q1518" s="1100" t="str">
        <f>'WK7 - Financials'!R135</f>
        <v>2030-31</v>
      </c>
      <c r="R1518" s="1100" t="str">
        <f>'WK7 - Financials'!S135</f>
        <v>2031-32</v>
      </c>
      <c r="S1518" s="1101" t="str">
        <f>'WK7 - Financials'!T135</f>
        <v>2032-33</v>
      </c>
    </row>
    <row r="1519" spans="2:19" ht="12" x14ac:dyDescent="0.2">
      <c r="B1519" s="767"/>
      <c r="C1519" s="768"/>
      <c r="D1519" s="1097" t="str">
        <f>'WK7 - Financials'!J132</f>
        <v>$'000 nominal</v>
      </c>
      <c r="E1519" s="1100"/>
      <c r="F1519" s="1100"/>
      <c r="G1519" s="1100"/>
      <c r="H1519" s="1101"/>
      <c r="I1519" s="1097" t="str">
        <f>'WK7 - Financials'!J132</f>
        <v>$'000 nominal</v>
      </c>
      <c r="J1519" s="1100"/>
      <c r="K1519" s="1100"/>
      <c r="L1519" s="1100"/>
      <c r="M1519" s="1100"/>
      <c r="N1519" s="1100"/>
      <c r="O1519" s="1100"/>
      <c r="P1519" s="1100"/>
      <c r="Q1519" s="1100"/>
      <c r="R1519" s="1100"/>
      <c r="S1519" s="1101"/>
    </row>
    <row r="1520" spans="2:19" ht="12" x14ac:dyDescent="0.25">
      <c r="B1520" s="1095" t="str">
        <f>'WK7 - Financials'!C136</f>
        <v>Infrastructure, PPEa</v>
      </c>
      <c r="C1520" s="1096"/>
      <c r="D1520" s="1102"/>
      <c r="E1520" s="1103"/>
      <c r="F1520" s="1103"/>
      <c r="G1520" s="1103"/>
      <c r="H1520" s="1104"/>
      <c r="I1520" s="1102"/>
      <c r="J1520" s="1103"/>
      <c r="K1520" s="1103"/>
      <c r="L1520" s="1103"/>
      <c r="M1520" s="1103"/>
      <c r="N1520" s="1103"/>
      <c r="O1520" s="1103"/>
      <c r="P1520" s="1103"/>
      <c r="Q1520" s="1103"/>
      <c r="R1520" s="1103"/>
      <c r="S1520" s="1104"/>
    </row>
    <row r="1521" spans="2:19" ht="22.8" x14ac:dyDescent="0.2">
      <c r="B1521" s="1093" t="str">
        <f>'WK7 - Financials'!C137</f>
        <v>Infrastructure, PPE (Gross Carrying Amount)</v>
      </c>
      <c r="C1521" s="768"/>
      <c r="D1521" s="1092">
        <f>'WK7 - Financials'!E137</f>
        <v>1913524</v>
      </c>
      <c r="E1521" s="614">
        <f>'WK7 - Financials'!F137</f>
        <v>1937222</v>
      </c>
      <c r="F1521" s="614">
        <f>'WK7 - Financials'!G137</f>
        <v>1955398</v>
      </c>
      <c r="G1521" s="614">
        <f>'WK7 - Financials'!H137</f>
        <v>1973532</v>
      </c>
      <c r="H1521" s="1105">
        <f>'WK7 - Financials'!I137</f>
        <v>2131480</v>
      </c>
      <c r="I1521" s="1092">
        <f>'WK7 - Financials'!J137</f>
        <v>2180202.4340100004</v>
      </c>
      <c r="J1521" s="614">
        <f>'WK7 - Financials'!K137</f>
        <v>2232659.4594700001</v>
      </c>
      <c r="K1521" s="614">
        <f>'WK7 - Financials'!L137</f>
        <v>2328539.7454400002</v>
      </c>
      <c r="L1521" s="614">
        <f>'WK7 - Financials'!M137</f>
        <v>2361327.0748299998</v>
      </c>
      <c r="M1521" s="614">
        <f>'WK7 - Financials'!N137</f>
        <v>2444265.7914300002</v>
      </c>
      <c r="N1521" s="614">
        <f>'WK7 - Financials'!O137</f>
        <v>2486128.8050400005</v>
      </c>
      <c r="O1521" s="614">
        <f>'WK7 - Financials'!P137</f>
        <v>2537058.5824100003</v>
      </c>
      <c r="P1521" s="614">
        <f>'WK7 - Financials'!Q137</f>
        <v>2587761.19404</v>
      </c>
      <c r="Q1521" s="614">
        <f>'WK7 - Financials'!R137</f>
        <v>2623714.17019</v>
      </c>
      <c r="R1521" s="614">
        <f>'WK7 - Financials'!S137</f>
        <v>2660554.1224699998</v>
      </c>
      <c r="S1521" s="1105">
        <f>'WK7 - Financials'!T137</f>
        <v>2698249.4695199993</v>
      </c>
    </row>
    <row r="1522" spans="2:19" ht="34.200000000000003" x14ac:dyDescent="0.2">
      <c r="B1522" s="1093" t="str">
        <f>'WK7 - Financials'!C138</f>
        <v>Less: Accumulated depreciation and impairments</v>
      </c>
      <c r="C1522" s="768"/>
      <c r="D1522" s="1092">
        <f>'WK7 - Financials'!E138</f>
        <v>326755</v>
      </c>
      <c r="E1522" s="614">
        <f>'WK7 - Financials'!F138</f>
        <v>342481</v>
      </c>
      <c r="F1522" s="614">
        <f>'WK7 - Financials'!G138</f>
        <v>357733</v>
      </c>
      <c r="G1522" s="614">
        <f>'WK7 - Financials'!H138</f>
        <v>371343</v>
      </c>
      <c r="H1522" s="1105">
        <f>'WK7 - Financials'!I138</f>
        <v>406844</v>
      </c>
      <c r="I1522" s="1092">
        <f>'WK7 - Financials'!J138</f>
        <v>427607.55529000005</v>
      </c>
      <c r="J1522" s="614">
        <f>'WK7 - Financials'!K138</f>
        <v>449236.95084</v>
      </c>
      <c r="K1522" s="614">
        <f>'WK7 - Financials'!L138</f>
        <v>471768.29221000004</v>
      </c>
      <c r="L1522" s="614">
        <f>'WK7 - Financials'!M138</f>
        <v>495239.19050000008</v>
      </c>
      <c r="M1522" s="614">
        <f>'WK7 - Financials'!N138</f>
        <v>519688.82523000007</v>
      </c>
      <c r="N1522" s="614">
        <f>'WK7 - Financials'!O138</f>
        <v>545158.00973000005</v>
      </c>
      <c r="O1522" s="614">
        <f>'WK7 - Financials'!P138</f>
        <v>571689.25922999997</v>
      </c>
      <c r="P1522" s="614">
        <f>'WK7 - Financials'!Q138</f>
        <v>599326.86182000011</v>
      </c>
      <c r="Q1522" s="614">
        <f>'WK7 - Financials'!R138</f>
        <v>628116.95243000006</v>
      </c>
      <c r="R1522" s="614">
        <f>'WK7 - Financials'!S138</f>
        <v>658107.58981000003</v>
      </c>
      <c r="S1522" s="1105">
        <f>'WK7 - Financials'!T138</f>
        <v>689348.83676000009</v>
      </c>
    </row>
    <row r="1523" spans="2:19" ht="22.8" x14ac:dyDescent="0.2">
      <c r="B1523" s="1094" t="str">
        <f>'WK7 - Financials'!C139</f>
        <v>Infrastructure, PPE (Net Carrying Amount)</v>
      </c>
      <c r="C1523" s="1052"/>
      <c r="D1523" s="1106">
        <f>'WK7 - Financials'!E139</f>
        <v>1586769</v>
      </c>
      <c r="E1523" s="1107">
        <f>'WK7 - Financials'!F139</f>
        <v>1594741</v>
      </c>
      <c r="F1523" s="1107">
        <f>'WK7 - Financials'!G139</f>
        <v>1597665</v>
      </c>
      <c r="G1523" s="1107">
        <f>'WK7 - Financials'!H139</f>
        <v>1602189</v>
      </c>
      <c r="H1523" s="1108">
        <f>'WK7 - Financials'!I139</f>
        <v>1724636</v>
      </c>
      <c r="I1523" s="1106">
        <f>'WK7 - Financials'!J139</f>
        <v>1752594.8787200004</v>
      </c>
      <c r="J1523" s="1107">
        <f>'WK7 - Financials'!K139</f>
        <v>1783422.5086300001</v>
      </c>
      <c r="K1523" s="1107">
        <f>'WK7 - Financials'!L139</f>
        <v>1856771.4532300001</v>
      </c>
      <c r="L1523" s="1107">
        <f>'WK7 - Financials'!M139</f>
        <v>1866087.8843299998</v>
      </c>
      <c r="M1523" s="1107">
        <f>'WK7 - Financials'!N139</f>
        <v>1924576.9662000001</v>
      </c>
      <c r="N1523" s="1107">
        <f>'WK7 - Financials'!O139</f>
        <v>1940970.7953100004</v>
      </c>
      <c r="O1523" s="1107">
        <f>'WK7 - Financials'!P139</f>
        <v>1965369.3231800003</v>
      </c>
      <c r="P1523" s="1107">
        <f>'WK7 - Financials'!Q139</f>
        <v>1988434.3322199997</v>
      </c>
      <c r="Q1523" s="1107">
        <f>'WK7 - Financials'!R139</f>
        <v>1995597.2177599999</v>
      </c>
      <c r="R1523" s="1107">
        <f>'WK7 - Financials'!S139</f>
        <v>2002446.5326599998</v>
      </c>
      <c r="S1523" s="1108">
        <f>'WK7 - Financials'!T139</f>
        <v>2008900.6327599993</v>
      </c>
    </row>
    <row r="1524" spans="2:19" x14ac:dyDescent="0.2">
      <c r="B1524" s="25"/>
      <c r="D1524" s="72"/>
      <c r="E1524" s="72"/>
      <c r="F1524" s="72"/>
      <c r="G1524" s="72"/>
      <c r="H1524" s="72"/>
      <c r="I1524" s="72"/>
      <c r="J1524" s="72"/>
      <c r="K1524" s="72"/>
      <c r="L1524" s="72"/>
      <c r="M1524" s="72"/>
      <c r="N1524" s="72"/>
      <c r="O1524" s="72"/>
      <c r="P1524" s="72"/>
      <c r="Q1524" s="72"/>
      <c r="R1524" s="72"/>
      <c r="S1524" s="72"/>
    </row>
    <row r="1525" spans="2:19" x14ac:dyDescent="0.2">
      <c r="B1525" s="25"/>
      <c r="D1525" s="72"/>
      <c r="E1525" s="72"/>
      <c r="F1525" s="72"/>
      <c r="G1525" s="72"/>
      <c r="H1525" s="72"/>
      <c r="I1525" s="72"/>
      <c r="J1525" s="72"/>
      <c r="K1525" s="72"/>
      <c r="L1525" s="72"/>
      <c r="M1525" s="72"/>
      <c r="N1525" s="72"/>
      <c r="O1525" s="72"/>
      <c r="P1525" s="72"/>
      <c r="Q1525" s="72"/>
      <c r="R1525" s="72"/>
      <c r="S1525" s="72"/>
    </row>
    <row r="1526" spans="2:19" x14ac:dyDescent="0.2">
      <c r="B1526" s="25"/>
      <c r="D1526" s="72"/>
      <c r="E1526" s="72"/>
      <c r="F1526" s="72"/>
      <c r="G1526" s="72"/>
      <c r="H1526" s="72"/>
      <c r="I1526" s="72"/>
      <c r="J1526" s="72"/>
      <c r="K1526" s="72"/>
      <c r="L1526" s="72"/>
      <c r="M1526" s="72"/>
      <c r="N1526" s="72"/>
      <c r="O1526" s="72"/>
      <c r="P1526" s="72"/>
      <c r="Q1526" s="72"/>
      <c r="R1526" s="72"/>
      <c r="S1526" s="72"/>
    </row>
    <row r="1527" spans="2:19" ht="36" x14ac:dyDescent="0.25">
      <c r="B1527" s="1057" t="str">
        <f>'WK7 - Financials'!C143</f>
        <v>Net cash flows from operating activities (General fund)a</v>
      </c>
      <c r="C1527" s="26"/>
      <c r="D1527" s="72"/>
      <c r="E1527" s="72"/>
      <c r="F1527" s="72"/>
      <c r="G1527" s="72"/>
      <c r="H1527" s="72"/>
      <c r="I1527" s="72"/>
      <c r="J1527" s="72"/>
      <c r="K1527" s="72"/>
      <c r="L1527" s="72"/>
      <c r="M1527" s="72"/>
      <c r="N1527" s="72"/>
      <c r="O1527" s="72"/>
      <c r="P1527" s="72"/>
      <c r="Q1527" s="72"/>
      <c r="R1527" s="72"/>
      <c r="S1527" s="72"/>
    </row>
    <row r="1528" spans="2:19" ht="12" x14ac:dyDescent="0.25">
      <c r="B1528" s="1057" t="str">
        <f>'WK7 - Financials'!C144</f>
        <v>Sources:</v>
      </c>
      <c r="C1528" s="26" t="str">
        <f>'WK7 - Financials'!D144</f>
        <v>Cash flow statement and Council's Long Term Financial Plan (LTFP)</v>
      </c>
      <c r="D1528" s="72"/>
      <c r="E1528" s="72"/>
      <c r="F1528" s="72"/>
      <c r="G1528" s="72"/>
      <c r="H1528" s="72"/>
      <c r="I1528" s="72"/>
      <c r="J1528" s="72"/>
      <c r="K1528" s="72"/>
      <c r="L1528" s="72"/>
      <c r="M1528" s="72"/>
      <c r="N1528" s="72"/>
      <c r="O1528" s="72"/>
      <c r="P1528" s="72"/>
      <c r="Q1528" s="72"/>
      <c r="R1528" s="72"/>
      <c r="S1528" s="72"/>
    </row>
    <row r="1529" spans="2:19" x14ac:dyDescent="0.2">
      <c r="B1529" s="1207"/>
      <c r="C1529" s="1030"/>
      <c r="D1529" s="1208" t="str">
        <f>'WK7 - Financials'!E145</f>
        <v>Actual</v>
      </c>
      <c r="E1529" s="1098" t="str">
        <f>'WK7 - Financials'!F145</f>
        <v>Actual</v>
      </c>
      <c r="F1529" s="1098" t="str">
        <f>'WK7 - Financials'!G145</f>
        <v>Actual</v>
      </c>
      <c r="G1529" s="1098" t="str">
        <f>'WK7 - Financials'!H145</f>
        <v>Actual</v>
      </c>
      <c r="H1529" s="1098" t="str">
        <f>'WK7 - Financials'!I145</f>
        <v>Actual</v>
      </c>
      <c r="I1529" s="1208" t="str">
        <f>'WK7 - Financials'!J145</f>
        <v>Forecast</v>
      </c>
      <c r="J1529" s="1098" t="str">
        <f>'WK7 - Financials'!K145</f>
        <v>Forecast</v>
      </c>
      <c r="K1529" s="1098" t="str">
        <f>'WK7 - Financials'!L145</f>
        <v>Forecast</v>
      </c>
      <c r="L1529" s="1098" t="str">
        <f>'WK7 - Financials'!M145</f>
        <v>Forecast</v>
      </c>
      <c r="M1529" s="1098" t="str">
        <f>'WK7 - Financials'!N145</f>
        <v>Forecast</v>
      </c>
      <c r="N1529" s="1098" t="str">
        <f>'WK7 - Financials'!O145</f>
        <v>Forecast</v>
      </c>
      <c r="O1529" s="1098" t="str">
        <f>'WK7 - Financials'!P145</f>
        <v>Forecast</v>
      </c>
      <c r="P1529" s="1098" t="str">
        <f>'WK7 - Financials'!Q145</f>
        <v>Forecast</v>
      </c>
      <c r="Q1529" s="1098" t="str">
        <f>'WK7 - Financials'!R145</f>
        <v>Forecast</v>
      </c>
      <c r="R1529" s="1098" t="str">
        <f>'WK7 - Financials'!S145</f>
        <v>Forecast</v>
      </c>
      <c r="S1529" s="1099" t="str">
        <f>'WK7 - Financials'!T145</f>
        <v>Forecast</v>
      </c>
    </row>
    <row r="1530" spans="2:19" ht="12" x14ac:dyDescent="0.2">
      <c r="B1530" s="767"/>
      <c r="D1530" s="1097" t="str">
        <f>'WK7 - Financials'!I144</f>
        <v>$'000 nominal</v>
      </c>
      <c r="E1530" s="1100"/>
      <c r="F1530" s="1100"/>
      <c r="G1530" s="1100"/>
      <c r="H1530" s="1100"/>
      <c r="I1530" s="1097" t="str">
        <f>'WK7 - Financials'!I144</f>
        <v>$'000 nominal</v>
      </c>
      <c r="J1530" s="1100"/>
      <c r="K1530" s="1100"/>
      <c r="L1530" s="1100"/>
      <c r="M1530" s="1100"/>
      <c r="N1530" s="1100"/>
      <c r="O1530" s="1100"/>
      <c r="P1530" s="1100"/>
      <c r="Q1530" s="1100"/>
      <c r="R1530" s="1100"/>
      <c r="S1530" s="1101"/>
    </row>
    <row r="1531" spans="2:19" ht="12" x14ac:dyDescent="0.2">
      <c r="B1531" s="1051"/>
      <c r="C1531" s="1037"/>
      <c r="D1531" s="1112" t="str">
        <f>'WK7 - Financials'!E146</f>
        <v>2017-18</v>
      </c>
      <c r="E1531" s="1110" t="str">
        <f>'WK7 - Financials'!F146</f>
        <v>2018-19</v>
      </c>
      <c r="F1531" s="1110" t="str">
        <f>'WK7 - Financials'!G146</f>
        <v>2019-20</v>
      </c>
      <c r="G1531" s="1110" t="str">
        <f>'WK7 - Financials'!H146</f>
        <v>2020-21</v>
      </c>
      <c r="H1531" s="1110" t="str">
        <f>'WK7 - Financials'!I146</f>
        <v>2021-22</v>
      </c>
      <c r="I1531" s="1112" t="str">
        <f>'WK7 - Financials'!J146</f>
        <v>2022-23</v>
      </c>
      <c r="J1531" s="1110" t="str">
        <f>'WK7 - Financials'!K146</f>
        <v>2023-24</v>
      </c>
      <c r="K1531" s="1110" t="str">
        <f>'WK7 - Financials'!L146</f>
        <v>2024-25</v>
      </c>
      <c r="L1531" s="1110" t="str">
        <f>'WK7 - Financials'!M146</f>
        <v>2025-26</v>
      </c>
      <c r="M1531" s="1110" t="str">
        <f>'WK7 - Financials'!N146</f>
        <v>2026-27</v>
      </c>
      <c r="N1531" s="1110" t="str">
        <f>'WK7 - Financials'!O146</f>
        <v>2027-28</v>
      </c>
      <c r="O1531" s="1110" t="str">
        <f>'WK7 - Financials'!P146</f>
        <v>2028-29</v>
      </c>
      <c r="P1531" s="1110" t="str">
        <f>'WK7 - Financials'!Q146</f>
        <v>2029-30</v>
      </c>
      <c r="Q1531" s="1110" t="str">
        <f>'WK7 - Financials'!R146</f>
        <v>2030-31</v>
      </c>
      <c r="R1531" s="1110" t="str">
        <f>'WK7 - Financials'!S146</f>
        <v>2031-32</v>
      </c>
      <c r="S1531" s="1111" t="str">
        <f>'WK7 - Financials'!T146</f>
        <v>2032-33</v>
      </c>
    </row>
    <row r="1532" spans="2:19" ht="36" x14ac:dyDescent="0.25">
      <c r="B1532" s="1059" t="str">
        <f>'WK7 - Financials'!C147</f>
        <v>Net Cash flows from operating activities (baseline scenario)</v>
      </c>
      <c r="C1532" s="1109"/>
      <c r="D1532" s="1112">
        <f>'WK7 - Financials'!E147</f>
        <v>122828</v>
      </c>
      <c r="E1532" s="1110">
        <f>'WK7 - Financials'!F147</f>
        <v>30399</v>
      </c>
      <c r="F1532" s="1110">
        <f>'WK7 - Financials'!G147</f>
        <v>37525</v>
      </c>
      <c r="G1532" s="1110">
        <f>'WK7 - Financials'!H147</f>
        <v>41134</v>
      </c>
      <c r="H1532" s="1110">
        <f>'WK7 - Financials'!I147</f>
        <v>52970</v>
      </c>
      <c r="I1532" s="1112">
        <f>'WK7 - Financials'!J147</f>
        <v>27160.904705056386</v>
      </c>
      <c r="J1532" s="1110">
        <f>'WK7 - Financials'!K147</f>
        <v>32956.247026512829</v>
      </c>
      <c r="K1532" s="1110">
        <f>'WK7 - Financials'!L147</f>
        <v>34829.933756138758</v>
      </c>
      <c r="L1532" s="1110">
        <f>'WK7 - Financials'!M147</f>
        <v>33029.608143270976</v>
      </c>
      <c r="M1532" s="1110">
        <f>'WK7 - Financials'!N147</f>
        <v>80596.586198724632</v>
      </c>
      <c r="N1532" s="1110">
        <f>'WK7 - Financials'!O147</f>
        <v>32949.77202995924</v>
      </c>
      <c r="O1532" s="1110">
        <f>'WK7 - Financials'!P147</f>
        <v>31282.447352437997</v>
      </c>
      <c r="P1532" s="1110">
        <f>'WK7 - Financials'!Q147</f>
        <v>33307.525698269303</v>
      </c>
      <c r="Q1532" s="1110">
        <f>'WK7 - Financials'!R147</f>
        <v>33586.288290410273</v>
      </c>
      <c r="R1532" s="1110">
        <f>'WK7 - Financials'!S147</f>
        <v>33765.281516232222</v>
      </c>
      <c r="S1532" s="1111">
        <f>'WK7 - Financials'!T147</f>
        <v>33737.278562791042</v>
      </c>
    </row>
    <row r="1533" spans="2:19" ht="33.6" customHeight="1" x14ac:dyDescent="0.25">
      <c r="B1533" s="1141" t="str">
        <f>'WK7 - Financials'!C148</f>
        <v>Net Cash flows from operating activities (SV scenario)</v>
      </c>
      <c r="C1533" s="1142"/>
      <c r="D1533" s="1143">
        <f>'WK7 - Financials'!E148</f>
        <v>122828</v>
      </c>
      <c r="E1533" s="1144">
        <f>'WK7 - Financials'!F148</f>
        <v>30399</v>
      </c>
      <c r="F1533" s="1144">
        <f>'WK7 - Financials'!G148</f>
        <v>37525</v>
      </c>
      <c r="G1533" s="1144">
        <f>'WK7 - Financials'!H148</f>
        <v>41134</v>
      </c>
      <c r="H1533" s="1144">
        <f>'WK7 - Financials'!I148</f>
        <v>52970</v>
      </c>
      <c r="I1533" s="1143">
        <f>'WK7 - Financials'!J148</f>
        <v>27160.904705056386</v>
      </c>
      <c r="J1533" s="1144">
        <f>'WK7 - Financials'!K148</f>
        <v>34921.992148052559</v>
      </c>
      <c r="K1533" s="1144">
        <f>'WK7 - Financials'!L148</f>
        <v>39884.307143600097</v>
      </c>
      <c r="L1533" s="1144">
        <f>'WK7 - Financials'!M148</f>
        <v>41203.728397668958</v>
      </c>
      <c r="M1533" s="1144">
        <f>'WK7 - Financials'!N148</f>
        <v>91712.469422031587</v>
      </c>
      <c r="N1533" s="1144">
        <f>'WK7 - Financials'!O148</f>
        <v>44566.382608641186</v>
      </c>
      <c r="O1533" s="1144">
        <f>'WK7 - Financials'!P148</f>
        <v>43209.848739282883</v>
      </c>
      <c r="P1533" s="1144">
        <f>'WK7 - Financials'!Q148</f>
        <v>45528.297830654992</v>
      </c>
      <c r="Q1533" s="1144">
        <f>'WK7 - Financials'!R148</f>
        <v>46327.901975571731</v>
      </c>
      <c r="R1533" s="1144">
        <f>'WK7 - Financials'!S148</f>
        <v>46839.874164404471</v>
      </c>
      <c r="S1533" s="1145">
        <f>'WK7 - Financials'!T148</f>
        <v>47214.821229289395</v>
      </c>
    </row>
    <row r="1534" spans="2:19" ht="12" x14ac:dyDescent="0.25">
      <c r="B1534" s="1057"/>
      <c r="C1534" s="26"/>
      <c r="D1534" s="1100"/>
      <c r="E1534" s="1100"/>
      <c r="F1534" s="1100"/>
      <c r="G1534" s="1100"/>
      <c r="H1534" s="1100"/>
      <c r="I1534" s="1100"/>
      <c r="J1534" s="1100"/>
      <c r="K1534" s="1100"/>
      <c r="L1534" s="1100"/>
      <c r="M1534" s="1100"/>
      <c r="N1534" s="1100"/>
      <c r="O1534" s="1100"/>
      <c r="P1534" s="1100"/>
      <c r="Q1534" s="1100"/>
      <c r="R1534" s="1100"/>
      <c r="S1534" s="110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N408"/>
  <sheetViews>
    <sheetView showGridLines="0" topLeftCell="A228" zoomScale="98" zoomScaleNormal="98" workbookViewId="0">
      <selection activeCell="B243" sqref="B243"/>
    </sheetView>
  </sheetViews>
  <sheetFormatPr defaultRowHeight="11.4" outlineLevelRow="1" x14ac:dyDescent="0.2"/>
  <cols>
    <col min="1" max="1" width="1.875" customWidth="1"/>
    <col min="2" max="2" width="31.25" customWidth="1"/>
    <col min="3" max="3" width="24.125" customWidth="1"/>
    <col min="4" max="4" width="13.875" customWidth="1"/>
    <col min="5" max="5" width="15.25" customWidth="1"/>
    <col min="8" max="8" width="9" customWidth="1"/>
    <col min="13" max="13" width="9.75" customWidth="1"/>
    <col min="16" max="16" width="10.625" customWidth="1"/>
    <col min="17" max="17" width="8.375" customWidth="1"/>
  </cols>
  <sheetData>
    <row r="1" spans="1:38" x14ac:dyDescent="0.2">
      <c r="A1" s="819" t="s">
        <v>118</v>
      </c>
      <c r="B1" s="819"/>
      <c r="C1" s="818"/>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ht="19.2" x14ac:dyDescent="0.2">
      <c r="A2" s="3"/>
      <c r="B2" s="74" t="s">
        <v>151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2" x14ac:dyDescent="0.25">
      <c r="A5" s="3"/>
      <c r="B5" s="2" t="s">
        <v>152</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x14ac:dyDescent="0.2">
      <c r="A6" s="3"/>
      <c r="B6" s="815" t="str">
        <f>"1. Enter the required information in the blue input cells in Section "&amp;B23</f>
        <v>1. Enter the required information in the blue input cells in Section 1. Inputs</v>
      </c>
      <c r="C6" s="815"/>
      <c r="D6" s="815"/>
      <c r="E6" s="815"/>
      <c r="F6" s="815"/>
      <c r="G6" s="815"/>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x14ac:dyDescent="0.2">
      <c r="A7" s="3"/>
      <c r="B7" s="93" t="str">
        <f>"2. Check the list of council names and update if necessary in Section "&amp;B67</f>
        <v>2. Check the list of council names and update if necessary in Section 2. Council Name</v>
      </c>
      <c r="C7" s="93"/>
      <c r="D7" s="93"/>
      <c r="E7" s="93"/>
      <c r="F7" s="93"/>
      <c r="G7" s="9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x14ac:dyDescent="0.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row>
    <row r="9" spans="1:38" x14ac:dyDescent="0.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x14ac:dyDescent="0.2">
      <c r="A10" s="3"/>
      <c r="B10" s="3" t="s">
        <v>153</v>
      </c>
      <c r="C10" s="3"/>
      <c r="D10" s="3"/>
      <c r="E10" s="3"/>
      <c r="F10" s="3"/>
      <c r="G10" s="3"/>
      <c r="H10" s="3"/>
      <c r="I10" s="3"/>
      <c r="J10" s="77" t="s">
        <v>154</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2" x14ac:dyDescent="0.25">
      <c r="A11" s="3"/>
      <c r="B11" s="928" t="str">
        <f>B23</f>
        <v>1. Inputs</v>
      </c>
      <c r="C11" s="815"/>
      <c r="D11" s="815"/>
      <c r="E11" s="815"/>
      <c r="F11" s="815"/>
      <c r="G11" s="815"/>
      <c r="H11" s="815"/>
      <c r="I11" s="815"/>
      <c r="J11" s="815">
        <f>ROW(B23)</f>
        <v>23</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x14ac:dyDescent="0.2">
      <c r="A12" s="3"/>
      <c r="B12" s="3" t="str">
        <f>B26</f>
        <v>Table 1 - Analyst and TSO details</v>
      </c>
      <c r="C12" s="3"/>
      <c r="D12" s="3"/>
      <c r="E12" s="3"/>
      <c r="F12" s="3"/>
      <c r="G12" s="3"/>
      <c r="H12" s="3"/>
      <c r="I12" s="3"/>
      <c r="J12" s="3">
        <f>ROW(B26)</f>
        <v>26</v>
      </c>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x14ac:dyDescent="0.2">
      <c r="A13" s="3"/>
      <c r="B13" s="3" t="str">
        <f>B42</f>
        <v>Table 2 - SV year and rate peg</v>
      </c>
      <c r="C13" s="3"/>
      <c r="D13" s="3"/>
      <c r="E13" s="3"/>
      <c r="F13" s="3"/>
      <c r="G13" s="3"/>
      <c r="H13" s="3"/>
      <c r="I13" s="3"/>
      <c r="J13" s="3">
        <f>ROW(B42)</f>
        <v>42</v>
      </c>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x14ac:dyDescent="0.2">
      <c r="A14" s="3"/>
      <c r="B14" s="3" t="str">
        <f>B52</f>
        <v xml:space="preserve">Table 3 - SV year, rate peg  and units in display format </v>
      </c>
      <c r="C14" s="3"/>
      <c r="D14" s="3"/>
      <c r="E14" s="3"/>
      <c r="F14" s="3"/>
      <c r="G14" s="3"/>
      <c r="H14" s="3"/>
      <c r="I14" s="3"/>
      <c r="J14" s="3">
        <f>ROW(B52)</f>
        <v>52</v>
      </c>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2" x14ac:dyDescent="0.25">
      <c r="A15" s="3"/>
      <c r="B15" s="2" t="str">
        <f>B67</f>
        <v>2. Council Name</v>
      </c>
      <c r="C15" s="3"/>
      <c r="D15" s="3"/>
      <c r="E15" s="3"/>
      <c r="F15" s="3"/>
      <c r="G15" s="3"/>
      <c r="H15" s="3"/>
      <c r="I15" s="3"/>
      <c r="J15" s="3">
        <f>ROW(B67)</f>
        <v>67</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2" x14ac:dyDescent="0.25">
      <c r="A16" s="3"/>
      <c r="B16" s="2" t="str">
        <f>B225</f>
        <v>3. Lists for expiring special variations and other questions</v>
      </c>
      <c r="C16" s="3"/>
      <c r="D16" s="3"/>
      <c r="E16" s="3"/>
      <c r="F16" s="3"/>
      <c r="G16" s="3"/>
      <c r="H16" s="3"/>
      <c r="I16" s="3"/>
      <c r="J16" s="3">
        <f>ROW(B225)</f>
        <v>225</v>
      </c>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x14ac:dyDescent="0.2">
      <c r="A17" s="3"/>
      <c r="B17" s="3" t="str">
        <f>B227</f>
        <v>2. Is the council applying for a one-year increase (s508(2)) or a multi-year increase (s508A)?</v>
      </c>
      <c r="C17" s="3"/>
      <c r="D17" s="3"/>
      <c r="E17" s="3"/>
      <c r="F17" s="3"/>
      <c r="G17" s="3"/>
      <c r="H17" s="3"/>
      <c r="I17" s="3"/>
      <c r="J17" s="3">
        <f>ROW(B227)</f>
        <v>227</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x14ac:dyDescent="0.2">
      <c r="A18" s="3"/>
      <c r="B18" s="3" t="str">
        <f>B231</f>
        <v>3. For s508A applications: for how many years is the council requesting % increases as part of this application?</v>
      </c>
      <c r="C18" s="3"/>
      <c r="D18" s="3"/>
      <c r="E18" s="3"/>
      <c r="F18" s="3"/>
      <c r="G18" s="3"/>
      <c r="H18" s="3"/>
      <c r="I18" s="3"/>
      <c r="J18" s="3">
        <f>ROW(B231)</f>
        <v>231</v>
      </c>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x14ac:dyDescent="0.2">
      <c r="A19" s="3"/>
      <c r="B19" s="3" t="str">
        <f>B242</f>
        <v xml:space="preserve">4. For s508A &amp; s508(2) applications: is the special variation permanent or temporary?   </v>
      </c>
      <c r="C19" s="3"/>
      <c r="D19" s="3"/>
      <c r="E19" s="3"/>
      <c r="F19" s="3"/>
      <c r="G19" s="3"/>
      <c r="H19" s="3"/>
      <c r="I19" s="3"/>
      <c r="J19" s="3">
        <f>ROW(B242)</f>
        <v>242</v>
      </c>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x14ac:dyDescent="0.2">
      <c r="A20" s="3"/>
      <c r="B20" s="93" t="str">
        <f>B251</f>
        <v>7. Does the council have an expiring variation? If yes, please specify when.</v>
      </c>
      <c r="C20" s="93"/>
      <c r="D20" s="93"/>
      <c r="E20" s="93"/>
      <c r="F20" s="93"/>
      <c r="G20" s="93"/>
      <c r="H20" s="93"/>
      <c r="I20" s="93"/>
      <c r="J20" s="93">
        <f>ROW(B251)</f>
        <v>251</v>
      </c>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15.6" x14ac:dyDescent="0.25">
      <c r="A23" s="3"/>
      <c r="B23" s="522" t="s">
        <v>155</v>
      </c>
      <c r="C23" s="523" t="s">
        <v>156</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9" customHeight="1" x14ac:dyDescent="0.2">
      <c r="A24" s="3"/>
      <c r="B24" s="74"/>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16.5" customHeight="1" x14ac:dyDescent="0.2">
      <c r="A25" s="3"/>
      <c r="B25" s="74"/>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12" x14ac:dyDescent="0.25">
      <c r="A26" s="524"/>
      <c r="B26" s="111" t="s">
        <v>157</v>
      </c>
      <c r="C26" s="3"/>
      <c r="D26" s="3"/>
      <c r="E26" s="3"/>
      <c r="F26" s="3"/>
      <c r="G26" s="3"/>
      <c r="H26" s="3"/>
      <c r="I26" s="3"/>
      <c r="J26" s="3"/>
      <c r="K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12" x14ac:dyDescent="0.25">
      <c r="A27" s="3"/>
      <c r="B27" s="1205"/>
      <c r="C27" s="815"/>
      <c r="D27" s="815"/>
      <c r="E27" s="815"/>
      <c r="F27" s="918"/>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x14ac:dyDescent="0.2">
      <c r="A28" s="3"/>
      <c r="B28" s="135" t="s">
        <v>158</v>
      </c>
      <c r="C28" s="3"/>
      <c r="D28" s="3"/>
      <c r="E28" s="3"/>
      <c r="F28" s="96"/>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x14ac:dyDescent="0.2">
      <c r="A29" s="3"/>
      <c r="B29" s="135" t="s">
        <v>159</v>
      </c>
      <c r="C29" s="3"/>
      <c r="D29" s="276" t="s">
        <v>160</v>
      </c>
      <c r="E29" s="3"/>
      <c r="F29" s="96"/>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x14ac:dyDescent="0.2">
      <c r="A30" s="3"/>
      <c r="B30" s="135" t="s">
        <v>161</v>
      </c>
      <c r="C30" s="3"/>
      <c r="D30" s="276" t="s">
        <v>162</v>
      </c>
      <c r="E30" s="3"/>
      <c r="F30" s="96"/>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x14ac:dyDescent="0.2">
      <c r="A31" s="3"/>
      <c r="B31" s="135" t="s">
        <v>163</v>
      </c>
      <c r="C31" s="3"/>
      <c r="D31" s="489" t="s">
        <v>164</v>
      </c>
      <c r="E31" s="3"/>
      <c r="F31" s="96"/>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x14ac:dyDescent="0.2">
      <c r="A32" s="3"/>
      <c r="B32" s="135" t="s">
        <v>165</v>
      </c>
      <c r="C32" s="3"/>
      <c r="D32" s="276" t="s">
        <v>166</v>
      </c>
      <c r="E32" s="3"/>
      <c r="F32" s="96"/>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x14ac:dyDescent="0.2">
      <c r="A33" s="3"/>
      <c r="B33" s="135"/>
      <c r="C33" s="3"/>
      <c r="D33" s="3"/>
      <c r="E33" s="3"/>
      <c r="F33" s="96"/>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x14ac:dyDescent="0.2">
      <c r="A34" s="3"/>
      <c r="B34" s="135" t="s">
        <v>167</v>
      </c>
      <c r="C34" s="3"/>
      <c r="D34" s="3"/>
      <c r="E34" s="3"/>
      <c r="F34" s="96"/>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x14ac:dyDescent="0.2">
      <c r="A35" s="3"/>
      <c r="B35" s="135" t="s">
        <v>159</v>
      </c>
      <c r="C35" s="3"/>
      <c r="D35" s="51" t="s">
        <v>168</v>
      </c>
      <c r="E35" s="3"/>
      <c r="F35" s="96"/>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x14ac:dyDescent="0.2">
      <c r="A36" s="3"/>
      <c r="B36" s="135" t="s">
        <v>161</v>
      </c>
      <c r="C36" s="3"/>
      <c r="D36" s="51" t="s">
        <v>169</v>
      </c>
      <c r="E36" s="3"/>
      <c r="F36" s="96"/>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x14ac:dyDescent="0.2">
      <c r="A37" s="3"/>
      <c r="B37" s="135" t="s">
        <v>163</v>
      </c>
      <c r="C37" s="3"/>
      <c r="D37" s="51" t="s">
        <v>170</v>
      </c>
      <c r="F37" s="96"/>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x14ac:dyDescent="0.2">
      <c r="A38" s="3"/>
      <c r="B38" s="135" t="s">
        <v>165</v>
      </c>
      <c r="C38" s="3"/>
      <c r="D38" s="51" t="s">
        <v>171</v>
      </c>
      <c r="F38" s="96"/>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x14ac:dyDescent="0.2">
      <c r="A39" s="3"/>
      <c r="B39" s="97"/>
      <c r="C39" s="93"/>
      <c r="D39" s="93"/>
      <c r="E39" s="93"/>
      <c r="F39" s="98"/>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2" x14ac:dyDescent="0.25">
      <c r="A42" s="3"/>
      <c r="B42" s="111" t="s">
        <v>172</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2" x14ac:dyDescent="0.25">
      <c r="A43" s="3"/>
      <c r="B43" s="1205"/>
      <c r="C43" s="815"/>
      <c r="D43" s="815"/>
      <c r="E43" s="815"/>
      <c r="F43" s="918"/>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6.5" customHeight="1" x14ac:dyDescent="0.25">
      <c r="A44" s="3"/>
      <c r="B44" s="525" t="s">
        <v>173</v>
      </c>
      <c r="C44" s="3" t="s">
        <v>174</v>
      </c>
      <c r="D44" s="159">
        <v>2023</v>
      </c>
      <c r="E44" s="3"/>
      <c r="F44" s="96"/>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6.5" customHeight="1" x14ac:dyDescent="0.2">
      <c r="A45" s="3"/>
      <c r="B45" s="526" t="s">
        <v>149</v>
      </c>
      <c r="C45" s="3"/>
      <c r="D45" s="77" t="str">
        <f>D44&amp;"-"&amp;RIGHT(D44+1,2)</f>
        <v>2023-24</v>
      </c>
      <c r="E45" s="3"/>
      <c r="F45" s="96"/>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2" x14ac:dyDescent="0.25">
      <c r="A46" s="3"/>
      <c r="B46" s="253" t="s">
        <v>175</v>
      </c>
      <c r="C46" s="3"/>
      <c r="D46" s="3"/>
      <c r="E46" s="3"/>
      <c r="F46" s="96"/>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x14ac:dyDescent="0.2">
      <c r="A47" s="3"/>
      <c r="B47" s="526" t="s">
        <v>176</v>
      </c>
      <c r="C47" s="3" t="s">
        <v>7</v>
      </c>
      <c r="D47" s="1039">
        <f>IF(ISBLANK('WK1 - Identification'!$K$32),'WK0 - Input data'!$D$48,'WK1 - Identification'!$K$32)</f>
        <v>3.6999999999999998E-2</v>
      </c>
      <c r="E47" s="3"/>
      <c r="F47" s="96"/>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x14ac:dyDescent="0.2">
      <c r="A48" s="3"/>
      <c r="B48" s="526" t="s">
        <v>177</v>
      </c>
      <c r="C48" s="3" t="s">
        <v>7</v>
      </c>
      <c r="D48" s="158">
        <v>2.5000000000000001E-2</v>
      </c>
      <c r="E48" s="3"/>
      <c r="F48" s="96"/>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40" ht="12" x14ac:dyDescent="0.2">
      <c r="A49" s="3"/>
      <c r="B49" s="527"/>
      <c r="C49" s="93"/>
      <c r="D49" s="93"/>
      <c r="E49" s="93"/>
      <c r="F49" s="98"/>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40" ht="11.2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40"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40" ht="12" x14ac:dyDescent="0.25">
      <c r="A52" s="3"/>
      <c r="B52" s="111" t="s">
        <v>178</v>
      </c>
      <c r="C52" s="1063"/>
      <c r="D52" s="1063" t="s">
        <v>179</v>
      </c>
      <c r="E52" s="377"/>
      <c r="F52" s="377"/>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40" ht="12" x14ac:dyDescent="0.25">
      <c r="A53" s="3"/>
      <c r="B53" s="1205" t="s">
        <v>180</v>
      </c>
      <c r="C53" s="928"/>
      <c r="D53" s="928"/>
      <c r="E53" s="815"/>
      <c r="F53" s="815"/>
      <c r="G53" s="815"/>
      <c r="H53" s="816"/>
      <c r="I53" s="816"/>
      <c r="J53" s="816"/>
      <c r="K53" s="816"/>
      <c r="L53" s="816"/>
      <c r="M53" s="816"/>
      <c r="N53" s="816"/>
      <c r="O53" s="816"/>
      <c r="P53" s="816"/>
      <c r="Q53" s="816"/>
      <c r="R53" s="816"/>
      <c r="S53" s="1147"/>
      <c r="T53" s="3"/>
      <c r="U53" s="3"/>
      <c r="V53" s="3"/>
      <c r="W53" s="3"/>
      <c r="X53" s="3"/>
      <c r="Y53" s="3"/>
      <c r="Z53" s="3"/>
      <c r="AA53" s="3"/>
      <c r="AB53" s="3"/>
      <c r="AC53" s="3"/>
      <c r="AD53" s="3"/>
      <c r="AE53" s="3"/>
      <c r="AF53" s="3"/>
      <c r="AG53" s="3"/>
      <c r="AH53" s="3"/>
      <c r="AI53" s="3"/>
      <c r="AJ53" s="3"/>
      <c r="AK53" s="3"/>
      <c r="AL53" s="3"/>
      <c r="AM53" s="3"/>
      <c r="AN53" s="3"/>
    </row>
    <row r="54" spans="1:40" x14ac:dyDescent="0.2">
      <c r="A54" s="3"/>
      <c r="B54" s="135" t="s">
        <v>145</v>
      </c>
      <c r="C54" s="3">
        <f t="shared" ref="C54" si="0">D54-1</f>
        <v>-5</v>
      </c>
      <c r="D54" s="3">
        <f t="shared" ref="D54" si="1">E54-1</f>
        <v>-4</v>
      </c>
      <c r="E54" s="3">
        <f t="shared" ref="E54:F54" si="2">F54-1</f>
        <v>-3</v>
      </c>
      <c r="F54" s="3">
        <f t="shared" si="2"/>
        <v>-2</v>
      </c>
      <c r="G54" s="3">
        <f>H54-1</f>
        <v>-1</v>
      </c>
      <c r="H54" s="529">
        <v>0</v>
      </c>
      <c r="I54" s="3">
        <f t="shared" ref="I54:R54" si="3">H54+1</f>
        <v>1</v>
      </c>
      <c r="J54" s="3">
        <f t="shared" si="3"/>
        <v>2</v>
      </c>
      <c r="K54" s="3">
        <f t="shared" si="3"/>
        <v>3</v>
      </c>
      <c r="L54" s="3">
        <f t="shared" si="3"/>
        <v>4</v>
      </c>
      <c r="M54" s="3">
        <f t="shared" si="3"/>
        <v>5</v>
      </c>
      <c r="N54" s="3">
        <f t="shared" si="3"/>
        <v>6</v>
      </c>
      <c r="O54" s="3">
        <f t="shared" si="3"/>
        <v>7</v>
      </c>
      <c r="P54" s="3">
        <f t="shared" si="3"/>
        <v>8</v>
      </c>
      <c r="Q54" s="3">
        <f t="shared" si="3"/>
        <v>9</v>
      </c>
      <c r="R54" s="3">
        <f t="shared" si="3"/>
        <v>10</v>
      </c>
      <c r="S54" s="96"/>
      <c r="T54" s="3"/>
      <c r="U54" s="3"/>
      <c r="V54" s="3"/>
      <c r="W54" s="3"/>
      <c r="X54" s="3"/>
      <c r="Y54" s="3"/>
      <c r="Z54" s="3"/>
      <c r="AA54" s="3"/>
      <c r="AB54" s="3"/>
      <c r="AC54" s="3"/>
      <c r="AD54" s="3"/>
      <c r="AE54" s="3"/>
      <c r="AF54" s="3"/>
      <c r="AG54" s="3"/>
      <c r="AH54" s="3"/>
      <c r="AI54" s="3"/>
      <c r="AJ54" s="3"/>
      <c r="AK54" s="3"/>
      <c r="AL54" s="3"/>
      <c r="AM54" s="3"/>
      <c r="AN54" s="3"/>
    </row>
    <row r="55" spans="1:40" x14ac:dyDescent="0.2">
      <c r="A55" s="3"/>
      <c r="B55" s="135" t="s">
        <v>181</v>
      </c>
      <c r="C55" s="77" t="str">
        <f t="shared" ref="C55:D55" si="4">"Hist yr "&amp;-C54</f>
        <v>Hist yr 5</v>
      </c>
      <c r="D55" s="77" t="str">
        <f t="shared" si="4"/>
        <v>Hist yr 4</v>
      </c>
      <c r="E55" s="77" t="str">
        <f t="shared" ref="E55:F55" si="5">"Hist yr "&amp;-E54</f>
        <v>Hist yr 3</v>
      </c>
      <c r="F55" s="77" t="str">
        <f t="shared" si="5"/>
        <v>Hist yr 2</v>
      </c>
      <c r="G55" s="77" t="str">
        <f>"Hist yr "&amp;-G54</f>
        <v>Hist yr 1</v>
      </c>
      <c r="H55" s="77" t="str">
        <f>"Year "&amp;H54</f>
        <v>Year 0</v>
      </c>
      <c r="I55" s="77" t="str">
        <f t="shared" ref="I55:R55" si="6">"Year "&amp;I54</f>
        <v>Year 1</v>
      </c>
      <c r="J55" s="77" t="str">
        <f t="shared" si="6"/>
        <v>Year 2</v>
      </c>
      <c r="K55" s="77" t="str">
        <f t="shared" si="6"/>
        <v>Year 3</v>
      </c>
      <c r="L55" s="77" t="str">
        <f t="shared" si="6"/>
        <v>Year 4</v>
      </c>
      <c r="M55" s="77" t="str">
        <f t="shared" si="6"/>
        <v>Year 5</v>
      </c>
      <c r="N55" s="77" t="str">
        <f t="shared" si="6"/>
        <v>Year 6</v>
      </c>
      <c r="O55" s="77" t="str">
        <f t="shared" si="6"/>
        <v>Year 7</v>
      </c>
      <c r="P55" s="77" t="str">
        <f t="shared" si="6"/>
        <v>Year 8</v>
      </c>
      <c r="Q55" s="77" t="str">
        <f t="shared" si="6"/>
        <v>Year 9</v>
      </c>
      <c r="R55" s="77" t="str">
        <f t="shared" si="6"/>
        <v>Year 10</v>
      </c>
      <c r="S55" s="96"/>
      <c r="T55" s="3"/>
      <c r="U55" s="3"/>
      <c r="V55" s="3"/>
      <c r="W55" s="3"/>
      <c r="X55" s="3"/>
      <c r="Y55" s="3"/>
      <c r="Z55" s="3"/>
      <c r="AA55" s="3"/>
      <c r="AB55" s="3"/>
      <c r="AC55" s="3"/>
      <c r="AD55" s="3"/>
      <c r="AE55" s="3"/>
      <c r="AF55" s="3"/>
      <c r="AG55" s="3"/>
      <c r="AH55" s="3"/>
      <c r="AI55" s="3"/>
      <c r="AJ55" s="3"/>
      <c r="AK55" s="3"/>
      <c r="AL55" s="3"/>
      <c r="AM55" s="3"/>
      <c r="AN55" s="3"/>
    </row>
    <row r="56" spans="1:40" x14ac:dyDescent="0.2">
      <c r="A56" s="3"/>
      <c r="B56" s="135"/>
      <c r="C56" s="3"/>
      <c r="D56" s="3"/>
      <c r="E56" s="3"/>
      <c r="F56" s="3"/>
      <c r="G56" s="3"/>
      <c r="H56" s="77"/>
      <c r="I56" s="77"/>
      <c r="J56" s="77"/>
      <c r="K56" s="77"/>
      <c r="L56" s="77"/>
      <c r="M56" s="77"/>
      <c r="N56" s="77"/>
      <c r="O56" s="77"/>
      <c r="P56" s="77"/>
      <c r="Q56" s="77"/>
      <c r="R56" s="77"/>
      <c r="S56" s="96"/>
      <c r="T56" s="3"/>
      <c r="U56" s="3"/>
      <c r="V56" s="3"/>
      <c r="W56" s="3"/>
      <c r="X56" s="3"/>
      <c r="Y56" s="3"/>
      <c r="Z56" s="3"/>
      <c r="AA56" s="3"/>
      <c r="AB56" s="3"/>
      <c r="AC56" s="3"/>
      <c r="AD56" s="3"/>
      <c r="AE56" s="3"/>
      <c r="AF56" s="3"/>
      <c r="AG56" s="3"/>
      <c r="AH56" s="3"/>
      <c r="AI56" s="3"/>
      <c r="AJ56" s="3"/>
      <c r="AK56" s="3"/>
      <c r="AL56" s="3"/>
      <c r="AM56" s="3"/>
      <c r="AN56" s="3"/>
    </row>
    <row r="57" spans="1:40" x14ac:dyDescent="0.2">
      <c r="A57" s="3"/>
      <c r="B57" s="135" t="s">
        <v>182</v>
      </c>
      <c r="C57" s="530">
        <f t="shared" ref="C57:D57" si="7">D57-1</f>
        <v>2017</v>
      </c>
      <c r="D57" s="530">
        <f t="shared" si="7"/>
        <v>2018</v>
      </c>
      <c r="E57" s="530">
        <f>F57-1</f>
        <v>2019</v>
      </c>
      <c r="F57" s="530">
        <f>G57-1</f>
        <v>2020</v>
      </c>
      <c r="G57" s="530">
        <f>H57-1</f>
        <v>2021</v>
      </c>
      <c r="H57" s="531">
        <f>D44-1</f>
        <v>2022</v>
      </c>
      <c r="I57" s="532">
        <f>D44</f>
        <v>2023</v>
      </c>
      <c r="J57" s="533">
        <f t="shared" ref="J57:R57" si="8">I57+1</f>
        <v>2024</v>
      </c>
      <c r="K57" s="533">
        <f t="shared" si="8"/>
        <v>2025</v>
      </c>
      <c r="L57" s="533">
        <f t="shared" si="8"/>
        <v>2026</v>
      </c>
      <c r="M57" s="533">
        <f t="shared" si="8"/>
        <v>2027</v>
      </c>
      <c r="N57" s="533">
        <f t="shared" si="8"/>
        <v>2028</v>
      </c>
      <c r="O57" s="533">
        <f t="shared" si="8"/>
        <v>2029</v>
      </c>
      <c r="P57" s="533">
        <f t="shared" si="8"/>
        <v>2030</v>
      </c>
      <c r="Q57" s="533">
        <f t="shared" si="8"/>
        <v>2031</v>
      </c>
      <c r="R57" s="533">
        <f t="shared" si="8"/>
        <v>2032</v>
      </c>
      <c r="S57" s="96"/>
      <c r="T57" s="3"/>
      <c r="U57" s="3"/>
      <c r="V57" s="3"/>
      <c r="W57" s="3"/>
      <c r="X57" s="3"/>
      <c r="Y57" s="3"/>
      <c r="Z57" s="3"/>
      <c r="AA57" s="3"/>
      <c r="AB57" s="3"/>
      <c r="AC57" s="3"/>
      <c r="AD57" s="3"/>
      <c r="AE57" s="3"/>
      <c r="AF57" s="3"/>
      <c r="AG57" s="3"/>
      <c r="AH57" s="3"/>
      <c r="AI57" s="3"/>
      <c r="AJ57" s="3"/>
      <c r="AK57" s="3"/>
      <c r="AL57" s="3"/>
      <c r="AM57" s="3"/>
      <c r="AN57" s="3"/>
    </row>
    <row r="58" spans="1:40" x14ac:dyDescent="0.2">
      <c r="A58" s="3"/>
      <c r="B58" s="135" t="s">
        <v>149</v>
      </c>
      <c r="C58" s="77" t="str">
        <f t="shared" ref="C58:E58" si="9">C57&amp;"-"&amp;RIGHT(C57+1,2)</f>
        <v>2017-18</v>
      </c>
      <c r="D58" s="77" t="str">
        <f t="shared" si="9"/>
        <v>2018-19</v>
      </c>
      <c r="E58" s="77" t="str">
        <f t="shared" si="9"/>
        <v>2019-20</v>
      </c>
      <c r="F58" s="77" t="str">
        <f t="shared" ref="F58:R58" si="10">F57&amp;"-"&amp;RIGHT(F57+1,2)</f>
        <v>2020-21</v>
      </c>
      <c r="G58" s="77" t="str">
        <f t="shared" si="10"/>
        <v>2021-22</v>
      </c>
      <c r="H58" s="77" t="str">
        <f t="shared" si="10"/>
        <v>2022-23</v>
      </c>
      <c r="I58" s="77" t="str">
        <f t="shared" si="10"/>
        <v>2023-24</v>
      </c>
      <c r="J58" s="77" t="str">
        <f t="shared" si="10"/>
        <v>2024-25</v>
      </c>
      <c r="K58" s="77" t="str">
        <f t="shared" si="10"/>
        <v>2025-26</v>
      </c>
      <c r="L58" s="77" t="str">
        <f t="shared" si="10"/>
        <v>2026-27</v>
      </c>
      <c r="M58" s="77" t="str">
        <f t="shared" si="10"/>
        <v>2027-28</v>
      </c>
      <c r="N58" s="77" t="str">
        <f t="shared" si="10"/>
        <v>2028-29</v>
      </c>
      <c r="O58" s="77" t="str">
        <f t="shared" si="10"/>
        <v>2029-30</v>
      </c>
      <c r="P58" s="77" t="str">
        <f t="shared" si="10"/>
        <v>2030-31</v>
      </c>
      <c r="Q58" s="77" t="str">
        <f t="shared" si="10"/>
        <v>2031-32</v>
      </c>
      <c r="R58" s="77" t="str">
        <f t="shared" si="10"/>
        <v>2032-33</v>
      </c>
      <c r="S58" s="96"/>
      <c r="T58" s="3"/>
      <c r="U58" s="3"/>
      <c r="V58" s="3"/>
      <c r="W58" s="3"/>
      <c r="X58" s="3"/>
      <c r="Y58" s="3"/>
      <c r="Z58" s="3"/>
      <c r="AA58" s="3"/>
      <c r="AB58" s="3"/>
      <c r="AC58" s="3"/>
      <c r="AD58" s="3"/>
      <c r="AE58" s="3"/>
      <c r="AF58" s="3"/>
      <c r="AG58" s="3"/>
      <c r="AH58" s="3"/>
      <c r="AI58" s="3"/>
      <c r="AJ58" s="3"/>
      <c r="AK58" s="3"/>
      <c r="AL58" s="3"/>
      <c r="AM58" s="3"/>
      <c r="AN58" s="3"/>
    </row>
    <row r="59" spans="1:40" x14ac:dyDescent="0.2">
      <c r="A59" s="3"/>
      <c r="B59" s="135"/>
      <c r="C59" s="3"/>
      <c r="D59" s="3"/>
      <c r="E59" s="3"/>
      <c r="F59" s="3"/>
      <c r="G59" s="3"/>
      <c r="H59" s="3"/>
      <c r="I59" s="3"/>
      <c r="J59" s="3"/>
      <c r="K59" s="3"/>
      <c r="L59" s="3"/>
      <c r="M59" s="3"/>
      <c r="N59" s="3"/>
      <c r="O59" s="3"/>
      <c r="P59" s="3"/>
      <c r="Q59" s="3"/>
      <c r="R59" s="3"/>
      <c r="S59" s="96"/>
      <c r="T59" s="3"/>
      <c r="U59" s="3"/>
      <c r="V59" s="3"/>
      <c r="W59" s="3"/>
      <c r="X59" s="3"/>
      <c r="Y59" s="3"/>
      <c r="Z59" s="3"/>
      <c r="AA59" s="3"/>
      <c r="AB59" s="3"/>
      <c r="AC59" s="3"/>
      <c r="AD59" s="3"/>
      <c r="AE59" s="3"/>
      <c r="AF59" s="3"/>
      <c r="AG59" s="3"/>
      <c r="AH59" s="3"/>
      <c r="AI59" s="3"/>
      <c r="AJ59" s="3"/>
      <c r="AK59" s="3"/>
      <c r="AL59" s="3"/>
      <c r="AM59" s="3"/>
      <c r="AN59" s="3"/>
    </row>
    <row r="60" spans="1:40" ht="12" x14ac:dyDescent="0.25">
      <c r="A60" s="3"/>
      <c r="B60" s="253" t="s">
        <v>183</v>
      </c>
      <c r="C60" s="2"/>
      <c r="D60" s="2"/>
      <c r="E60" s="3"/>
      <c r="F60" s="3"/>
      <c r="G60" s="3"/>
      <c r="H60" s="531"/>
      <c r="I60" s="534">
        <f>$D$47</f>
        <v>3.6999999999999998E-2</v>
      </c>
      <c r="J60" s="372">
        <f t="shared" ref="J60:R60" si="11">$D$48</f>
        <v>2.5000000000000001E-2</v>
      </c>
      <c r="K60" s="372">
        <f t="shared" si="11"/>
        <v>2.5000000000000001E-2</v>
      </c>
      <c r="L60" s="372">
        <f t="shared" si="11"/>
        <v>2.5000000000000001E-2</v>
      </c>
      <c r="M60" s="372">
        <f t="shared" si="11"/>
        <v>2.5000000000000001E-2</v>
      </c>
      <c r="N60" s="372">
        <f t="shared" si="11"/>
        <v>2.5000000000000001E-2</v>
      </c>
      <c r="O60" s="372">
        <f t="shared" si="11"/>
        <v>2.5000000000000001E-2</v>
      </c>
      <c r="P60" s="372">
        <f t="shared" si="11"/>
        <v>2.5000000000000001E-2</v>
      </c>
      <c r="Q60" s="372">
        <f t="shared" si="11"/>
        <v>2.5000000000000001E-2</v>
      </c>
      <c r="R60" s="372">
        <f t="shared" si="11"/>
        <v>2.5000000000000001E-2</v>
      </c>
      <c r="S60" s="96"/>
      <c r="T60" s="3"/>
      <c r="U60" s="3"/>
      <c r="V60" s="3"/>
      <c r="W60" s="3"/>
      <c r="X60" s="3"/>
      <c r="Y60" s="3"/>
      <c r="Z60" s="3"/>
      <c r="AA60" s="3"/>
      <c r="AB60" s="3"/>
      <c r="AC60" s="3"/>
      <c r="AD60" s="3"/>
      <c r="AE60" s="3"/>
      <c r="AF60" s="3"/>
      <c r="AG60" s="3"/>
      <c r="AH60" s="3"/>
      <c r="AI60" s="3"/>
      <c r="AJ60" s="3"/>
      <c r="AK60" s="3"/>
      <c r="AL60" s="3"/>
      <c r="AM60" s="3"/>
      <c r="AN60" s="3"/>
    </row>
    <row r="61" spans="1:40" ht="12" x14ac:dyDescent="0.25">
      <c r="A61" s="3"/>
      <c r="B61" s="253"/>
      <c r="C61" s="2"/>
      <c r="D61" s="2"/>
      <c r="E61" s="3"/>
      <c r="F61" s="3"/>
      <c r="G61" s="3"/>
      <c r="H61" s="535"/>
      <c r="I61" s="536"/>
      <c r="J61" s="372"/>
      <c r="K61" s="372"/>
      <c r="L61" s="372"/>
      <c r="M61" s="372"/>
      <c r="N61" s="372"/>
      <c r="O61" s="372"/>
      <c r="P61" s="372"/>
      <c r="Q61" s="372"/>
      <c r="R61" s="372"/>
      <c r="S61" s="96"/>
      <c r="T61" s="3"/>
      <c r="U61" s="3"/>
      <c r="V61" s="3"/>
      <c r="W61" s="3"/>
      <c r="X61" s="3"/>
      <c r="Y61" s="3"/>
      <c r="Z61" s="3"/>
      <c r="AA61" s="3"/>
      <c r="AB61" s="3"/>
      <c r="AC61" s="3"/>
      <c r="AD61" s="3"/>
      <c r="AE61" s="3"/>
      <c r="AF61" s="3"/>
      <c r="AG61" s="3"/>
      <c r="AH61" s="3"/>
      <c r="AI61" s="3"/>
      <c r="AJ61" s="3"/>
      <c r="AK61" s="3"/>
      <c r="AL61" s="3"/>
      <c r="AM61" s="3"/>
      <c r="AN61" s="3"/>
    </row>
    <row r="62" spans="1:40" ht="12" x14ac:dyDescent="0.25">
      <c r="A62" s="3"/>
      <c r="B62" s="253" t="s">
        <v>184</v>
      </c>
      <c r="C62" s="529" t="s">
        <v>185</v>
      </c>
      <c r="D62" s="2"/>
      <c r="E62" s="529"/>
      <c r="F62" s="3"/>
      <c r="G62" s="3"/>
      <c r="H62" s="535"/>
      <c r="I62" s="536"/>
      <c r="J62" s="372"/>
      <c r="K62" s="372"/>
      <c r="L62" s="372"/>
      <c r="M62" s="372"/>
      <c r="N62" s="372"/>
      <c r="O62" s="372"/>
      <c r="P62" s="372"/>
      <c r="Q62" s="372"/>
      <c r="R62" s="372"/>
      <c r="S62" s="96"/>
      <c r="T62" s="3"/>
      <c r="U62" s="3"/>
      <c r="V62" s="3"/>
      <c r="W62" s="3"/>
      <c r="X62" s="3"/>
      <c r="Y62" s="3"/>
      <c r="Z62" s="3"/>
      <c r="AA62" s="3"/>
      <c r="AB62" s="3"/>
      <c r="AC62" s="3"/>
      <c r="AD62" s="3"/>
      <c r="AE62" s="3"/>
      <c r="AF62" s="3"/>
      <c r="AG62" s="3"/>
      <c r="AH62" s="3"/>
      <c r="AI62" s="3"/>
      <c r="AJ62" s="3"/>
      <c r="AK62" s="3"/>
      <c r="AL62" s="3"/>
      <c r="AM62" s="3"/>
      <c r="AN62" s="3"/>
    </row>
    <row r="63" spans="1:40" ht="12" x14ac:dyDescent="0.25">
      <c r="A63" s="3"/>
      <c r="B63" s="253"/>
      <c r="C63" s="1" t="str">
        <f>C62&amp;" per year"</f>
        <v>$ nominal per year</v>
      </c>
      <c r="D63" s="2"/>
      <c r="E63" s="1"/>
      <c r="F63" s="3"/>
      <c r="G63" s="3"/>
      <c r="H63" s="535"/>
      <c r="I63" s="536"/>
      <c r="J63" s="372"/>
      <c r="K63" s="372"/>
      <c r="L63" s="372"/>
      <c r="M63" s="372"/>
      <c r="N63" s="372"/>
      <c r="O63" s="372"/>
      <c r="P63" s="372"/>
      <c r="Q63" s="372"/>
      <c r="R63" s="372"/>
      <c r="S63" s="96"/>
      <c r="T63" s="3"/>
      <c r="U63" s="3"/>
      <c r="V63" s="3"/>
      <c r="W63" s="3"/>
      <c r="X63" s="3"/>
      <c r="Y63" s="3"/>
      <c r="Z63" s="3"/>
      <c r="AA63" s="3"/>
      <c r="AB63" s="3"/>
      <c r="AC63" s="3"/>
      <c r="AD63" s="3"/>
      <c r="AE63" s="3"/>
      <c r="AF63" s="3"/>
      <c r="AG63" s="3"/>
      <c r="AH63" s="3"/>
      <c r="AI63" s="3"/>
      <c r="AJ63" s="3"/>
      <c r="AK63" s="3"/>
      <c r="AL63" s="3"/>
      <c r="AM63" s="3"/>
      <c r="AN63" s="3"/>
    </row>
    <row r="64" spans="1:40" x14ac:dyDescent="0.2">
      <c r="A64" s="3"/>
      <c r="B64" s="97"/>
      <c r="C64" s="93"/>
      <c r="D64" s="93"/>
      <c r="E64" s="93"/>
      <c r="F64" s="93"/>
      <c r="G64" s="93"/>
      <c r="H64" s="93"/>
      <c r="I64" s="93"/>
      <c r="J64" s="93"/>
      <c r="K64" s="93"/>
      <c r="L64" s="93"/>
      <c r="M64" s="93"/>
      <c r="N64" s="93"/>
      <c r="O64" s="93"/>
      <c r="P64" s="93"/>
      <c r="Q64" s="93"/>
      <c r="R64" s="93"/>
      <c r="S64" s="98"/>
      <c r="T64" s="3"/>
      <c r="U64" s="3"/>
      <c r="V64" s="3"/>
      <c r="W64" s="3"/>
      <c r="X64" s="3"/>
      <c r="Y64" s="3"/>
      <c r="Z64" s="3"/>
      <c r="AA64" s="3"/>
      <c r="AB64" s="3"/>
      <c r="AC64" s="3"/>
      <c r="AD64" s="3"/>
      <c r="AE64" s="3"/>
      <c r="AF64" s="3"/>
      <c r="AG64" s="3"/>
      <c r="AH64" s="3"/>
      <c r="AI64" s="3"/>
      <c r="AJ64" s="3"/>
      <c r="AK64" s="3"/>
      <c r="AL64" s="3"/>
      <c r="AM64" s="3"/>
      <c r="AN64" s="3"/>
    </row>
    <row r="65" spans="1:38"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19.2" x14ac:dyDescent="0.25">
      <c r="A67" s="528"/>
      <c r="B67" s="78" t="s">
        <v>186</v>
      </c>
      <c r="C67" s="523" t="s">
        <v>187</v>
      </c>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x14ac:dyDescent="0.2">
      <c r="A68" s="3"/>
      <c r="B68" s="1199">
        <v>1</v>
      </c>
      <c r="C68" s="1148" t="s">
        <v>188</v>
      </c>
      <c r="D68" s="815"/>
      <c r="E68" s="918"/>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outlineLevel="1" x14ac:dyDescent="0.2">
      <c r="A69" s="3"/>
      <c r="B69" s="135">
        <f t="shared" ref="B69:B100" si="12">B68+1</f>
        <v>2</v>
      </c>
      <c r="C69" s="51" t="s">
        <v>189</v>
      </c>
      <c r="D69" s="3"/>
      <c r="E69" s="96"/>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outlineLevel="1" x14ac:dyDescent="0.2">
      <c r="A70" s="3"/>
      <c r="B70" s="135">
        <f t="shared" si="12"/>
        <v>3</v>
      </c>
      <c r="C70" s="51" t="s">
        <v>190</v>
      </c>
      <c r="D70" s="3"/>
      <c r="E70" s="96"/>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outlineLevel="1" x14ac:dyDescent="0.2">
      <c r="A71" s="3"/>
      <c r="B71" s="135">
        <f t="shared" si="12"/>
        <v>4</v>
      </c>
      <c r="C71" s="51" t="s">
        <v>191</v>
      </c>
      <c r="D71" s="3"/>
      <c r="E71" s="96"/>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outlineLevel="1" x14ac:dyDescent="0.2">
      <c r="A72" s="3"/>
      <c r="B72" s="135">
        <f t="shared" si="12"/>
        <v>5</v>
      </c>
      <c r="C72" s="51" t="s">
        <v>192</v>
      </c>
      <c r="D72" s="3"/>
      <c r="E72" s="96"/>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outlineLevel="1" x14ac:dyDescent="0.2">
      <c r="A73" s="3"/>
      <c r="B73" s="135">
        <f t="shared" si="12"/>
        <v>6</v>
      </c>
      <c r="C73" s="51" t="s">
        <v>193</v>
      </c>
      <c r="D73" s="3"/>
      <c r="E73" s="96"/>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outlineLevel="1" x14ac:dyDescent="0.2">
      <c r="A74" s="3"/>
      <c r="B74" s="135">
        <f t="shared" si="12"/>
        <v>7</v>
      </c>
      <c r="C74" s="51" t="s">
        <v>194</v>
      </c>
      <c r="D74" s="3"/>
      <c r="E74" s="96"/>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outlineLevel="1" x14ac:dyDescent="0.2">
      <c r="A75" s="3"/>
      <c r="B75" s="135">
        <f t="shared" si="12"/>
        <v>8</v>
      </c>
      <c r="C75" s="51" t="s">
        <v>195</v>
      </c>
      <c r="D75" s="3"/>
      <c r="E75" s="96"/>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outlineLevel="1" x14ac:dyDescent="0.2">
      <c r="A76" s="3"/>
      <c r="B76" s="135">
        <f t="shared" si="12"/>
        <v>9</v>
      </c>
      <c r="C76" s="51" t="s">
        <v>196</v>
      </c>
      <c r="D76" s="3"/>
      <c r="E76" s="96"/>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outlineLevel="1" x14ac:dyDescent="0.2">
      <c r="A77" s="3"/>
      <c r="B77" s="135">
        <f t="shared" si="12"/>
        <v>10</v>
      </c>
      <c r="C77" s="51" t="s">
        <v>197</v>
      </c>
      <c r="D77" s="3"/>
      <c r="E77" s="96"/>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outlineLevel="1" x14ac:dyDescent="0.2">
      <c r="A78" s="3"/>
      <c r="B78" s="135">
        <f t="shared" si="12"/>
        <v>11</v>
      </c>
      <c r="C78" s="51" t="s">
        <v>198</v>
      </c>
      <c r="D78" s="3"/>
      <c r="E78" s="96"/>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outlineLevel="1" x14ac:dyDescent="0.2">
      <c r="A79" s="3"/>
      <c r="B79" s="135">
        <f t="shared" si="12"/>
        <v>12</v>
      </c>
      <c r="C79" s="51" t="s">
        <v>199</v>
      </c>
      <c r="D79" s="3"/>
      <c r="E79" s="96"/>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outlineLevel="1" x14ac:dyDescent="0.2">
      <c r="A80" s="3"/>
      <c r="B80" s="135">
        <f t="shared" si="12"/>
        <v>13</v>
      </c>
      <c r="C80" s="51" t="s">
        <v>200</v>
      </c>
      <c r="D80" s="3"/>
      <c r="E80" s="96"/>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outlineLevel="1" x14ac:dyDescent="0.2">
      <c r="A81" s="3"/>
      <c r="B81" s="135">
        <f t="shared" si="12"/>
        <v>14</v>
      </c>
      <c r="C81" s="51" t="s">
        <v>201</v>
      </c>
      <c r="D81" s="3"/>
      <c r="E81" s="96"/>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outlineLevel="1" x14ac:dyDescent="0.2">
      <c r="A82" s="3"/>
      <c r="B82" s="135">
        <f t="shared" si="12"/>
        <v>15</v>
      </c>
      <c r="C82" s="51" t="s">
        <v>202</v>
      </c>
      <c r="D82" s="3"/>
      <c r="E82" s="96"/>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outlineLevel="1" x14ac:dyDescent="0.2">
      <c r="A83" s="3"/>
      <c r="B83" s="135">
        <f t="shared" si="12"/>
        <v>16</v>
      </c>
      <c r="C83" s="51" t="s">
        <v>203</v>
      </c>
      <c r="D83" s="3"/>
      <c r="E83" s="96"/>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outlineLevel="1" x14ac:dyDescent="0.2">
      <c r="A84" s="3"/>
      <c r="B84" s="135">
        <f t="shared" si="12"/>
        <v>17</v>
      </c>
      <c r="C84" s="51" t="s">
        <v>204</v>
      </c>
      <c r="D84" s="3"/>
      <c r="E84" s="96"/>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outlineLevel="1" x14ac:dyDescent="0.2">
      <c r="A85" s="3"/>
      <c r="B85" s="135">
        <f t="shared" si="12"/>
        <v>18</v>
      </c>
      <c r="C85" s="51" t="s">
        <v>205</v>
      </c>
      <c r="D85" s="3"/>
      <c r="E85" s="96"/>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outlineLevel="1" x14ac:dyDescent="0.2">
      <c r="A86" s="3"/>
      <c r="B86" s="135">
        <f t="shared" si="12"/>
        <v>19</v>
      </c>
      <c r="C86" s="51" t="s">
        <v>206</v>
      </c>
      <c r="D86" s="3"/>
      <c r="E86" s="96"/>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outlineLevel="1" x14ac:dyDescent="0.2">
      <c r="A87" s="3"/>
      <c r="B87" s="135">
        <f t="shared" si="12"/>
        <v>20</v>
      </c>
      <c r="C87" s="51" t="s">
        <v>207</v>
      </c>
      <c r="D87" s="3"/>
      <c r="E87" s="96"/>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outlineLevel="1" x14ac:dyDescent="0.2">
      <c r="A88" s="3"/>
      <c r="B88" s="135">
        <f t="shared" si="12"/>
        <v>21</v>
      </c>
      <c r="C88" s="51" t="s">
        <v>208</v>
      </c>
      <c r="D88" s="3"/>
      <c r="E88" s="96"/>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outlineLevel="1" x14ac:dyDescent="0.2">
      <c r="A89" s="3"/>
      <c r="B89" s="135">
        <f t="shared" si="12"/>
        <v>22</v>
      </c>
      <c r="C89" s="51" t="s">
        <v>209</v>
      </c>
      <c r="D89" s="3"/>
      <c r="E89" s="96"/>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outlineLevel="1" x14ac:dyDescent="0.2">
      <c r="A90" s="3"/>
      <c r="B90" s="135">
        <f t="shared" si="12"/>
        <v>23</v>
      </c>
      <c r="C90" s="51" t="s">
        <v>210</v>
      </c>
      <c r="D90" s="3"/>
      <c r="E90" s="96"/>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outlineLevel="1" x14ac:dyDescent="0.2">
      <c r="A91" s="3"/>
      <c r="B91" s="135">
        <f t="shared" si="12"/>
        <v>24</v>
      </c>
      <c r="C91" s="51" t="s">
        <v>211</v>
      </c>
      <c r="D91" s="3"/>
      <c r="E91" s="96"/>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outlineLevel="1" x14ac:dyDescent="0.2">
      <c r="A92" s="3"/>
      <c r="B92" s="135">
        <f t="shared" si="12"/>
        <v>25</v>
      </c>
      <c r="C92" s="51" t="s">
        <v>212</v>
      </c>
      <c r="D92" s="3"/>
      <c r="E92" s="96"/>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outlineLevel="1" x14ac:dyDescent="0.2">
      <c r="A93" s="3"/>
      <c r="B93" s="135">
        <f t="shared" si="12"/>
        <v>26</v>
      </c>
      <c r="C93" s="51" t="s">
        <v>213</v>
      </c>
      <c r="D93" s="3"/>
      <c r="E93" s="96"/>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outlineLevel="1" x14ac:dyDescent="0.2">
      <c r="A94" s="3"/>
      <c r="B94" s="135">
        <f t="shared" si="12"/>
        <v>27</v>
      </c>
      <c r="C94" s="51" t="s">
        <v>214</v>
      </c>
      <c r="D94" s="3"/>
      <c r="E94" s="96"/>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outlineLevel="1" x14ac:dyDescent="0.2">
      <c r="A95" s="3"/>
      <c r="B95" s="135">
        <f t="shared" si="12"/>
        <v>28</v>
      </c>
      <c r="C95" s="51" t="s">
        <v>215</v>
      </c>
      <c r="D95" s="3"/>
      <c r="E95" s="96"/>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outlineLevel="1" x14ac:dyDescent="0.2">
      <c r="A96" s="3"/>
      <c r="B96" s="135">
        <f t="shared" si="12"/>
        <v>29</v>
      </c>
      <c r="C96" s="51" t="s">
        <v>216</v>
      </c>
      <c r="D96" s="3"/>
      <c r="E96" s="96"/>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outlineLevel="1" x14ac:dyDescent="0.2">
      <c r="A97" s="3"/>
      <c r="B97" s="135">
        <f t="shared" si="12"/>
        <v>30</v>
      </c>
      <c r="C97" s="51" t="s">
        <v>217</v>
      </c>
      <c r="D97" s="3"/>
      <c r="E97" s="96"/>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outlineLevel="1" x14ac:dyDescent="0.2">
      <c r="A98" s="3"/>
      <c r="B98" s="135">
        <f t="shared" si="12"/>
        <v>31</v>
      </c>
      <c r="C98" s="51" t="s">
        <v>218</v>
      </c>
      <c r="D98" s="3"/>
      <c r="E98" s="96"/>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outlineLevel="1" x14ac:dyDescent="0.2">
      <c r="A99" s="3"/>
      <c r="B99" s="135">
        <f t="shared" si="12"/>
        <v>32</v>
      </c>
      <c r="C99" s="51" t="s">
        <v>219</v>
      </c>
      <c r="D99" s="3"/>
      <c r="E99" s="96"/>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outlineLevel="1" x14ac:dyDescent="0.2">
      <c r="A100" s="3"/>
      <c r="B100" s="135">
        <f t="shared" si="12"/>
        <v>33</v>
      </c>
      <c r="C100" s="51" t="s">
        <v>220</v>
      </c>
      <c r="D100" s="3"/>
      <c r="E100" s="96"/>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outlineLevel="1" x14ac:dyDescent="0.2">
      <c r="A101" s="3"/>
      <c r="B101" s="135">
        <f t="shared" ref="B101:B132" si="13">B100+1</f>
        <v>34</v>
      </c>
      <c r="C101" s="51" t="s">
        <v>221</v>
      </c>
      <c r="D101" s="3"/>
      <c r="E101" s="96"/>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outlineLevel="1" x14ac:dyDescent="0.2">
      <c r="A102" s="3"/>
      <c r="B102" s="135">
        <f t="shared" si="13"/>
        <v>35</v>
      </c>
      <c r="C102" s="51" t="s">
        <v>222</v>
      </c>
      <c r="D102" s="3"/>
      <c r="E102" s="96"/>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outlineLevel="1" x14ac:dyDescent="0.2">
      <c r="A103" s="3"/>
      <c r="B103" s="135">
        <f t="shared" si="13"/>
        <v>36</v>
      </c>
      <c r="C103" s="51" t="s">
        <v>223</v>
      </c>
      <c r="D103" s="3"/>
      <c r="E103" s="96"/>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outlineLevel="1" x14ac:dyDescent="0.2">
      <c r="A104" s="3"/>
      <c r="B104" s="135">
        <f t="shared" si="13"/>
        <v>37</v>
      </c>
      <c r="C104" s="51" t="s">
        <v>224</v>
      </c>
      <c r="D104" s="3"/>
      <c r="E104" s="96"/>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outlineLevel="1" x14ac:dyDescent="0.2">
      <c r="A105" s="3"/>
      <c r="B105" s="135">
        <f t="shared" si="13"/>
        <v>38</v>
      </c>
      <c r="C105" s="51" t="s">
        <v>225</v>
      </c>
      <c r="D105" s="3"/>
      <c r="E105" s="96"/>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outlineLevel="1" x14ac:dyDescent="0.2">
      <c r="A106" s="3"/>
      <c r="B106" s="135">
        <f t="shared" si="13"/>
        <v>39</v>
      </c>
      <c r="C106" s="51" t="s">
        <v>226</v>
      </c>
      <c r="D106" s="3"/>
      <c r="E106" s="96"/>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outlineLevel="1" x14ac:dyDescent="0.2">
      <c r="A107" s="3"/>
      <c r="B107" s="135">
        <f t="shared" si="13"/>
        <v>40</v>
      </c>
      <c r="C107" s="51" t="s">
        <v>227</v>
      </c>
      <c r="D107" s="3"/>
      <c r="E107" s="96"/>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outlineLevel="1" x14ac:dyDescent="0.2">
      <c r="A108" s="3"/>
      <c r="B108" s="135">
        <f t="shared" si="13"/>
        <v>41</v>
      </c>
      <c r="C108" s="51" t="s">
        <v>228</v>
      </c>
      <c r="D108" s="3"/>
      <c r="E108" s="96"/>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outlineLevel="1" x14ac:dyDescent="0.2">
      <c r="A109" s="3"/>
      <c r="B109" s="135">
        <f t="shared" si="13"/>
        <v>42</v>
      </c>
      <c r="C109" s="51" t="s">
        <v>229</v>
      </c>
      <c r="D109" s="3"/>
      <c r="E109" s="96"/>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outlineLevel="1" x14ac:dyDescent="0.2">
      <c r="A110" s="3"/>
      <c r="B110" s="135">
        <f t="shared" si="13"/>
        <v>43</v>
      </c>
      <c r="C110" s="51" t="s">
        <v>230</v>
      </c>
      <c r="D110" s="3"/>
      <c r="E110" s="96"/>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outlineLevel="1" x14ac:dyDescent="0.2">
      <c r="A111" s="3"/>
      <c r="B111" s="135">
        <f t="shared" si="13"/>
        <v>44</v>
      </c>
      <c r="C111" s="51" t="s">
        <v>231</v>
      </c>
      <c r="D111" s="3"/>
      <c r="E111" s="96"/>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outlineLevel="1" x14ac:dyDescent="0.2">
      <c r="A112" s="3"/>
      <c r="B112" s="135">
        <f t="shared" si="13"/>
        <v>45</v>
      </c>
      <c r="C112" s="51" t="s">
        <v>232</v>
      </c>
      <c r="D112" s="3"/>
      <c r="E112" s="96"/>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outlineLevel="1" x14ac:dyDescent="0.2">
      <c r="A113" s="3"/>
      <c r="B113" s="135">
        <f t="shared" si="13"/>
        <v>46</v>
      </c>
      <c r="C113" s="51" t="s">
        <v>233</v>
      </c>
      <c r="D113" s="3"/>
      <c r="E113" s="96"/>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outlineLevel="1" x14ac:dyDescent="0.2">
      <c r="A114" s="3"/>
      <c r="B114" s="135">
        <f t="shared" si="13"/>
        <v>47</v>
      </c>
      <c r="C114" s="51" t="s">
        <v>234</v>
      </c>
      <c r="D114" s="3"/>
      <c r="E114" s="96"/>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outlineLevel="1" x14ac:dyDescent="0.2">
      <c r="A115" s="3"/>
      <c r="B115" s="135">
        <f t="shared" si="13"/>
        <v>48</v>
      </c>
      <c r="C115" s="51" t="s">
        <v>235</v>
      </c>
      <c r="D115" s="3"/>
      <c r="E115" s="96"/>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outlineLevel="1" x14ac:dyDescent="0.2">
      <c r="A116" s="3"/>
      <c r="B116" s="135">
        <f t="shared" si="13"/>
        <v>49</v>
      </c>
      <c r="C116" s="51" t="s">
        <v>236</v>
      </c>
      <c r="D116" s="3"/>
      <c r="E116" s="96"/>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outlineLevel="1" x14ac:dyDescent="0.2">
      <c r="A117" s="3"/>
      <c r="B117" s="135">
        <f t="shared" si="13"/>
        <v>50</v>
      </c>
      <c r="C117" s="51" t="s">
        <v>237</v>
      </c>
      <c r="D117" s="3"/>
      <c r="E117" s="96"/>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outlineLevel="1" x14ac:dyDescent="0.2">
      <c r="A118" s="3"/>
      <c r="B118" s="135">
        <f t="shared" si="13"/>
        <v>51</v>
      </c>
      <c r="C118" s="51" t="s">
        <v>238</v>
      </c>
      <c r="D118" s="3"/>
      <c r="E118" s="96"/>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outlineLevel="1" x14ac:dyDescent="0.2">
      <c r="A119" s="3"/>
      <c r="B119" s="135">
        <f t="shared" si="13"/>
        <v>52</v>
      </c>
      <c r="C119" s="51" t="s">
        <v>239</v>
      </c>
      <c r="D119" s="3"/>
      <c r="E119" s="96"/>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outlineLevel="1" x14ac:dyDescent="0.2">
      <c r="A120" s="3"/>
      <c r="B120" s="135">
        <f t="shared" si="13"/>
        <v>53</v>
      </c>
      <c r="C120" s="51" t="s">
        <v>240</v>
      </c>
      <c r="D120" s="3"/>
      <c r="E120" s="96"/>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outlineLevel="1" x14ac:dyDescent="0.2">
      <c r="A121" s="3"/>
      <c r="B121" s="135">
        <f t="shared" si="13"/>
        <v>54</v>
      </c>
      <c r="C121" s="51" t="s">
        <v>241</v>
      </c>
      <c r="D121" s="3"/>
      <c r="E121" s="96"/>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outlineLevel="1" x14ac:dyDescent="0.2">
      <c r="A122" s="3"/>
      <c r="B122" s="135">
        <f t="shared" si="13"/>
        <v>55</v>
      </c>
      <c r="C122" s="51" t="s">
        <v>242</v>
      </c>
      <c r="D122" s="3"/>
      <c r="E122" s="96"/>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outlineLevel="1" x14ac:dyDescent="0.2">
      <c r="A123" s="3"/>
      <c r="B123" s="135">
        <f t="shared" si="13"/>
        <v>56</v>
      </c>
      <c r="C123" s="51" t="s">
        <v>243</v>
      </c>
      <c r="D123" s="3"/>
      <c r="E123" s="96"/>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outlineLevel="1" x14ac:dyDescent="0.2">
      <c r="A124" s="3"/>
      <c r="B124" s="135">
        <f t="shared" si="13"/>
        <v>57</v>
      </c>
      <c r="C124" s="51" t="s">
        <v>244</v>
      </c>
      <c r="D124" s="3"/>
      <c r="E124" s="96"/>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outlineLevel="1" x14ac:dyDescent="0.2">
      <c r="A125" s="3"/>
      <c r="B125" s="135">
        <f t="shared" si="13"/>
        <v>58</v>
      </c>
      <c r="C125" s="51" t="s">
        <v>245</v>
      </c>
      <c r="D125" s="3"/>
      <c r="E125" s="96"/>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outlineLevel="1" x14ac:dyDescent="0.2">
      <c r="A126" s="3"/>
      <c r="B126" s="135">
        <f t="shared" si="13"/>
        <v>59</v>
      </c>
      <c r="C126" s="51" t="s">
        <v>246</v>
      </c>
      <c r="D126" s="3"/>
      <c r="E126" s="96"/>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spans="1:38" outlineLevel="1" x14ac:dyDescent="0.2">
      <c r="A127" s="3"/>
      <c r="B127" s="135">
        <f t="shared" si="13"/>
        <v>60</v>
      </c>
      <c r="C127" s="51" t="s">
        <v>247</v>
      </c>
      <c r="D127" s="3"/>
      <c r="E127" s="96"/>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spans="1:38" outlineLevel="1" x14ac:dyDescent="0.2">
      <c r="A128" s="3"/>
      <c r="B128" s="135">
        <f t="shared" si="13"/>
        <v>61</v>
      </c>
      <c r="C128" s="51" t="s">
        <v>248</v>
      </c>
      <c r="D128" s="3"/>
      <c r="E128" s="96"/>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spans="1:38" outlineLevel="1" x14ac:dyDescent="0.2">
      <c r="A129" s="3"/>
      <c r="B129" s="135">
        <f t="shared" si="13"/>
        <v>62</v>
      </c>
      <c r="C129" s="51" t="s">
        <v>249</v>
      </c>
      <c r="D129" s="3"/>
      <c r="E129" s="96"/>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spans="1:38" outlineLevel="1" x14ac:dyDescent="0.2">
      <c r="A130" s="3"/>
      <c r="B130" s="135">
        <f t="shared" si="13"/>
        <v>63</v>
      </c>
      <c r="C130" s="51" t="s">
        <v>250</v>
      </c>
      <c r="D130" s="3"/>
      <c r="E130" s="96"/>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row>
    <row r="131" spans="1:38" outlineLevel="1" x14ac:dyDescent="0.2">
      <c r="A131" s="3"/>
      <c r="B131" s="135">
        <f t="shared" si="13"/>
        <v>64</v>
      </c>
      <c r="C131" s="51" t="s">
        <v>251</v>
      </c>
      <c r="D131" s="3"/>
      <c r="E131" s="96"/>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spans="1:38" outlineLevel="1" x14ac:dyDescent="0.2">
      <c r="A132" s="3"/>
      <c r="B132" s="135">
        <f t="shared" si="13"/>
        <v>65</v>
      </c>
      <c r="C132" s="51" t="s">
        <v>252</v>
      </c>
      <c r="D132" s="3"/>
      <c r="E132" s="96"/>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row>
    <row r="133" spans="1:38" outlineLevel="1" x14ac:dyDescent="0.2">
      <c r="A133" s="3"/>
      <c r="B133" s="135">
        <f t="shared" ref="B133:B164" si="14">B132+1</f>
        <v>66</v>
      </c>
      <c r="C133" s="51" t="s">
        <v>253</v>
      </c>
      <c r="D133" s="3"/>
      <c r="E133" s="96"/>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spans="1:38" outlineLevel="1" x14ac:dyDescent="0.2">
      <c r="A134" s="3"/>
      <c r="B134" s="135">
        <f t="shared" si="14"/>
        <v>67</v>
      </c>
      <c r="C134" s="51" t="s">
        <v>254</v>
      </c>
      <c r="D134" s="3"/>
      <c r="E134" s="96"/>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spans="1:38" outlineLevel="1" x14ac:dyDescent="0.2">
      <c r="A135" s="3"/>
      <c r="B135" s="135">
        <f t="shared" si="14"/>
        <v>68</v>
      </c>
      <c r="C135" s="51" t="s">
        <v>255</v>
      </c>
      <c r="D135" s="3"/>
      <c r="E135" s="96"/>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row>
    <row r="136" spans="1:38" outlineLevel="1" x14ac:dyDescent="0.2">
      <c r="A136" s="3"/>
      <c r="B136" s="135">
        <f t="shared" si="14"/>
        <v>69</v>
      </c>
      <c r="C136" s="51" t="s">
        <v>256</v>
      </c>
      <c r="D136" s="3"/>
      <c r="E136" s="96"/>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spans="1:38" outlineLevel="1" x14ac:dyDescent="0.2">
      <c r="A137" s="3"/>
      <c r="B137" s="135">
        <f t="shared" si="14"/>
        <v>70</v>
      </c>
      <c r="C137" s="51" t="s">
        <v>257</v>
      </c>
      <c r="D137" s="3"/>
      <c r="E137" s="96"/>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row>
    <row r="138" spans="1:38" outlineLevel="1" x14ac:dyDescent="0.2">
      <c r="A138" s="3"/>
      <c r="B138" s="135">
        <f t="shared" si="14"/>
        <v>71</v>
      </c>
      <c r="C138" s="51" t="s">
        <v>258</v>
      </c>
      <c r="D138" s="3"/>
      <c r="E138" s="96"/>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spans="1:38" outlineLevel="1" x14ac:dyDescent="0.2">
      <c r="A139" s="3"/>
      <c r="B139" s="135">
        <f t="shared" si="14"/>
        <v>72</v>
      </c>
      <c r="C139" s="51" t="s">
        <v>259</v>
      </c>
      <c r="D139" s="3"/>
      <c r="E139" s="96"/>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row>
    <row r="140" spans="1:38" outlineLevel="1" x14ac:dyDescent="0.2">
      <c r="A140" s="3"/>
      <c r="B140" s="135">
        <f t="shared" si="14"/>
        <v>73</v>
      </c>
      <c r="C140" s="51" t="s">
        <v>260</v>
      </c>
      <c r="D140" s="3"/>
      <c r="E140" s="96"/>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row>
    <row r="141" spans="1:38" outlineLevel="1" x14ac:dyDescent="0.2">
      <c r="A141" s="3"/>
      <c r="B141" s="135">
        <f t="shared" si="14"/>
        <v>74</v>
      </c>
      <c r="C141" s="51" t="s">
        <v>261</v>
      </c>
      <c r="D141" s="3"/>
      <c r="E141" s="96"/>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row>
    <row r="142" spans="1:38" outlineLevel="1" x14ac:dyDescent="0.2">
      <c r="A142" s="3"/>
      <c r="B142" s="135">
        <f t="shared" si="14"/>
        <v>75</v>
      </c>
      <c r="C142" s="51" t="s">
        <v>262</v>
      </c>
      <c r="D142" s="3"/>
      <c r="E142" s="96"/>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spans="1:38" outlineLevel="1" x14ac:dyDescent="0.2">
      <c r="A143" s="3"/>
      <c r="B143" s="135">
        <f t="shared" si="14"/>
        <v>76</v>
      </c>
      <c r="C143" s="51" t="s">
        <v>263</v>
      </c>
      <c r="D143" s="3"/>
      <c r="E143" s="96"/>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spans="1:38" outlineLevel="1" x14ac:dyDescent="0.2">
      <c r="A144" s="3"/>
      <c r="B144" s="135">
        <f t="shared" si="14"/>
        <v>77</v>
      </c>
      <c r="C144" s="51" t="s">
        <v>264</v>
      </c>
      <c r="D144" s="3"/>
      <c r="E144" s="96"/>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spans="1:38" outlineLevel="1" x14ac:dyDescent="0.2">
      <c r="A145" s="3"/>
      <c r="B145" s="135">
        <f t="shared" si="14"/>
        <v>78</v>
      </c>
      <c r="C145" s="51" t="s">
        <v>265</v>
      </c>
      <c r="D145" s="3"/>
      <c r="E145" s="96"/>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row r="146" spans="1:38" outlineLevel="1" x14ac:dyDescent="0.2">
      <c r="A146" s="3"/>
      <c r="B146" s="135">
        <f t="shared" si="14"/>
        <v>79</v>
      </c>
      <c r="C146" s="51" t="s">
        <v>266</v>
      </c>
      <c r="D146" s="3"/>
      <c r="E146" s="96"/>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row>
    <row r="147" spans="1:38" outlineLevel="1" x14ac:dyDescent="0.2">
      <c r="A147" s="3"/>
      <c r="B147" s="135">
        <f t="shared" si="14"/>
        <v>80</v>
      </c>
      <c r="C147" s="51" t="s">
        <v>267</v>
      </c>
      <c r="D147" s="3"/>
      <c r="E147" s="96"/>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row>
    <row r="148" spans="1:38" outlineLevel="1" x14ac:dyDescent="0.2">
      <c r="A148" s="3"/>
      <c r="B148" s="135">
        <f t="shared" si="14"/>
        <v>81</v>
      </c>
      <c r="C148" s="51" t="s">
        <v>268</v>
      </c>
      <c r="D148" s="3"/>
      <c r="E148" s="96"/>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row>
    <row r="149" spans="1:38" outlineLevel="1" x14ac:dyDescent="0.2">
      <c r="A149" s="3"/>
      <c r="B149" s="135">
        <f t="shared" si="14"/>
        <v>82</v>
      </c>
      <c r="C149" s="51" t="s">
        <v>269</v>
      </c>
      <c r="D149" s="3"/>
      <c r="E149" s="96"/>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row>
    <row r="150" spans="1:38" outlineLevel="1" x14ac:dyDescent="0.2">
      <c r="A150" s="3"/>
      <c r="B150" s="135">
        <f t="shared" si="14"/>
        <v>83</v>
      </c>
      <c r="C150" s="51" t="s">
        <v>270</v>
      </c>
      <c r="D150" s="3"/>
      <c r="E150" s="96"/>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row>
    <row r="151" spans="1:38" outlineLevel="1" x14ac:dyDescent="0.2">
      <c r="A151" s="3"/>
      <c r="B151" s="135">
        <f t="shared" si="14"/>
        <v>84</v>
      </c>
      <c r="C151" s="51" t="s">
        <v>271</v>
      </c>
      <c r="D151" s="3"/>
      <c r="E151" s="96"/>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row>
    <row r="152" spans="1:38" outlineLevel="1" x14ac:dyDescent="0.2">
      <c r="A152" s="3"/>
      <c r="B152" s="135">
        <f t="shared" si="14"/>
        <v>85</v>
      </c>
      <c r="C152" s="51" t="s">
        <v>272</v>
      </c>
      <c r="D152" s="3"/>
      <c r="E152" s="96"/>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row>
    <row r="153" spans="1:38" outlineLevel="1" x14ac:dyDescent="0.2">
      <c r="A153" s="3"/>
      <c r="B153" s="135">
        <f t="shared" si="14"/>
        <v>86</v>
      </c>
      <c r="C153" s="51" t="s">
        <v>273</v>
      </c>
      <c r="D153" s="3"/>
      <c r="E153" s="96"/>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row>
    <row r="154" spans="1:38" outlineLevel="1" x14ac:dyDescent="0.2">
      <c r="A154" s="3"/>
      <c r="B154" s="135">
        <f t="shared" si="14"/>
        <v>87</v>
      </c>
      <c r="C154" s="51" t="s">
        <v>274</v>
      </c>
      <c r="D154" s="3"/>
      <c r="E154" s="96"/>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row>
    <row r="155" spans="1:38" outlineLevel="1" x14ac:dyDescent="0.2">
      <c r="A155" s="3"/>
      <c r="B155" s="135">
        <f t="shared" si="14"/>
        <v>88</v>
      </c>
      <c r="C155" s="51" t="s">
        <v>275</v>
      </c>
      <c r="D155" s="3"/>
      <c r="E155" s="96"/>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row>
    <row r="156" spans="1:38" outlineLevel="1" x14ac:dyDescent="0.2">
      <c r="A156" s="3"/>
      <c r="B156" s="135">
        <f t="shared" si="14"/>
        <v>89</v>
      </c>
      <c r="C156" s="51" t="s">
        <v>276</v>
      </c>
      <c r="D156" s="3"/>
      <c r="E156" s="96"/>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row>
    <row r="157" spans="1:38" outlineLevel="1" x14ac:dyDescent="0.2">
      <c r="A157" s="3"/>
      <c r="B157" s="135">
        <f t="shared" si="14"/>
        <v>90</v>
      </c>
      <c r="C157" s="51" t="s">
        <v>277</v>
      </c>
      <c r="D157" s="3"/>
      <c r="E157" s="96"/>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row>
    <row r="158" spans="1:38" outlineLevel="1" x14ac:dyDescent="0.2">
      <c r="A158" s="3"/>
      <c r="B158" s="135">
        <f t="shared" si="14"/>
        <v>91</v>
      </c>
      <c r="C158" s="51" t="s">
        <v>278</v>
      </c>
      <c r="D158" s="3"/>
      <c r="E158" s="96"/>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row>
    <row r="159" spans="1:38" outlineLevel="1" x14ac:dyDescent="0.2">
      <c r="A159" s="3"/>
      <c r="B159" s="135">
        <f t="shared" si="14"/>
        <v>92</v>
      </c>
      <c r="C159" s="51" t="s">
        <v>279</v>
      </c>
      <c r="D159" s="3"/>
      <c r="E159" s="96"/>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row>
    <row r="160" spans="1:38" outlineLevel="1" x14ac:dyDescent="0.2">
      <c r="A160" s="3"/>
      <c r="B160" s="135">
        <f t="shared" si="14"/>
        <v>93</v>
      </c>
      <c r="C160" s="51" t="s">
        <v>280</v>
      </c>
      <c r="D160" s="3"/>
      <c r="E160" s="96"/>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row>
    <row r="161" spans="1:38" outlineLevel="1" x14ac:dyDescent="0.2">
      <c r="A161" s="3"/>
      <c r="B161" s="135">
        <f t="shared" si="14"/>
        <v>94</v>
      </c>
      <c r="C161" s="51" t="s">
        <v>281</v>
      </c>
      <c r="D161" s="3"/>
      <c r="E161" s="96"/>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row>
    <row r="162" spans="1:38" outlineLevel="1" x14ac:dyDescent="0.2">
      <c r="A162" s="3"/>
      <c r="B162" s="135">
        <f t="shared" si="14"/>
        <v>95</v>
      </c>
      <c r="C162" s="51" t="s">
        <v>282</v>
      </c>
      <c r="D162" s="3"/>
      <c r="E162" s="96"/>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row>
    <row r="163" spans="1:38" outlineLevel="1" x14ac:dyDescent="0.2">
      <c r="A163" s="3"/>
      <c r="B163" s="135">
        <f t="shared" si="14"/>
        <v>96</v>
      </c>
      <c r="C163" s="51" t="s">
        <v>283</v>
      </c>
      <c r="D163" s="3"/>
      <c r="E163" s="96"/>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row>
    <row r="164" spans="1:38" outlineLevel="1" x14ac:dyDescent="0.2">
      <c r="A164" s="3"/>
      <c r="B164" s="135">
        <f t="shared" si="14"/>
        <v>97</v>
      </c>
      <c r="C164" s="51" t="s">
        <v>284</v>
      </c>
      <c r="D164" s="3"/>
      <c r="E164" s="96"/>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outlineLevel="1" x14ac:dyDescent="0.2">
      <c r="A165" s="3"/>
      <c r="B165" s="135">
        <f t="shared" ref="B165:B196" si="15">B164+1</f>
        <v>98</v>
      </c>
      <c r="C165" s="51" t="s">
        <v>285</v>
      </c>
      <c r="D165" s="3"/>
      <c r="E165" s="96"/>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outlineLevel="1" x14ac:dyDescent="0.2">
      <c r="A166" s="3"/>
      <c r="B166" s="135">
        <f t="shared" si="15"/>
        <v>99</v>
      </c>
      <c r="C166" s="51" t="s">
        <v>286</v>
      </c>
      <c r="D166" s="3"/>
      <c r="E166" s="96"/>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outlineLevel="1" x14ac:dyDescent="0.2">
      <c r="A167" s="3"/>
      <c r="B167" s="135">
        <f t="shared" si="15"/>
        <v>100</v>
      </c>
      <c r="C167" s="51" t="s">
        <v>287</v>
      </c>
      <c r="D167" s="3"/>
      <c r="E167" s="96"/>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row>
    <row r="168" spans="1:38" outlineLevel="1" x14ac:dyDescent="0.2">
      <c r="A168" s="3"/>
      <c r="B168" s="135">
        <f t="shared" si="15"/>
        <v>101</v>
      </c>
      <c r="C168" s="51" t="s">
        <v>288</v>
      </c>
      <c r="D168" s="3"/>
      <c r="E168" s="96"/>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row>
    <row r="169" spans="1:38" outlineLevel="1" x14ac:dyDescent="0.2">
      <c r="A169" s="3"/>
      <c r="B169" s="135">
        <f t="shared" si="15"/>
        <v>102</v>
      </c>
      <c r="C169" s="51" t="s">
        <v>289</v>
      </c>
      <c r="D169" s="3"/>
      <c r="E169" s="96"/>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row>
    <row r="170" spans="1:38" outlineLevel="1" x14ac:dyDescent="0.2">
      <c r="A170" s="3"/>
      <c r="B170" s="135">
        <f t="shared" si="15"/>
        <v>103</v>
      </c>
      <c r="C170" s="51" t="s">
        <v>290</v>
      </c>
      <c r="D170" s="3"/>
      <c r="E170" s="96"/>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row>
    <row r="171" spans="1:38" outlineLevel="1" x14ac:dyDescent="0.2">
      <c r="A171" s="3"/>
      <c r="B171" s="135">
        <f t="shared" si="15"/>
        <v>104</v>
      </c>
      <c r="C171" s="51" t="s">
        <v>291</v>
      </c>
      <c r="D171" s="3"/>
      <c r="E171" s="96"/>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row>
    <row r="172" spans="1:38" outlineLevel="1" x14ac:dyDescent="0.2">
      <c r="A172" s="3"/>
      <c r="B172" s="135">
        <f t="shared" si="15"/>
        <v>105</v>
      </c>
      <c r="C172" s="51" t="s">
        <v>292</v>
      </c>
      <c r="D172" s="3"/>
      <c r="E172" s="96"/>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row>
    <row r="173" spans="1:38" outlineLevel="1" x14ac:dyDescent="0.2">
      <c r="A173" s="3"/>
      <c r="B173" s="135">
        <f t="shared" si="15"/>
        <v>106</v>
      </c>
      <c r="C173" s="51" t="s">
        <v>293</v>
      </c>
      <c r="D173" s="3"/>
      <c r="E173" s="96"/>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row>
    <row r="174" spans="1:38" outlineLevel="1" x14ac:dyDescent="0.2">
      <c r="A174" s="3"/>
      <c r="B174" s="135">
        <f t="shared" si="15"/>
        <v>107</v>
      </c>
      <c r="C174" s="51" t="s">
        <v>294</v>
      </c>
      <c r="D174" s="3"/>
      <c r="E174" s="96"/>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row>
    <row r="175" spans="1:38" outlineLevel="1" x14ac:dyDescent="0.2">
      <c r="A175" s="3"/>
      <c r="B175" s="135">
        <f t="shared" si="15"/>
        <v>108</v>
      </c>
      <c r="C175" s="51" t="s">
        <v>295</v>
      </c>
      <c r="D175" s="3"/>
      <c r="E175" s="96"/>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row>
    <row r="176" spans="1:38" outlineLevel="1" x14ac:dyDescent="0.2">
      <c r="A176" s="3"/>
      <c r="B176" s="135">
        <f t="shared" si="15"/>
        <v>109</v>
      </c>
      <c r="C176" s="51" t="s">
        <v>296</v>
      </c>
      <c r="D176" s="3"/>
      <c r="E176" s="96"/>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row>
    <row r="177" spans="1:38" outlineLevel="1" x14ac:dyDescent="0.2">
      <c r="A177" s="3"/>
      <c r="B177" s="135">
        <f t="shared" si="15"/>
        <v>110</v>
      </c>
      <c r="C177" s="51" t="s">
        <v>297</v>
      </c>
      <c r="D177" s="3"/>
      <c r="E177" s="96"/>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row>
    <row r="178" spans="1:38" outlineLevel="1" x14ac:dyDescent="0.2">
      <c r="A178" s="3"/>
      <c r="B178" s="135">
        <f t="shared" si="15"/>
        <v>111</v>
      </c>
      <c r="C178" s="51" t="s">
        <v>298</v>
      </c>
      <c r="D178" s="3"/>
      <c r="E178" s="96"/>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row>
    <row r="179" spans="1:38" outlineLevel="1" x14ac:dyDescent="0.2">
      <c r="A179" s="3"/>
      <c r="B179" s="135">
        <f t="shared" si="15"/>
        <v>112</v>
      </c>
      <c r="C179" s="51" t="s">
        <v>299</v>
      </c>
      <c r="D179" s="3"/>
      <c r="E179" s="96"/>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row>
    <row r="180" spans="1:38" outlineLevel="1" x14ac:dyDescent="0.2">
      <c r="A180" s="3"/>
      <c r="B180" s="135">
        <f t="shared" si="15"/>
        <v>113</v>
      </c>
      <c r="C180" s="51" t="s">
        <v>300</v>
      </c>
      <c r="D180" s="3"/>
      <c r="E180" s="96"/>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row>
    <row r="181" spans="1:38" outlineLevel="1" x14ac:dyDescent="0.2">
      <c r="A181" s="3"/>
      <c r="B181" s="135">
        <f t="shared" si="15"/>
        <v>114</v>
      </c>
      <c r="C181" s="51" t="s">
        <v>301</v>
      </c>
      <c r="D181" s="3"/>
      <c r="E181" s="96"/>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row>
    <row r="182" spans="1:38" outlineLevel="1" x14ac:dyDescent="0.2">
      <c r="A182" s="3"/>
      <c r="B182" s="135">
        <f t="shared" si="15"/>
        <v>115</v>
      </c>
      <c r="C182" s="51" t="s">
        <v>302</v>
      </c>
      <c r="D182" s="3"/>
      <c r="E182" s="96"/>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row>
    <row r="183" spans="1:38" outlineLevel="1" x14ac:dyDescent="0.2">
      <c r="A183" s="3"/>
      <c r="B183" s="135">
        <f t="shared" si="15"/>
        <v>116</v>
      </c>
      <c r="C183" s="51" t="s">
        <v>303</v>
      </c>
      <c r="D183" s="3"/>
      <c r="E183" s="96"/>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row>
    <row r="184" spans="1:38" outlineLevel="1" x14ac:dyDescent="0.2">
      <c r="A184" s="3"/>
      <c r="B184" s="135">
        <f t="shared" si="15"/>
        <v>117</v>
      </c>
      <c r="C184" s="51" t="s">
        <v>304</v>
      </c>
      <c r="D184" s="3"/>
      <c r="E184" s="96"/>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row>
    <row r="185" spans="1:38" outlineLevel="1" x14ac:dyDescent="0.2">
      <c r="A185" s="3"/>
      <c r="B185" s="135">
        <f t="shared" si="15"/>
        <v>118</v>
      </c>
      <c r="C185" s="51" t="s">
        <v>305</v>
      </c>
      <c r="D185" s="3"/>
      <c r="E185" s="96"/>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row>
    <row r="186" spans="1:38" outlineLevel="1" x14ac:dyDescent="0.2">
      <c r="A186" s="3"/>
      <c r="B186" s="135">
        <f t="shared" si="15"/>
        <v>119</v>
      </c>
      <c r="C186" s="51" t="s">
        <v>306</v>
      </c>
      <c r="D186" s="3"/>
      <c r="E186" s="96"/>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row>
    <row r="187" spans="1:38" outlineLevel="1" x14ac:dyDescent="0.2">
      <c r="A187" s="3"/>
      <c r="B187" s="135">
        <f t="shared" si="15"/>
        <v>120</v>
      </c>
      <c r="C187" s="51" t="s">
        <v>307</v>
      </c>
      <c r="D187" s="3"/>
      <c r="E187" s="96"/>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spans="1:38" outlineLevel="1" x14ac:dyDescent="0.2">
      <c r="A188" s="3"/>
      <c r="B188" s="135">
        <f t="shared" si="15"/>
        <v>121</v>
      </c>
      <c r="C188" s="51" t="s">
        <v>308</v>
      </c>
      <c r="D188" s="3"/>
      <c r="E188" s="96"/>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spans="1:38" outlineLevel="1" x14ac:dyDescent="0.2">
      <c r="A189" s="3"/>
      <c r="B189" s="135">
        <f t="shared" si="15"/>
        <v>122</v>
      </c>
      <c r="C189" s="51" t="s">
        <v>309</v>
      </c>
      <c r="D189" s="3"/>
      <c r="E189" s="96"/>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spans="1:38" outlineLevel="1" x14ac:dyDescent="0.2">
      <c r="A190" s="3"/>
      <c r="B190" s="135">
        <f t="shared" si="15"/>
        <v>123</v>
      </c>
      <c r="C190" s="51" t="s">
        <v>310</v>
      </c>
      <c r="D190" s="3"/>
      <c r="E190" s="96"/>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row>
    <row r="191" spans="1:38" outlineLevel="1" x14ac:dyDescent="0.2">
      <c r="A191" s="3"/>
      <c r="B191" s="135">
        <f t="shared" si="15"/>
        <v>124</v>
      </c>
      <c r="C191" s="51" t="s">
        <v>311</v>
      </c>
      <c r="D191" s="3"/>
      <c r="E191" s="96"/>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spans="1:38" outlineLevel="1" x14ac:dyDescent="0.2">
      <c r="A192" s="3"/>
      <c r="B192" s="135">
        <f t="shared" si="15"/>
        <v>125</v>
      </c>
      <c r="C192" s="51" t="s">
        <v>312</v>
      </c>
      <c r="D192" s="3"/>
      <c r="E192" s="96"/>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row>
    <row r="193" spans="1:38" outlineLevel="1" x14ac:dyDescent="0.2">
      <c r="A193" s="3"/>
      <c r="B193" s="135">
        <f t="shared" si="15"/>
        <v>126</v>
      </c>
      <c r="C193" s="51" t="s">
        <v>313</v>
      </c>
      <c r="D193" s="3"/>
      <c r="E193" s="96"/>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row>
    <row r="194" spans="1:38" outlineLevel="1" x14ac:dyDescent="0.2">
      <c r="A194" s="3"/>
      <c r="B194" s="135">
        <f t="shared" si="15"/>
        <v>127</v>
      </c>
      <c r="C194" s="51" t="s">
        <v>314</v>
      </c>
      <c r="D194" s="3"/>
      <c r="E194" s="96"/>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row>
    <row r="195" spans="1:38" outlineLevel="1" x14ac:dyDescent="0.2">
      <c r="A195" s="3"/>
      <c r="B195" s="135">
        <f t="shared" si="15"/>
        <v>128</v>
      </c>
      <c r="C195" s="51" t="s">
        <v>315</v>
      </c>
      <c r="D195" s="3"/>
      <c r="E195" s="96"/>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row>
    <row r="196" spans="1:38" outlineLevel="1" x14ac:dyDescent="0.2">
      <c r="A196" s="3"/>
      <c r="B196" s="135">
        <f t="shared" si="15"/>
        <v>129</v>
      </c>
      <c r="C196" s="51"/>
      <c r="D196" s="3"/>
      <c r="E196" s="96"/>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row>
    <row r="197" spans="1:38" outlineLevel="1" x14ac:dyDescent="0.2">
      <c r="A197" s="3"/>
      <c r="B197" s="135">
        <f t="shared" ref="B197:B222" si="16">B196+1</f>
        <v>130</v>
      </c>
      <c r="C197" s="51"/>
      <c r="D197" s="3"/>
      <c r="E197" s="96"/>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row>
    <row r="198" spans="1:38" outlineLevel="1" x14ac:dyDescent="0.2">
      <c r="A198" s="3"/>
      <c r="B198" s="135">
        <f t="shared" si="16"/>
        <v>131</v>
      </c>
      <c r="C198" s="51"/>
      <c r="D198" s="3"/>
      <c r="E198" s="96"/>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spans="1:38" outlineLevel="1" x14ac:dyDescent="0.2">
      <c r="A199" s="3"/>
      <c r="B199" s="135">
        <f t="shared" si="16"/>
        <v>132</v>
      </c>
      <c r="C199" s="51"/>
      <c r="D199" s="3"/>
      <c r="E199" s="96"/>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row>
    <row r="200" spans="1:38" outlineLevel="1" x14ac:dyDescent="0.2">
      <c r="A200" s="3"/>
      <c r="B200" s="135">
        <f t="shared" si="16"/>
        <v>133</v>
      </c>
      <c r="C200" s="51"/>
      <c r="D200" s="3"/>
      <c r="E200" s="96"/>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row>
    <row r="201" spans="1:38" outlineLevel="1" x14ac:dyDescent="0.2">
      <c r="A201" s="3"/>
      <c r="B201" s="135">
        <f t="shared" si="16"/>
        <v>134</v>
      </c>
      <c r="C201" s="51"/>
      <c r="D201" s="3"/>
      <c r="E201" s="96"/>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row>
    <row r="202" spans="1:38" outlineLevel="1" x14ac:dyDescent="0.2">
      <c r="A202" s="3"/>
      <c r="B202" s="135">
        <f t="shared" si="16"/>
        <v>135</v>
      </c>
      <c r="C202" s="51"/>
      <c r="D202" s="3"/>
      <c r="E202" s="96"/>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row>
    <row r="203" spans="1:38" outlineLevel="1" x14ac:dyDescent="0.2">
      <c r="A203" s="3"/>
      <c r="B203" s="135">
        <f t="shared" si="16"/>
        <v>136</v>
      </c>
      <c r="C203" s="51"/>
      <c r="D203" s="3"/>
      <c r="E203" s="96"/>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row>
    <row r="204" spans="1:38" outlineLevel="1" x14ac:dyDescent="0.2">
      <c r="A204" s="3"/>
      <c r="B204" s="135">
        <f t="shared" si="16"/>
        <v>137</v>
      </c>
      <c r="C204" s="51"/>
      <c r="D204" s="3"/>
      <c r="E204" s="96"/>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spans="1:38" outlineLevel="1" x14ac:dyDescent="0.2">
      <c r="A205" s="3"/>
      <c r="B205" s="135">
        <f t="shared" si="16"/>
        <v>138</v>
      </c>
      <c r="C205" s="51"/>
      <c r="D205" s="3"/>
      <c r="E205" s="96"/>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spans="1:38" outlineLevel="1" x14ac:dyDescent="0.2">
      <c r="A206" s="3"/>
      <c r="B206" s="135">
        <f t="shared" si="16"/>
        <v>139</v>
      </c>
      <c r="C206" s="51"/>
      <c r="D206" s="3"/>
      <c r="E206" s="96"/>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spans="1:38" outlineLevel="1" x14ac:dyDescent="0.2">
      <c r="A207" s="3"/>
      <c r="B207" s="135">
        <f t="shared" si="16"/>
        <v>140</v>
      </c>
      <c r="C207" s="51"/>
      <c r="D207" s="3"/>
      <c r="E207" s="96"/>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spans="1:38" outlineLevel="1" x14ac:dyDescent="0.2">
      <c r="A208" s="3"/>
      <c r="B208" s="135">
        <f t="shared" si="16"/>
        <v>141</v>
      </c>
      <c r="C208" s="51"/>
      <c r="D208" s="3"/>
      <c r="E208" s="96"/>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spans="1:38" outlineLevel="1" x14ac:dyDescent="0.2">
      <c r="A209" s="3"/>
      <c r="B209" s="135">
        <f t="shared" si="16"/>
        <v>142</v>
      </c>
      <c r="C209" s="51"/>
      <c r="D209" s="3"/>
      <c r="E209" s="96"/>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spans="1:38" outlineLevel="1" x14ac:dyDescent="0.2">
      <c r="A210" s="3"/>
      <c r="B210" s="135">
        <f t="shared" si="16"/>
        <v>143</v>
      </c>
      <c r="C210" s="51"/>
      <c r="D210" s="3"/>
      <c r="E210" s="96"/>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spans="1:38" outlineLevel="1" x14ac:dyDescent="0.2">
      <c r="A211" s="3"/>
      <c r="B211" s="135">
        <f t="shared" si="16"/>
        <v>144</v>
      </c>
      <c r="C211" s="51"/>
      <c r="D211" s="3"/>
      <c r="E211" s="96"/>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spans="1:38" outlineLevel="1" x14ac:dyDescent="0.2">
      <c r="A212" s="3"/>
      <c r="B212" s="135">
        <f t="shared" si="16"/>
        <v>145</v>
      </c>
      <c r="C212" s="51"/>
      <c r="D212" s="3"/>
      <c r="E212" s="96"/>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spans="1:38" outlineLevel="1" x14ac:dyDescent="0.2">
      <c r="A213" s="3"/>
      <c r="B213" s="135">
        <f t="shared" si="16"/>
        <v>146</v>
      </c>
      <c r="C213" s="51"/>
      <c r="D213" s="3"/>
      <c r="E213" s="96"/>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spans="1:38" outlineLevel="1" x14ac:dyDescent="0.2">
      <c r="A214" s="3"/>
      <c r="B214" s="135">
        <f t="shared" si="16"/>
        <v>147</v>
      </c>
      <c r="C214" s="51"/>
      <c r="D214" s="3"/>
      <c r="E214" s="96"/>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spans="1:38" outlineLevel="1" x14ac:dyDescent="0.2">
      <c r="A215" s="3"/>
      <c r="B215" s="135">
        <f t="shared" si="16"/>
        <v>148</v>
      </c>
      <c r="C215" s="51"/>
      <c r="D215" s="3"/>
      <c r="E215" s="96"/>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spans="1:38" outlineLevel="1" x14ac:dyDescent="0.2">
      <c r="A216" s="3"/>
      <c r="B216" s="135">
        <f t="shared" si="16"/>
        <v>149</v>
      </c>
      <c r="C216" s="51"/>
      <c r="D216" s="3"/>
      <c r="E216" s="96"/>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spans="1:38" outlineLevel="1" x14ac:dyDescent="0.2">
      <c r="A217" s="3"/>
      <c r="B217" s="135">
        <f t="shared" si="16"/>
        <v>150</v>
      </c>
      <c r="C217" s="51"/>
      <c r="D217" s="3"/>
      <c r="E217" s="96"/>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spans="1:38" outlineLevel="1" x14ac:dyDescent="0.2">
      <c r="A218" s="3"/>
      <c r="B218" s="135">
        <f t="shared" si="16"/>
        <v>151</v>
      </c>
      <c r="C218" s="51"/>
      <c r="D218" s="3"/>
      <c r="E218" s="96"/>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spans="1:38" outlineLevel="1" x14ac:dyDescent="0.2">
      <c r="A219" s="3"/>
      <c r="B219" s="135">
        <f t="shared" si="16"/>
        <v>152</v>
      </c>
      <c r="C219" s="51"/>
      <c r="D219" s="3"/>
      <c r="E219" s="96"/>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spans="1:38" outlineLevel="1" x14ac:dyDescent="0.2">
      <c r="A220" s="3"/>
      <c r="B220" s="135">
        <f t="shared" si="16"/>
        <v>153</v>
      </c>
      <c r="C220" s="51"/>
      <c r="D220" s="3"/>
      <c r="E220" s="96"/>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spans="1:38" outlineLevel="1" x14ac:dyDescent="0.2">
      <c r="A221" s="3"/>
      <c r="B221" s="135">
        <f t="shared" si="16"/>
        <v>154</v>
      </c>
      <c r="C221" s="51"/>
      <c r="D221" s="3"/>
      <c r="E221" s="96"/>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spans="1:38" x14ac:dyDescent="0.2">
      <c r="A222" s="3"/>
      <c r="B222" s="97">
        <f t="shared" si="16"/>
        <v>155</v>
      </c>
      <c r="C222" s="543"/>
      <c r="D222" s="93"/>
      <c r="E222" s="98"/>
      <c r="F222" s="3" t="s">
        <v>316</v>
      </c>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spans="1:38"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spans="1:38"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spans="1:38" ht="15.6" x14ac:dyDescent="0.3">
      <c r="A225" s="3"/>
      <c r="B225" s="4" t="s">
        <v>317</v>
      </c>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spans="1:38" ht="7.5" customHeight="1" x14ac:dyDescent="0.3">
      <c r="A226" s="3"/>
      <c r="B226" s="4"/>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row r="227" spans="1:38" ht="12" x14ac:dyDescent="0.25">
      <c r="A227" s="3"/>
      <c r="B227" s="2" t="str">
        <f>'WK1 - Identification'!C28</f>
        <v>2. Is the council applying for a one-year increase (s508(2)) or a multi-year increase (s508A)?</v>
      </c>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row>
    <row r="228" spans="1:38" x14ac:dyDescent="0.2">
      <c r="A228" s="3"/>
      <c r="B228" s="1209" t="s">
        <v>318</v>
      </c>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row>
    <row r="229" spans="1:38" x14ac:dyDescent="0.2">
      <c r="A229" s="3"/>
      <c r="B229" s="542" t="s">
        <v>319</v>
      </c>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row>
    <row r="230" spans="1:38" x14ac:dyDescent="0.2">
      <c r="A230" s="3"/>
      <c r="B230" s="77"/>
      <c r="C230" s="77"/>
      <c r="D230" s="77"/>
      <c r="E230" s="77"/>
      <c r="F230" s="77"/>
      <c r="G230" s="77"/>
      <c r="H230" s="77"/>
      <c r="I230" s="77"/>
      <c r="J230" s="77"/>
      <c r="K230" s="77"/>
      <c r="L230" s="77"/>
      <c r="M230" s="77"/>
      <c r="N230" s="77"/>
      <c r="O230" s="77"/>
      <c r="P230" s="77"/>
      <c r="Q230" s="3"/>
      <c r="R230" s="3"/>
      <c r="S230" s="3"/>
      <c r="T230" s="3"/>
      <c r="U230" s="3"/>
      <c r="V230" s="3"/>
      <c r="W230" s="3"/>
      <c r="X230" s="3"/>
      <c r="Y230" s="3"/>
      <c r="Z230" s="3"/>
      <c r="AA230" s="3"/>
      <c r="AB230" s="3"/>
      <c r="AC230" s="3"/>
      <c r="AD230" s="3"/>
      <c r="AE230" s="3"/>
      <c r="AF230" s="3"/>
      <c r="AG230" s="3"/>
      <c r="AH230" s="3"/>
      <c r="AI230" s="3"/>
      <c r="AJ230" s="3"/>
      <c r="AK230" s="3"/>
      <c r="AL230" s="3"/>
    </row>
    <row r="231" spans="1:38" ht="12" x14ac:dyDescent="0.25">
      <c r="A231" s="3"/>
      <c r="B231" s="111" t="str">
        <f>'WK1 - Identification'!C29</f>
        <v>3. For s508A applications: for how many years is the council requesting % increases as part of this application?</v>
      </c>
      <c r="C231" s="3"/>
      <c r="D231" s="3"/>
      <c r="E231" s="3"/>
      <c r="F231" s="3"/>
      <c r="G231" s="3"/>
      <c r="H231" s="3"/>
      <c r="I231" s="3"/>
      <c r="J231" s="3"/>
      <c r="K231" s="77"/>
      <c r="L231" s="77"/>
      <c r="M231" s="77"/>
      <c r="N231" s="77"/>
      <c r="O231" s="77"/>
      <c r="P231" s="77"/>
      <c r="Q231" s="3"/>
      <c r="R231" s="3"/>
      <c r="S231" s="3"/>
      <c r="T231" s="3"/>
      <c r="U231" s="3"/>
      <c r="V231" s="3"/>
      <c r="W231" s="3"/>
      <c r="X231" s="3"/>
      <c r="Y231" s="3"/>
      <c r="Z231" s="3"/>
      <c r="AA231" s="3"/>
      <c r="AB231" s="3"/>
      <c r="AC231" s="3"/>
      <c r="AD231" s="3"/>
      <c r="AE231" s="3"/>
      <c r="AF231" s="3"/>
      <c r="AG231" s="3"/>
      <c r="AH231" s="3"/>
      <c r="AI231" s="3"/>
      <c r="AJ231" s="3"/>
      <c r="AK231" s="3"/>
      <c r="AL231" s="3"/>
    </row>
    <row r="232" spans="1:38" x14ac:dyDescent="0.2">
      <c r="A232" s="3"/>
      <c r="B232" s="1199"/>
      <c r="C232" s="816" t="s">
        <v>320</v>
      </c>
      <c r="D232" s="1029" t="s">
        <v>321</v>
      </c>
      <c r="E232" s="1149" t="s">
        <v>322</v>
      </c>
      <c r="F232" s="3"/>
      <c r="G232" s="3"/>
      <c r="H232" s="3"/>
      <c r="I232" s="3"/>
      <c r="J232" s="3"/>
      <c r="K232" s="77"/>
      <c r="L232" s="77"/>
      <c r="M232" s="77"/>
      <c r="N232" s="77"/>
      <c r="O232" s="77"/>
      <c r="P232" s="77"/>
      <c r="Q232" s="3"/>
      <c r="R232" s="3"/>
      <c r="S232" s="3"/>
      <c r="T232" s="3"/>
      <c r="U232" s="3"/>
      <c r="V232" s="3"/>
      <c r="W232" s="3"/>
      <c r="X232" s="3"/>
      <c r="Y232" s="3"/>
      <c r="Z232" s="3"/>
      <c r="AA232" s="3"/>
      <c r="AB232" s="3"/>
      <c r="AC232" s="3"/>
      <c r="AD232" s="3"/>
      <c r="AE232" s="3"/>
      <c r="AF232" s="3"/>
      <c r="AG232" s="3"/>
      <c r="AH232" s="3"/>
      <c r="AI232" s="3"/>
      <c r="AJ232" s="3"/>
      <c r="AK232" s="3"/>
      <c r="AL232" s="3"/>
    </row>
    <row r="233" spans="1:38" x14ac:dyDescent="0.2">
      <c r="A233" s="3"/>
      <c r="B233" s="97"/>
      <c r="C233" s="537" t="s">
        <v>323</v>
      </c>
      <c r="D233" s="506"/>
      <c r="E233" s="98"/>
      <c r="F233" s="3"/>
      <c r="G233" s="3"/>
      <c r="H233" s="3"/>
      <c r="I233" s="3"/>
      <c r="J233" s="3"/>
      <c r="K233" s="77"/>
      <c r="L233" s="77"/>
      <c r="M233" s="77"/>
      <c r="N233" s="77"/>
      <c r="O233" s="77"/>
      <c r="P233" s="77"/>
      <c r="Q233" s="3"/>
      <c r="R233" s="3"/>
      <c r="S233" s="3"/>
      <c r="T233" s="3"/>
      <c r="U233" s="3"/>
      <c r="V233" s="3"/>
      <c r="W233" s="3"/>
      <c r="X233" s="3"/>
      <c r="Y233" s="3"/>
      <c r="Z233" s="3"/>
      <c r="AA233" s="3"/>
      <c r="AB233" s="3"/>
      <c r="AC233" s="3"/>
      <c r="AD233" s="3"/>
      <c r="AE233" s="3"/>
      <c r="AF233" s="3"/>
      <c r="AG233" s="3"/>
      <c r="AH233" s="3"/>
      <c r="AI233" s="3"/>
      <c r="AJ233" s="3"/>
      <c r="AK233" s="3"/>
      <c r="AL233" s="3"/>
    </row>
    <row r="234" spans="1:38" x14ac:dyDescent="0.2">
      <c r="A234" s="3"/>
      <c r="B234" s="1199"/>
      <c r="C234" s="815"/>
      <c r="D234" s="1029"/>
      <c r="E234" s="1150" t="s">
        <v>129</v>
      </c>
      <c r="F234" s="3"/>
      <c r="G234" s="3"/>
      <c r="H234" s="3"/>
      <c r="I234" s="3"/>
      <c r="J234" s="3"/>
      <c r="K234" s="77"/>
      <c r="L234" s="77"/>
      <c r="M234" s="77"/>
      <c r="N234" s="77"/>
      <c r="O234" s="77"/>
      <c r="P234" s="77"/>
      <c r="Q234" s="3"/>
      <c r="R234" s="3"/>
      <c r="S234" s="3"/>
      <c r="T234" s="3"/>
      <c r="U234" s="3"/>
      <c r="V234" s="3"/>
      <c r="W234" s="3"/>
      <c r="X234" s="3"/>
      <c r="Y234" s="3"/>
      <c r="Z234" s="3"/>
      <c r="AA234" s="3"/>
      <c r="AB234" s="3"/>
      <c r="AC234" s="3"/>
      <c r="AD234" s="3"/>
      <c r="AE234" s="3"/>
      <c r="AF234" s="3"/>
      <c r="AG234" s="3"/>
      <c r="AH234" s="3"/>
      <c r="AI234" s="3"/>
      <c r="AJ234" s="3"/>
      <c r="AK234" s="3"/>
      <c r="AL234" s="3"/>
    </row>
    <row r="235" spans="1:38" x14ac:dyDescent="0.2">
      <c r="A235" s="3"/>
      <c r="B235" s="135"/>
      <c r="C235" s="3"/>
      <c r="D235" s="80">
        <f t="array" ref="D235:D240">TRANSPOSE(J54:O54)</f>
        <v>2</v>
      </c>
      <c r="E235" s="96" t="str">
        <f t="shared" ref="E235:E240" si="17">D235&amp;$C$233</f>
        <v>2 years</v>
      </c>
      <c r="F235" s="3"/>
      <c r="G235" s="3"/>
      <c r="H235" s="3"/>
      <c r="I235" s="3"/>
      <c r="J235" s="3"/>
      <c r="K235" s="77"/>
      <c r="L235" s="77"/>
      <c r="M235" s="77"/>
      <c r="N235" s="77"/>
      <c r="O235" s="77"/>
      <c r="P235" s="77"/>
      <c r="Q235" s="3"/>
      <c r="R235" s="3"/>
      <c r="S235" s="3"/>
      <c r="T235" s="3"/>
      <c r="U235" s="3"/>
      <c r="V235" s="3"/>
      <c r="W235" s="3"/>
      <c r="X235" s="3"/>
      <c r="Y235" s="3"/>
      <c r="Z235" s="3"/>
      <c r="AA235" s="3"/>
      <c r="AB235" s="3"/>
      <c r="AC235" s="3"/>
      <c r="AD235" s="3"/>
      <c r="AE235" s="3"/>
      <c r="AF235" s="3"/>
      <c r="AG235" s="3"/>
      <c r="AH235" s="3"/>
      <c r="AI235" s="3"/>
      <c r="AJ235" s="3"/>
      <c r="AK235" s="3"/>
      <c r="AL235" s="3"/>
    </row>
    <row r="236" spans="1:38" x14ac:dyDescent="0.2">
      <c r="A236" s="3"/>
      <c r="B236" s="135"/>
      <c r="C236" s="3"/>
      <c r="D236" s="80">
        <v>3</v>
      </c>
      <c r="E236" s="96" t="str">
        <f t="shared" si="17"/>
        <v>3 years</v>
      </c>
      <c r="F236" s="3"/>
      <c r="G236" s="3"/>
      <c r="H236" s="3"/>
      <c r="I236" s="3"/>
      <c r="J236" s="3"/>
      <c r="K236" s="77"/>
      <c r="L236" s="77"/>
      <c r="M236" s="77"/>
      <c r="N236" s="77"/>
      <c r="O236" s="77"/>
      <c r="P236" s="77"/>
      <c r="Q236" s="3"/>
      <c r="R236" s="3"/>
      <c r="S236" s="3"/>
      <c r="T236" s="3"/>
      <c r="U236" s="3"/>
      <c r="V236" s="3"/>
      <c r="W236" s="3"/>
      <c r="X236" s="3"/>
      <c r="Y236" s="3"/>
      <c r="Z236" s="3"/>
      <c r="AA236" s="3"/>
      <c r="AB236" s="3"/>
      <c r="AC236" s="3"/>
      <c r="AD236" s="3"/>
      <c r="AE236" s="3"/>
      <c r="AF236" s="3"/>
      <c r="AG236" s="3"/>
      <c r="AH236" s="3"/>
      <c r="AI236" s="3"/>
      <c r="AJ236" s="3"/>
      <c r="AK236" s="3"/>
      <c r="AL236" s="3"/>
    </row>
    <row r="237" spans="1:38" x14ac:dyDescent="0.2">
      <c r="A237" s="3"/>
      <c r="B237" s="135"/>
      <c r="C237" s="3"/>
      <c r="D237" s="80">
        <v>4</v>
      </c>
      <c r="E237" s="96" t="str">
        <f t="shared" si="17"/>
        <v>4 years</v>
      </c>
      <c r="F237" s="3"/>
      <c r="G237" s="3"/>
      <c r="H237" s="3"/>
      <c r="I237" s="3"/>
      <c r="J237" s="3"/>
      <c r="K237" s="77"/>
      <c r="L237" s="77"/>
      <c r="M237" s="77"/>
      <c r="N237" s="77"/>
      <c r="O237" s="77"/>
      <c r="P237" s="77"/>
      <c r="Q237" s="3"/>
      <c r="R237" s="3"/>
      <c r="S237" s="3"/>
      <c r="T237" s="3"/>
      <c r="U237" s="3"/>
      <c r="V237" s="3"/>
      <c r="W237" s="3"/>
      <c r="X237" s="3"/>
      <c r="Y237" s="3"/>
      <c r="Z237" s="3"/>
      <c r="AA237" s="3"/>
      <c r="AB237" s="3"/>
      <c r="AC237" s="3"/>
      <c r="AD237" s="3"/>
      <c r="AE237" s="3"/>
      <c r="AF237" s="3"/>
      <c r="AG237" s="3"/>
      <c r="AH237" s="3"/>
      <c r="AI237" s="3"/>
      <c r="AJ237" s="3"/>
      <c r="AK237" s="3"/>
      <c r="AL237" s="3"/>
    </row>
    <row r="238" spans="1:38" x14ac:dyDescent="0.2">
      <c r="A238" s="3"/>
      <c r="B238" s="135"/>
      <c r="C238" s="3"/>
      <c r="D238" s="80">
        <v>5</v>
      </c>
      <c r="E238" s="96" t="str">
        <f t="shared" si="17"/>
        <v>5 years</v>
      </c>
      <c r="F238" s="3"/>
      <c r="G238" s="3"/>
      <c r="H238" s="3"/>
      <c r="I238" s="3"/>
      <c r="J238" s="3"/>
      <c r="K238" s="77"/>
      <c r="L238" s="77"/>
      <c r="M238" s="77"/>
      <c r="N238" s="77"/>
      <c r="O238" s="77"/>
      <c r="P238" s="77"/>
      <c r="Q238" s="3"/>
      <c r="R238" s="3"/>
      <c r="S238" s="3"/>
      <c r="T238" s="3"/>
      <c r="U238" s="3"/>
      <c r="V238" s="3"/>
      <c r="W238" s="3"/>
      <c r="X238" s="3"/>
      <c r="Y238" s="3"/>
      <c r="Z238" s="3"/>
      <c r="AA238" s="3"/>
      <c r="AB238" s="3"/>
      <c r="AC238" s="3"/>
      <c r="AD238" s="3"/>
      <c r="AE238" s="3"/>
      <c r="AF238" s="3"/>
      <c r="AG238" s="3"/>
      <c r="AH238" s="3"/>
      <c r="AI238" s="3"/>
      <c r="AJ238" s="3"/>
      <c r="AK238" s="3"/>
      <c r="AL238" s="3"/>
    </row>
    <row r="239" spans="1:38" x14ac:dyDescent="0.2">
      <c r="A239" s="3"/>
      <c r="B239" s="135"/>
      <c r="C239" s="3"/>
      <c r="D239" s="80">
        <v>6</v>
      </c>
      <c r="E239" s="96" t="str">
        <f t="shared" si="17"/>
        <v>6 years</v>
      </c>
      <c r="F239" s="3"/>
      <c r="G239" s="3"/>
      <c r="H239" s="3"/>
      <c r="I239" s="3"/>
      <c r="J239" s="3"/>
      <c r="K239" s="77"/>
      <c r="L239" s="77"/>
      <c r="M239" s="77"/>
      <c r="N239" s="77"/>
      <c r="O239" s="77"/>
      <c r="P239" s="77"/>
      <c r="Q239" s="3"/>
      <c r="R239" s="3"/>
      <c r="S239" s="3"/>
      <c r="T239" s="3"/>
      <c r="U239" s="3"/>
      <c r="V239" s="3"/>
      <c r="W239" s="3"/>
      <c r="X239" s="3"/>
      <c r="Y239" s="3"/>
      <c r="Z239" s="3"/>
      <c r="AA239" s="3"/>
      <c r="AB239" s="3"/>
      <c r="AC239" s="3"/>
      <c r="AD239" s="3"/>
      <c r="AE239" s="3"/>
      <c r="AF239" s="3"/>
      <c r="AG239" s="3"/>
      <c r="AH239" s="3"/>
      <c r="AI239" s="3"/>
      <c r="AJ239" s="3"/>
      <c r="AK239" s="3"/>
      <c r="AL239" s="3"/>
    </row>
    <row r="240" spans="1:38" x14ac:dyDescent="0.2">
      <c r="A240" s="3"/>
      <c r="B240" s="97"/>
      <c r="C240" s="93"/>
      <c r="D240" s="506">
        <v>7</v>
      </c>
      <c r="E240" s="98" t="str">
        <f t="shared" si="17"/>
        <v>7 years</v>
      </c>
      <c r="F240" s="3"/>
      <c r="G240" s="3"/>
      <c r="H240" s="3"/>
      <c r="I240" s="3"/>
      <c r="J240" s="3"/>
      <c r="K240" s="77"/>
      <c r="L240" s="77"/>
      <c r="M240" s="77"/>
      <c r="N240" s="77"/>
      <c r="O240" s="77"/>
      <c r="P240" s="77"/>
      <c r="Q240" s="3"/>
      <c r="R240" s="3"/>
      <c r="S240" s="3"/>
      <c r="T240" s="3"/>
      <c r="U240" s="3"/>
      <c r="V240" s="3"/>
      <c r="W240" s="3"/>
      <c r="X240" s="3"/>
      <c r="Y240" s="3"/>
      <c r="Z240" s="3"/>
      <c r="AA240" s="3"/>
      <c r="AB240" s="3"/>
      <c r="AC240" s="3"/>
      <c r="AD240" s="3"/>
      <c r="AE240" s="3"/>
      <c r="AF240" s="3"/>
      <c r="AG240" s="3"/>
      <c r="AH240" s="3"/>
      <c r="AI240" s="3"/>
      <c r="AJ240" s="3"/>
      <c r="AK240" s="3"/>
      <c r="AL240" s="3"/>
    </row>
    <row r="241" spans="1:38" x14ac:dyDescent="0.2">
      <c r="A241" s="3"/>
      <c r="B241" s="3"/>
      <c r="C241" s="3"/>
      <c r="D241" s="3"/>
      <c r="E241" s="3"/>
      <c r="F241" s="3"/>
      <c r="G241" s="3"/>
      <c r="H241" s="3"/>
      <c r="I241" s="3"/>
      <c r="J241" s="3"/>
      <c r="K241" s="77"/>
      <c r="L241" s="77"/>
      <c r="M241" s="77"/>
      <c r="N241" s="77"/>
      <c r="O241" s="77"/>
      <c r="P241" s="77"/>
      <c r="Q241" s="3"/>
      <c r="R241" s="3"/>
      <c r="S241" s="3"/>
      <c r="T241" s="3"/>
      <c r="U241" s="3"/>
      <c r="V241" s="3"/>
      <c r="W241" s="3"/>
      <c r="X241" s="3"/>
      <c r="Y241" s="3"/>
      <c r="Z241" s="3"/>
      <c r="AA241" s="3"/>
      <c r="AB241" s="3"/>
      <c r="AC241" s="3"/>
      <c r="AD241" s="3"/>
      <c r="AE241" s="3"/>
      <c r="AF241" s="3"/>
      <c r="AG241" s="3"/>
      <c r="AH241" s="3"/>
      <c r="AI241" s="3"/>
      <c r="AJ241" s="3"/>
      <c r="AK241" s="3"/>
      <c r="AL241" s="3"/>
    </row>
    <row r="242" spans="1:38" ht="12" x14ac:dyDescent="0.25">
      <c r="A242" s="3"/>
      <c r="B242" s="2" t="str">
        <f>'WK1 - Identification'!C30</f>
        <v xml:space="preserve">4. For s508A &amp; s508(2) applications: is the special variation permanent or temporary?   </v>
      </c>
      <c r="C242" s="3"/>
      <c r="D242" s="77"/>
      <c r="E242" s="77"/>
      <c r="F242" s="77"/>
      <c r="G242" s="77"/>
      <c r="H242" s="77"/>
      <c r="I242" s="77"/>
      <c r="J242" s="77"/>
      <c r="K242" s="77"/>
      <c r="L242" s="77"/>
      <c r="M242" s="77"/>
      <c r="N242" s="77"/>
      <c r="O242" s="77"/>
      <c r="P242" s="77"/>
      <c r="Q242" s="3"/>
      <c r="R242" s="3"/>
      <c r="S242" s="3"/>
      <c r="T242" s="3"/>
      <c r="U242" s="3"/>
      <c r="V242" s="3"/>
      <c r="W242" s="3"/>
      <c r="X242" s="3"/>
      <c r="Y242" s="3"/>
      <c r="Z242" s="3"/>
      <c r="AA242" s="3"/>
      <c r="AB242" s="3"/>
      <c r="AC242" s="3"/>
      <c r="AD242" s="3"/>
      <c r="AE242" s="3"/>
      <c r="AF242" s="3"/>
      <c r="AG242" s="3"/>
      <c r="AH242" s="3"/>
      <c r="AI242" s="3"/>
      <c r="AJ242" s="3"/>
      <c r="AK242" s="3"/>
      <c r="AL242" s="3"/>
    </row>
    <row r="243" spans="1:38" ht="13.2" x14ac:dyDescent="0.25">
      <c r="A243" s="3"/>
      <c r="B243" s="1209" t="s">
        <v>324</v>
      </c>
      <c r="C243" s="77"/>
      <c r="D243" s="77"/>
      <c r="E243" s="538"/>
      <c r="F243" s="77"/>
      <c r="G243" s="77"/>
      <c r="H243" s="77"/>
      <c r="I243" s="77"/>
      <c r="J243" s="77"/>
      <c r="K243" s="77"/>
      <c r="L243" s="77"/>
      <c r="M243" s="77"/>
      <c r="N243" s="77"/>
      <c r="O243" s="77"/>
      <c r="P243" s="77"/>
      <c r="Q243" s="3"/>
      <c r="R243" s="3"/>
      <c r="S243" s="3"/>
      <c r="T243" s="3"/>
      <c r="U243" s="3"/>
      <c r="V243" s="3"/>
      <c r="W243" s="3"/>
      <c r="X243" s="3"/>
      <c r="Y243" s="3"/>
      <c r="Z243" s="3"/>
      <c r="AA243" s="3"/>
      <c r="AB243" s="3"/>
      <c r="AC243" s="3"/>
      <c r="AD243" s="3"/>
      <c r="AE243" s="3"/>
      <c r="AF243" s="3"/>
      <c r="AG243" s="3"/>
      <c r="AH243" s="3"/>
      <c r="AI243" s="3"/>
      <c r="AJ243" s="3"/>
      <c r="AK243" s="3"/>
      <c r="AL243" s="3"/>
    </row>
    <row r="244" spans="1:38" x14ac:dyDescent="0.2">
      <c r="A244" s="3"/>
      <c r="B244" s="955" t="s">
        <v>325</v>
      </c>
      <c r="C244" s="77"/>
      <c r="D244" s="77"/>
      <c r="E244" s="77"/>
      <c r="F244" s="77"/>
      <c r="G244" s="77"/>
      <c r="H244" s="77"/>
      <c r="I244" s="77"/>
      <c r="J244" s="77"/>
      <c r="K244" s="77"/>
      <c r="L244" s="77"/>
      <c r="M244" s="77"/>
      <c r="N244" s="77"/>
      <c r="O244" s="77"/>
      <c r="P244" s="77"/>
      <c r="Q244" s="3"/>
      <c r="R244" s="3"/>
      <c r="S244" s="3"/>
      <c r="T244" s="3"/>
      <c r="U244" s="3"/>
      <c r="V244" s="3"/>
      <c r="W244" s="3"/>
      <c r="X244" s="3"/>
      <c r="Y244" s="3"/>
      <c r="Z244" s="3"/>
      <c r="AA244" s="3"/>
      <c r="AB244" s="3"/>
      <c r="AC244" s="3"/>
      <c r="AD244" s="3"/>
      <c r="AE244" s="3"/>
      <c r="AF244" s="3"/>
      <c r="AG244" s="3"/>
      <c r="AH244" s="3"/>
      <c r="AI244" s="3"/>
      <c r="AJ244" s="3"/>
      <c r="AK244" s="3"/>
      <c r="AL244" s="3"/>
    </row>
    <row r="245" spans="1:38" x14ac:dyDescent="0.2">
      <c r="A245" s="3"/>
      <c r="B245" s="542" t="s">
        <v>326</v>
      </c>
      <c r="C245" s="77"/>
      <c r="D245" s="77"/>
      <c r="E245" s="77"/>
      <c r="F245" s="77"/>
      <c r="G245" s="77"/>
      <c r="H245" s="77"/>
      <c r="I245" s="77"/>
      <c r="J245" s="77"/>
      <c r="K245" s="77"/>
      <c r="L245" s="77"/>
      <c r="M245" s="77"/>
      <c r="N245" s="77"/>
      <c r="O245" s="77"/>
      <c r="P245" s="77"/>
      <c r="Q245" s="3"/>
      <c r="R245" s="3"/>
      <c r="S245" s="3"/>
      <c r="T245" s="3"/>
      <c r="U245" s="3"/>
      <c r="V245" s="3"/>
      <c r="W245" s="3"/>
      <c r="X245" s="3"/>
      <c r="Y245" s="3"/>
      <c r="Z245" s="3"/>
      <c r="AA245" s="3"/>
      <c r="AB245" s="3"/>
      <c r="AC245" s="3"/>
      <c r="AD245" s="3"/>
      <c r="AE245" s="3"/>
      <c r="AF245" s="3"/>
      <c r="AG245" s="3"/>
      <c r="AH245" s="3"/>
      <c r="AI245" s="3"/>
      <c r="AJ245" s="3"/>
      <c r="AK245" s="3"/>
      <c r="AL245" s="3"/>
    </row>
    <row r="246" spans="1:38" x14ac:dyDescent="0.2">
      <c r="A246" s="3"/>
      <c r="B246" s="732"/>
      <c r="C246" s="77"/>
      <c r="D246" s="77"/>
      <c r="E246" s="77"/>
      <c r="F246" s="77"/>
      <c r="G246" s="77"/>
      <c r="H246" s="77"/>
      <c r="I246" s="77"/>
      <c r="J246" s="77"/>
      <c r="K246" s="77"/>
      <c r="L246" s="77"/>
      <c r="M246" s="77"/>
      <c r="N246" s="77"/>
      <c r="O246" s="77"/>
      <c r="P246" s="77"/>
      <c r="Q246" s="3"/>
      <c r="R246" s="3"/>
      <c r="S246" s="3"/>
      <c r="T246" s="3"/>
      <c r="U246" s="3"/>
      <c r="V246" s="3"/>
      <c r="W246" s="3"/>
      <c r="X246" s="3"/>
      <c r="Y246" s="3"/>
      <c r="Z246" s="3"/>
      <c r="AA246" s="3"/>
      <c r="AB246" s="3"/>
      <c r="AC246" s="3"/>
      <c r="AD246" s="3"/>
      <c r="AE246" s="3"/>
      <c r="AF246" s="3"/>
      <c r="AG246" s="3"/>
      <c r="AH246" s="3"/>
      <c r="AI246" s="3"/>
      <c r="AJ246" s="3"/>
      <c r="AK246" s="3"/>
      <c r="AL246" s="3"/>
    </row>
    <row r="247" spans="1:38" ht="12" x14ac:dyDescent="0.25">
      <c r="A247" s="3"/>
      <c r="B247" s="733" t="str">
        <f>'WK1 - Identification'!C24</f>
        <v>1. Does the council have any existing SV(s) that means it has an increase above the rate peg for any year from 2023-24 (Year 1) onwards?</v>
      </c>
      <c r="C247" s="77"/>
      <c r="D247" s="77"/>
      <c r="E247" s="77"/>
      <c r="F247" s="77"/>
      <c r="G247" s="77"/>
      <c r="H247" s="77"/>
      <c r="I247" s="77"/>
      <c r="J247" s="77"/>
      <c r="K247" s="77"/>
      <c r="L247" s="77"/>
      <c r="M247" s="77"/>
      <c r="N247" s="77"/>
      <c r="O247" s="77"/>
      <c r="P247" s="77"/>
      <c r="Q247" s="3"/>
      <c r="R247" s="3"/>
      <c r="S247" s="3"/>
      <c r="T247" s="3"/>
      <c r="U247" s="3"/>
      <c r="V247" s="3"/>
      <c r="W247" s="3"/>
      <c r="X247" s="3"/>
      <c r="Y247" s="3"/>
      <c r="Z247" s="3"/>
      <c r="AA247" s="3"/>
      <c r="AB247" s="3"/>
      <c r="AC247" s="3"/>
      <c r="AD247" s="3"/>
      <c r="AE247" s="3"/>
      <c r="AF247" s="3"/>
      <c r="AG247" s="3"/>
      <c r="AH247" s="3"/>
      <c r="AI247" s="3"/>
      <c r="AJ247" s="3"/>
      <c r="AK247" s="3"/>
      <c r="AL247" s="3"/>
    </row>
    <row r="248" spans="1:38" x14ac:dyDescent="0.2">
      <c r="A248" s="3"/>
      <c r="B248" s="1209" t="s">
        <v>327</v>
      </c>
      <c r="C248" s="77"/>
      <c r="D248" s="77"/>
      <c r="E248" s="77"/>
      <c r="F248" s="77"/>
      <c r="G248" s="77"/>
      <c r="H248" s="77"/>
      <c r="I248" s="77"/>
      <c r="J248" s="77"/>
      <c r="K248" s="77"/>
      <c r="L248" s="77"/>
      <c r="M248" s="77"/>
      <c r="N248" s="77"/>
      <c r="O248" s="77"/>
      <c r="P248" s="77"/>
      <c r="Q248" s="3"/>
      <c r="R248" s="3"/>
      <c r="S248" s="3"/>
      <c r="T248" s="3"/>
      <c r="U248" s="3"/>
      <c r="V248" s="3"/>
      <c r="W248" s="3"/>
      <c r="X248" s="3"/>
      <c r="Y248" s="3"/>
      <c r="Z248" s="3"/>
      <c r="AA248" s="3"/>
      <c r="AB248" s="3"/>
      <c r="AC248" s="3"/>
      <c r="AD248" s="3"/>
      <c r="AE248" s="3"/>
      <c r="AF248" s="3"/>
      <c r="AG248" s="3"/>
      <c r="AH248" s="3"/>
      <c r="AI248" s="3"/>
      <c r="AJ248" s="3"/>
      <c r="AK248" s="3"/>
      <c r="AL248" s="3"/>
    </row>
    <row r="249" spans="1:38" x14ac:dyDescent="0.2">
      <c r="A249" s="3"/>
      <c r="B249" s="542" t="s">
        <v>328</v>
      </c>
      <c r="C249" s="77"/>
      <c r="D249" s="77"/>
      <c r="E249" s="77"/>
      <c r="F249" s="77"/>
      <c r="G249" s="77"/>
      <c r="H249" s="77"/>
      <c r="I249" s="77"/>
      <c r="J249" s="77"/>
      <c r="K249" s="77"/>
      <c r="L249" s="77"/>
      <c r="M249" s="77"/>
      <c r="N249" s="77"/>
      <c r="O249" s="77"/>
      <c r="P249" s="77"/>
      <c r="Q249" s="3"/>
      <c r="R249" s="3"/>
      <c r="S249" s="3"/>
      <c r="T249" s="3"/>
      <c r="U249" s="3"/>
      <c r="V249" s="3"/>
      <c r="W249" s="3"/>
      <c r="X249" s="3"/>
      <c r="Y249" s="3"/>
      <c r="Z249" s="3"/>
      <c r="AA249" s="3"/>
      <c r="AB249" s="3"/>
      <c r="AC249" s="3"/>
      <c r="AD249" s="3"/>
      <c r="AE249" s="3"/>
      <c r="AF249" s="3"/>
      <c r="AG249" s="3"/>
      <c r="AH249" s="3"/>
      <c r="AI249" s="3"/>
      <c r="AJ249" s="3"/>
      <c r="AK249" s="3"/>
      <c r="AL249" s="3"/>
    </row>
    <row r="250" spans="1:38" x14ac:dyDescent="0.2">
      <c r="A250" s="3"/>
      <c r="B250" s="77"/>
      <c r="C250" s="77"/>
      <c r="D250" s="77"/>
      <c r="E250" s="77"/>
      <c r="F250" s="77"/>
      <c r="G250" s="77"/>
      <c r="H250" s="77"/>
      <c r="I250" s="77"/>
      <c r="J250" s="77"/>
      <c r="K250" s="77"/>
      <c r="L250" s="77"/>
      <c r="M250" s="77"/>
      <c r="N250" s="77"/>
      <c r="O250" s="77"/>
      <c r="P250" s="77"/>
      <c r="Q250" s="3"/>
      <c r="R250" s="3"/>
      <c r="S250" s="3"/>
      <c r="T250" s="3"/>
      <c r="U250" s="3"/>
      <c r="V250" s="3"/>
      <c r="W250" s="3"/>
      <c r="X250" s="3"/>
      <c r="Y250" s="3"/>
      <c r="Z250" s="3"/>
      <c r="AA250" s="3"/>
      <c r="AB250" s="3"/>
      <c r="AC250" s="3"/>
      <c r="AD250" s="3"/>
      <c r="AE250" s="3"/>
      <c r="AF250" s="3"/>
      <c r="AG250" s="3"/>
      <c r="AH250" s="3"/>
      <c r="AI250" s="3"/>
      <c r="AJ250" s="3"/>
      <c r="AK250" s="3"/>
      <c r="AL250" s="3"/>
    </row>
    <row r="251" spans="1:38" ht="12" x14ac:dyDescent="0.25">
      <c r="A251" s="3"/>
      <c r="B251" s="111" t="str">
        <f>'WK1 - Identification'!C38</f>
        <v>7. Does the council have an expiring variation? If yes, please specify when.</v>
      </c>
      <c r="C251" s="3"/>
      <c r="D251" s="3"/>
      <c r="E251" s="3"/>
      <c r="F251" s="3"/>
      <c r="G251" s="3"/>
      <c r="H251" s="3"/>
      <c r="I251" s="3"/>
      <c r="J251" s="3"/>
      <c r="K251" s="3"/>
      <c r="L251" s="77"/>
      <c r="M251" s="77"/>
      <c r="N251" s="77"/>
      <c r="O251" s="77"/>
      <c r="P251" s="77"/>
      <c r="Q251" s="3"/>
      <c r="R251" s="3"/>
      <c r="S251" s="3"/>
      <c r="T251" s="3"/>
      <c r="U251" s="3"/>
      <c r="V251" s="3"/>
      <c r="W251" s="3"/>
      <c r="X251" s="3"/>
      <c r="Y251" s="3"/>
      <c r="Z251" s="3"/>
      <c r="AA251" s="3"/>
      <c r="AB251" s="3"/>
      <c r="AC251" s="3"/>
      <c r="AD251" s="3"/>
      <c r="AE251" s="3"/>
      <c r="AF251" s="3"/>
      <c r="AG251" s="3"/>
      <c r="AH251" s="3"/>
      <c r="AI251" s="3"/>
      <c r="AJ251" s="3"/>
      <c r="AK251" s="3"/>
      <c r="AL251" s="3"/>
    </row>
    <row r="252" spans="1:38" x14ac:dyDescent="0.2">
      <c r="A252" s="3"/>
      <c r="B252" s="1199"/>
      <c r="C252" s="815"/>
      <c r="D252" s="815"/>
      <c r="E252" s="815"/>
      <c r="F252" s="815"/>
      <c r="G252" s="815"/>
      <c r="H252" s="815"/>
      <c r="I252" s="815"/>
      <c r="J252" s="918"/>
      <c r="K252" s="3"/>
      <c r="L252" s="77"/>
      <c r="M252" s="77"/>
      <c r="N252" s="77"/>
      <c r="O252" s="77"/>
      <c r="P252" s="77"/>
      <c r="Q252" s="3"/>
      <c r="R252" s="3"/>
      <c r="S252" s="3"/>
      <c r="T252" s="3"/>
      <c r="U252" s="3"/>
      <c r="V252" s="3"/>
      <c r="W252" s="3"/>
      <c r="X252" s="3"/>
      <c r="Y252" s="3"/>
      <c r="Z252" s="3"/>
      <c r="AA252" s="3"/>
      <c r="AB252" s="3"/>
      <c r="AC252" s="3"/>
      <c r="AD252" s="3"/>
      <c r="AE252" s="3"/>
      <c r="AF252" s="3"/>
      <c r="AG252" s="3"/>
      <c r="AH252" s="3"/>
      <c r="AI252" s="3"/>
      <c r="AJ252" s="3"/>
      <c r="AK252" s="3"/>
      <c r="AL252" s="3"/>
    </row>
    <row r="253" spans="1:38" x14ac:dyDescent="0.2">
      <c r="A253" s="3"/>
      <c r="B253" s="135"/>
      <c r="C253" s="77" t="s">
        <v>320</v>
      </c>
      <c r="D253" s="80" t="s">
        <v>321</v>
      </c>
      <c r="E253" s="1" t="s">
        <v>322</v>
      </c>
      <c r="F253" s="3"/>
      <c r="G253" s="3"/>
      <c r="H253" s="3" t="str">
        <f>D253</f>
        <v>Yr</v>
      </c>
      <c r="I253" s="3"/>
      <c r="J253" s="96"/>
      <c r="K253" s="3"/>
      <c r="L253" s="77"/>
      <c r="M253" s="77"/>
      <c r="N253" s="77"/>
      <c r="O253" s="77"/>
      <c r="P253" s="77"/>
      <c r="Q253" s="3"/>
      <c r="R253" s="3"/>
      <c r="S253" s="3"/>
      <c r="T253" s="3"/>
      <c r="U253" s="3"/>
      <c r="V253" s="3"/>
      <c r="W253" s="3"/>
      <c r="X253" s="3"/>
      <c r="Y253" s="3"/>
      <c r="Z253" s="3"/>
      <c r="AA253" s="3"/>
      <c r="AB253" s="3"/>
      <c r="AC253" s="3"/>
      <c r="AD253" s="3"/>
      <c r="AE253" s="3"/>
      <c r="AF253" s="3"/>
      <c r="AG253" s="3"/>
      <c r="AH253" s="3"/>
      <c r="AI253" s="3"/>
      <c r="AJ253" s="3"/>
      <c r="AK253" s="3"/>
      <c r="AL253" s="3"/>
    </row>
    <row r="254" spans="1:38" x14ac:dyDescent="0.2">
      <c r="A254" s="3"/>
      <c r="B254" s="135"/>
      <c r="C254" s="529" t="s">
        <v>329</v>
      </c>
      <c r="D254" s="3"/>
      <c r="E254" s="3" t="str">
        <f>'WK1 - Identification'!I38</f>
        <v>1st Expiring SV</v>
      </c>
      <c r="F254" s="3"/>
      <c r="G254" s="3"/>
      <c r="H254" s="3" t="str">
        <f>'WK1 - Identification'!I39</f>
        <v>2nd Expiring SV</v>
      </c>
      <c r="I254" s="3"/>
      <c r="J254" s="96"/>
      <c r="K254" s="3"/>
      <c r="L254" s="77"/>
      <c r="M254" s="77"/>
      <c r="N254" s="77"/>
      <c r="O254" s="77"/>
      <c r="P254" s="77"/>
      <c r="Q254" s="3"/>
      <c r="R254" s="3"/>
      <c r="S254" s="3"/>
      <c r="T254" s="3"/>
      <c r="U254" s="3"/>
      <c r="V254" s="3"/>
      <c r="W254" s="3"/>
      <c r="X254" s="3"/>
      <c r="Y254" s="3"/>
      <c r="Z254" s="3"/>
      <c r="AA254" s="3"/>
      <c r="AB254" s="3"/>
      <c r="AC254" s="3"/>
      <c r="AD254" s="3"/>
      <c r="AE254" s="3"/>
      <c r="AF254" s="3"/>
      <c r="AG254" s="3"/>
      <c r="AH254" s="3"/>
      <c r="AI254" s="3"/>
      <c r="AJ254" s="3"/>
      <c r="AK254" s="3"/>
      <c r="AL254" s="3"/>
    </row>
    <row r="255" spans="1:38" x14ac:dyDescent="0.2">
      <c r="A255" s="3"/>
      <c r="B255" s="135"/>
      <c r="C255" s="529" t="s">
        <v>330</v>
      </c>
      <c r="D255" s="3"/>
      <c r="E255" s="3"/>
      <c r="F255" s="3"/>
      <c r="G255" s="3"/>
      <c r="H255" s="3"/>
      <c r="I255" s="3"/>
      <c r="J255" s="96"/>
      <c r="K255" s="3"/>
      <c r="L255" s="77"/>
      <c r="M255" s="77"/>
      <c r="N255" s="77"/>
      <c r="O255" s="77"/>
      <c r="P255" s="77"/>
      <c r="Q255" s="3"/>
      <c r="R255" s="3"/>
      <c r="S255" s="3"/>
      <c r="T255" s="3"/>
      <c r="U255" s="3"/>
      <c r="V255" s="3"/>
      <c r="W255" s="3"/>
      <c r="X255" s="3"/>
      <c r="Y255" s="3"/>
      <c r="Z255" s="3"/>
      <c r="AA255" s="3"/>
      <c r="AB255" s="3"/>
      <c r="AC255" s="3"/>
      <c r="AD255" s="3"/>
      <c r="AE255" s="3"/>
      <c r="AF255" s="3"/>
      <c r="AG255" s="3"/>
      <c r="AH255" s="3"/>
      <c r="AI255" s="3"/>
      <c r="AJ255" s="3"/>
      <c r="AK255" s="3"/>
      <c r="AL255" s="3"/>
    </row>
    <row r="256" spans="1:38" x14ac:dyDescent="0.2">
      <c r="A256" s="3"/>
      <c r="B256" s="97"/>
      <c r="C256" s="537" t="s">
        <v>331</v>
      </c>
      <c r="D256" s="93"/>
      <c r="E256" s="93"/>
      <c r="F256" s="93"/>
      <c r="G256" s="93"/>
      <c r="H256" s="93"/>
      <c r="I256" s="93"/>
      <c r="J256" s="98"/>
      <c r="K256" s="3"/>
      <c r="L256" s="77"/>
      <c r="M256" s="77"/>
      <c r="N256" s="77"/>
      <c r="O256" s="77"/>
      <c r="P256" s="77"/>
      <c r="Q256" s="3"/>
      <c r="R256" s="3"/>
      <c r="S256" s="3"/>
      <c r="T256" s="3"/>
      <c r="U256" s="3"/>
      <c r="V256" s="3"/>
      <c r="W256" s="3"/>
      <c r="X256" s="3"/>
      <c r="Y256" s="3"/>
      <c r="Z256" s="3"/>
      <c r="AA256" s="3"/>
      <c r="AB256" s="3"/>
      <c r="AC256" s="3"/>
      <c r="AD256" s="3"/>
      <c r="AE256" s="3"/>
      <c r="AF256" s="3"/>
      <c r="AG256" s="3"/>
      <c r="AH256" s="3"/>
      <c r="AI256" s="3"/>
      <c r="AJ256" s="3"/>
      <c r="AK256" s="3"/>
      <c r="AL256" s="3"/>
    </row>
    <row r="257" spans="1:38" x14ac:dyDescent="0.2">
      <c r="A257" s="3"/>
      <c r="B257" s="135"/>
      <c r="C257" s="3"/>
      <c r="D257" s="3"/>
      <c r="E257" s="529" t="s">
        <v>129</v>
      </c>
      <c r="F257" s="3"/>
      <c r="G257" s="3"/>
      <c r="H257" s="529" t="s">
        <v>129</v>
      </c>
      <c r="I257" s="3"/>
      <c r="J257" s="96"/>
      <c r="K257" s="3"/>
      <c r="L257" s="77"/>
      <c r="M257" s="77"/>
      <c r="N257" s="77"/>
      <c r="O257" s="77"/>
      <c r="P257" s="77"/>
      <c r="Q257" s="3"/>
      <c r="R257" s="3"/>
      <c r="S257" s="3"/>
      <c r="T257" s="3"/>
      <c r="U257" s="3"/>
      <c r="V257" s="3"/>
      <c r="W257" s="3"/>
      <c r="X257" s="3"/>
      <c r="Y257" s="3"/>
      <c r="Z257" s="3"/>
      <c r="AA257" s="3"/>
      <c r="AB257" s="3"/>
      <c r="AC257" s="3"/>
      <c r="AD257" s="3"/>
      <c r="AE257" s="3"/>
      <c r="AF257" s="3"/>
      <c r="AG257" s="3"/>
      <c r="AH257" s="3"/>
      <c r="AI257" s="3"/>
      <c r="AJ257" s="3"/>
      <c r="AK257" s="3"/>
      <c r="AL257" s="3"/>
    </row>
    <row r="258" spans="1:38" x14ac:dyDescent="0.2">
      <c r="A258" s="3"/>
      <c r="B258" s="135"/>
      <c r="C258" s="3">
        <f t="array" ref="C258:C265">TRANSPOSE($I$57:$R$57)</f>
        <v>2023</v>
      </c>
      <c r="D258" s="3"/>
      <c r="E258" s="1" t="str">
        <f>$C$254&amp;C258&amp;$C$256</f>
        <v>Yes - 30 June 2023 expiry</v>
      </c>
      <c r="F258" s="3"/>
      <c r="G258" s="3"/>
      <c r="H258" s="1" t="str">
        <f>$C$255&amp;C258&amp;$C$256</f>
        <v>&amp; 30 June 2023 expiry</v>
      </c>
      <c r="I258" s="3"/>
      <c r="J258" s="96"/>
      <c r="K258" s="3"/>
      <c r="L258" s="77"/>
      <c r="M258" s="77"/>
      <c r="N258" s="77"/>
      <c r="O258" s="77"/>
      <c r="P258" s="77"/>
      <c r="Q258" s="3"/>
      <c r="R258" s="3"/>
      <c r="S258" s="3"/>
      <c r="T258" s="3"/>
      <c r="U258" s="3"/>
      <c r="V258" s="3"/>
      <c r="W258" s="3"/>
      <c r="X258" s="3"/>
      <c r="Y258" s="3"/>
      <c r="Z258" s="3"/>
      <c r="AA258" s="3"/>
      <c r="AB258" s="3"/>
      <c r="AC258" s="3"/>
      <c r="AD258" s="3"/>
      <c r="AE258" s="3"/>
      <c r="AF258" s="3"/>
      <c r="AG258" s="3"/>
      <c r="AH258" s="3"/>
      <c r="AI258" s="3"/>
      <c r="AJ258" s="3"/>
      <c r="AK258" s="3"/>
      <c r="AL258" s="3"/>
    </row>
    <row r="259" spans="1:38" x14ac:dyDescent="0.2">
      <c r="A259" s="3"/>
      <c r="B259" s="135"/>
      <c r="C259" s="3">
        <v>2024</v>
      </c>
      <c r="D259" s="3"/>
      <c r="E259" s="1" t="str">
        <f t="shared" ref="E259:E265" si="18">$C$254&amp;C259&amp;$C$256</f>
        <v>Yes - 30 June 2024 expiry</v>
      </c>
      <c r="F259" s="3"/>
      <c r="G259" s="3"/>
      <c r="H259" s="1" t="str">
        <f t="shared" ref="H259:H265" si="19">$C$255&amp;C259&amp;$C$256</f>
        <v>&amp; 30 June 2024 expiry</v>
      </c>
      <c r="I259" s="3"/>
      <c r="J259" s="96"/>
      <c r="K259" s="3"/>
      <c r="L259" s="77"/>
      <c r="M259" s="77"/>
      <c r="N259" s="77"/>
      <c r="O259" s="77"/>
      <c r="P259" s="77"/>
      <c r="Q259" s="3"/>
      <c r="R259" s="3"/>
      <c r="S259" s="3"/>
      <c r="T259" s="3"/>
      <c r="U259" s="3"/>
      <c r="V259" s="3"/>
      <c r="W259" s="3"/>
      <c r="X259" s="3"/>
      <c r="Y259" s="3"/>
      <c r="Z259" s="3"/>
      <c r="AA259" s="3"/>
      <c r="AB259" s="3"/>
      <c r="AC259" s="3"/>
      <c r="AD259" s="3"/>
      <c r="AE259" s="3"/>
      <c r="AF259" s="3"/>
      <c r="AG259" s="3"/>
      <c r="AH259" s="3"/>
      <c r="AI259" s="3"/>
      <c r="AJ259" s="3"/>
      <c r="AK259" s="3"/>
      <c r="AL259" s="3"/>
    </row>
    <row r="260" spans="1:38" x14ac:dyDescent="0.2">
      <c r="A260" s="3"/>
      <c r="B260" s="135"/>
      <c r="C260" s="3">
        <v>2025</v>
      </c>
      <c r="D260" s="3"/>
      <c r="E260" s="1" t="str">
        <f t="shared" si="18"/>
        <v>Yes - 30 June 2025 expiry</v>
      </c>
      <c r="F260" s="3"/>
      <c r="G260" s="3"/>
      <c r="H260" s="1" t="str">
        <f t="shared" si="19"/>
        <v>&amp; 30 June 2025 expiry</v>
      </c>
      <c r="I260" s="3"/>
      <c r="J260" s="96"/>
      <c r="K260" s="3"/>
      <c r="L260" s="77"/>
      <c r="M260" s="77"/>
      <c r="N260" s="77"/>
      <c r="O260" s="77"/>
      <c r="P260" s="77"/>
      <c r="Q260" s="3"/>
      <c r="R260" s="3"/>
      <c r="S260" s="3"/>
      <c r="T260" s="3"/>
      <c r="U260" s="3"/>
      <c r="V260" s="3"/>
      <c r="W260" s="3"/>
      <c r="X260" s="3"/>
      <c r="Y260" s="3"/>
      <c r="Z260" s="3"/>
      <c r="AA260" s="3"/>
      <c r="AB260" s="3"/>
      <c r="AC260" s="3"/>
      <c r="AD260" s="3"/>
      <c r="AE260" s="3"/>
      <c r="AF260" s="3"/>
      <c r="AG260" s="3"/>
      <c r="AH260" s="3"/>
      <c r="AI260" s="3"/>
      <c r="AJ260" s="3"/>
      <c r="AK260" s="3"/>
      <c r="AL260" s="3"/>
    </row>
    <row r="261" spans="1:38" x14ac:dyDescent="0.2">
      <c r="A261" s="3"/>
      <c r="B261" s="135"/>
      <c r="C261" s="3">
        <v>2026</v>
      </c>
      <c r="D261" s="3"/>
      <c r="E261" s="1" t="str">
        <f t="shared" si="18"/>
        <v>Yes - 30 June 2026 expiry</v>
      </c>
      <c r="F261" s="3"/>
      <c r="G261" s="3"/>
      <c r="H261" s="1" t="str">
        <f t="shared" si="19"/>
        <v>&amp; 30 June 2026 expiry</v>
      </c>
      <c r="I261" s="3"/>
      <c r="J261" s="96"/>
      <c r="K261" s="3"/>
      <c r="L261" s="77"/>
      <c r="M261" s="77"/>
      <c r="N261" s="77"/>
      <c r="O261" s="77"/>
      <c r="P261" s="77"/>
      <c r="Q261" s="3"/>
      <c r="R261" s="3"/>
      <c r="S261" s="3"/>
      <c r="T261" s="3"/>
      <c r="U261" s="3"/>
      <c r="V261" s="3"/>
      <c r="W261" s="3"/>
      <c r="X261" s="3"/>
      <c r="Y261" s="3"/>
      <c r="Z261" s="3"/>
      <c r="AA261" s="3"/>
      <c r="AB261" s="3"/>
      <c r="AC261" s="3"/>
      <c r="AD261" s="3"/>
      <c r="AE261" s="3"/>
      <c r="AF261" s="3"/>
      <c r="AG261" s="3"/>
      <c r="AH261" s="3"/>
      <c r="AI261" s="3"/>
      <c r="AJ261" s="3"/>
      <c r="AK261" s="3"/>
      <c r="AL261" s="3"/>
    </row>
    <row r="262" spans="1:38" x14ac:dyDescent="0.2">
      <c r="A262" s="3"/>
      <c r="B262" s="135"/>
      <c r="C262" s="3">
        <v>2027</v>
      </c>
      <c r="D262" s="3"/>
      <c r="E262" s="1" t="str">
        <f t="shared" si="18"/>
        <v>Yes - 30 June 2027 expiry</v>
      </c>
      <c r="F262" s="3"/>
      <c r="G262" s="3"/>
      <c r="H262" s="1" t="str">
        <f t="shared" si="19"/>
        <v>&amp; 30 June 2027 expiry</v>
      </c>
      <c r="I262" s="3"/>
      <c r="J262" s="96"/>
      <c r="K262" s="3"/>
      <c r="L262" s="77"/>
      <c r="M262" s="77"/>
      <c r="N262" s="77"/>
      <c r="O262" s="77"/>
      <c r="P262" s="77"/>
      <c r="Q262" s="3"/>
      <c r="R262" s="3"/>
      <c r="S262" s="3"/>
      <c r="T262" s="3"/>
      <c r="U262" s="3"/>
      <c r="V262" s="3"/>
      <c r="W262" s="3"/>
      <c r="X262" s="3"/>
      <c r="Y262" s="3"/>
      <c r="Z262" s="3"/>
      <c r="AA262" s="3"/>
      <c r="AB262" s="3"/>
      <c r="AC262" s="3"/>
      <c r="AD262" s="3"/>
      <c r="AE262" s="3"/>
      <c r="AF262" s="3"/>
      <c r="AG262" s="3"/>
      <c r="AH262" s="3"/>
      <c r="AI262" s="3"/>
      <c r="AJ262" s="3"/>
      <c r="AK262" s="3"/>
      <c r="AL262" s="3"/>
    </row>
    <row r="263" spans="1:38" x14ac:dyDescent="0.2">
      <c r="A263" s="3"/>
      <c r="B263" s="135"/>
      <c r="C263" s="3">
        <v>2028</v>
      </c>
      <c r="D263" s="3"/>
      <c r="E263" s="1" t="str">
        <f t="shared" si="18"/>
        <v>Yes - 30 June 2028 expiry</v>
      </c>
      <c r="F263" s="3"/>
      <c r="G263" s="3"/>
      <c r="H263" s="1" t="str">
        <f t="shared" si="19"/>
        <v>&amp; 30 June 2028 expiry</v>
      </c>
      <c r="I263" s="3"/>
      <c r="J263" s="96"/>
      <c r="K263" s="3"/>
      <c r="L263" s="77"/>
      <c r="M263" s="77"/>
      <c r="N263" s="77"/>
      <c r="O263" s="77"/>
      <c r="P263" s="77"/>
      <c r="Q263" s="3"/>
      <c r="R263" s="3"/>
      <c r="S263" s="3"/>
      <c r="T263" s="3"/>
      <c r="U263" s="3"/>
      <c r="V263" s="3"/>
      <c r="W263" s="3"/>
      <c r="X263" s="3"/>
      <c r="Y263" s="3"/>
      <c r="Z263" s="3"/>
      <c r="AA263" s="3"/>
      <c r="AB263" s="3"/>
      <c r="AC263" s="3"/>
      <c r="AD263" s="3"/>
      <c r="AE263" s="3"/>
      <c r="AF263" s="3"/>
      <c r="AG263" s="3"/>
      <c r="AH263" s="3"/>
      <c r="AI263" s="3"/>
      <c r="AJ263" s="3"/>
      <c r="AK263" s="3"/>
      <c r="AL263" s="3"/>
    </row>
    <row r="264" spans="1:38" x14ac:dyDescent="0.2">
      <c r="A264" s="3"/>
      <c r="B264" s="135"/>
      <c r="C264" s="3">
        <v>2029</v>
      </c>
      <c r="D264" s="3"/>
      <c r="E264" s="1" t="str">
        <f t="shared" si="18"/>
        <v>Yes - 30 June 2029 expiry</v>
      </c>
      <c r="F264" s="3"/>
      <c r="G264" s="3"/>
      <c r="H264" s="1" t="str">
        <f t="shared" si="19"/>
        <v>&amp; 30 June 2029 expiry</v>
      </c>
      <c r="I264" s="3"/>
      <c r="J264" s="96"/>
      <c r="K264" s="3"/>
      <c r="L264" s="77"/>
      <c r="M264" s="77"/>
      <c r="N264" s="77"/>
      <c r="O264" s="77"/>
      <c r="P264" s="77"/>
      <c r="Q264" s="3"/>
      <c r="R264" s="3"/>
      <c r="S264" s="3"/>
      <c r="T264" s="3"/>
      <c r="U264" s="3"/>
      <c r="V264" s="3"/>
      <c r="W264" s="3"/>
      <c r="X264" s="3"/>
      <c r="Y264" s="3"/>
      <c r="Z264" s="3"/>
      <c r="AA264" s="3"/>
      <c r="AB264" s="3"/>
      <c r="AC264" s="3"/>
      <c r="AD264" s="3"/>
      <c r="AE264" s="3"/>
      <c r="AF264" s="3"/>
      <c r="AG264" s="3"/>
      <c r="AH264" s="3"/>
      <c r="AI264" s="3"/>
      <c r="AJ264" s="3"/>
      <c r="AK264" s="3"/>
      <c r="AL264" s="3"/>
    </row>
    <row r="265" spans="1:38" x14ac:dyDescent="0.2">
      <c r="A265" s="3"/>
      <c r="B265" s="97"/>
      <c r="C265" s="93">
        <v>2030</v>
      </c>
      <c r="D265" s="93"/>
      <c r="E265" s="406" t="str">
        <f t="shared" si="18"/>
        <v>Yes - 30 June 2030 expiry</v>
      </c>
      <c r="F265" s="93"/>
      <c r="G265" s="93"/>
      <c r="H265" s="406" t="str">
        <f t="shared" si="19"/>
        <v>&amp; 30 June 2030 expiry</v>
      </c>
      <c r="I265" s="93"/>
      <c r="J265" s="98"/>
      <c r="K265" s="3"/>
      <c r="L265" s="77"/>
      <c r="M265" s="77"/>
      <c r="N265" s="77"/>
      <c r="O265" s="77"/>
      <c r="P265" s="77"/>
      <c r="Q265" s="3"/>
      <c r="R265" s="3"/>
      <c r="S265" s="3"/>
      <c r="T265" s="3"/>
      <c r="U265" s="3"/>
      <c r="V265" s="3"/>
      <c r="W265" s="3"/>
      <c r="X265" s="3"/>
      <c r="Y265" s="3"/>
      <c r="Z265" s="3"/>
      <c r="AA265" s="3"/>
      <c r="AB265" s="3"/>
      <c r="AC265" s="3"/>
      <c r="AD265" s="3"/>
      <c r="AE265" s="3"/>
      <c r="AF265" s="3"/>
      <c r="AG265" s="3"/>
      <c r="AH265" s="3"/>
      <c r="AI265" s="3"/>
      <c r="AJ265" s="3"/>
      <c r="AK265" s="3"/>
      <c r="AL265" s="3"/>
    </row>
    <row r="266" spans="1:38" x14ac:dyDescent="0.2">
      <c r="A266" s="3"/>
      <c r="B266" s="3"/>
      <c r="C266" s="3"/>
      <c r="D266" s="3"/>
      <c r="E266" s="3"/>
      <c r="F266" s="3"/>
      <c r="G266" s="3"/>
      <c r="H266" s="3"/>
      <c r="I266" s="3"/>
      <c r="J266" s="3"/>
      <c r="K266" s="3"/>
      <c r="L266" s="77"/>
      <c r="M266" s="77"/>
      <c r="N266" s="77"/>
      <c r="O266" s="77"/>
      <c r="P266" s="77"/>
      <c r="Q266" s="3"/>
      <c r="R266" s="3"/>
      <c r="S266" s="3"/>
      <c r="T266" s="3"/>
      <c r="U266" s="3"/>
      <c r="V266" s="3"/>
      <c r="W266" s="3"/>
      <c r="X266" s="3"/>
      <c r="Y266" s="3"/>
      <c r="Z266" s="3"/>
      <c r="AA266" s="3"/>
      <c r="AB266" s="3"/>
      <c r="AC266" s="3"/>
      <c r="AD266" s="3"/>
      <c r="AE266" s="3"/>
      <c r="AF266" s="3"/>
      <c r="AG266" s="3"/>
      <c r="AH266" s="3"/>
      <c r="AI266" s="3"/>
      <c r="AJ266" s="3"/>
      <c r="AK266" s="3"/>
      <c r="AL266" s="3"/>
    </row>
    <row r="267" spans="1:38" x14ac:dyDescent="0.2">
      <c r="A267" s="3"/>
      <c r="B267" s="3"/>
      <c r="C267" s="77"/>
      <c r="D267" s="77"/>
      <c r="E267" s="77"/>
      <c r="F267" s="77"/>
      <c r="G267" s="3"/>
      <c r="H267" s="3"/>
      <c r="I267" s="3"/>
      <c r="J267" s="3"/>
      <c r="K267" s="77"/>
      <c r="L267" s="77"/>
      <c r="M267" s="77"/>
      <c r="N267" s="77"/>
      <c r="O267" s="77"/>
      <c r="P267" s="77"/>
      <c r="Q267" s="3"/>
      <c r="R267" s="3"/>
      <c r="S267" s="3"/>
      <c r="T267" s="3"/>
      <c r="U267" s="3"/>
      <c r="V267" s="3"/>
      <c r="W267" s="3"/>
      <c r="X267" s="3"/>
      <c r="Y267" s="3"/>
      <c r="Z267" s="3"/>
      <c r="AA267" s="3"/>
      <c r="AB267" s="3"/>
      <c r="AC267" s="3"/>
      <c r="AD267" s="3"/>
      <c r="AE267" s="3"/>
      <c r="AF267" s="3"/>
      <c r="AG267" s="3"/>
      <c r="AH267" s="3"/>
      <c r="AI267" s="3"/>
      <c r="AJ267" s="3"/>
      <c r="AK267" s="3"/>
      <c r="AL267" s="3"/>
    </row>
    <row r="268" spans="1:38" ht="15.6" x14ac:dyDescent="0.3">
      <c r="A268" s="3"/>
      <c r="B268" s="4" t="s">
        <v>332</v>
      </c>
      <c r="D268" s="1058"/>
      <c r="L268" s="1058"/>
      <c r="M268" s="1058"/>
      <c r="P268" s="3"/>
      <c r="Q268" s="3"/>
      <c r="R268" s="3"/>
      <c r="S268" s="3"/>
      <c r="T268" s="3"/>
      <c r="U268" s="3"/>
      <c r="V268" s="3"/>
      <c r="W268" s="3"/>
      <c r="X268" s="3"/>
      <c r="Y268" s="3"/>
      <c r="Z268" s="3"/>
      <c r="AA268" s="3"/>
      <c r="AB268" s="3"/>
      <c r="AC268" s="3"/>
      <c r="AD268" s="3"/>
      <c r="AE268" s="3"/>
      <c r="AF268" s="3"/>
      <c r="AG268" s="3"/>
      <c r="AH268" s="3"/>
      <c r="AI268" s="3"/>
      <c r="AJ268" s="3"/>
      <c r="AK268" s="3"/>
      <c r="AL268" s="3"/>
    </row>
    <row r="269" spans="1:38" ht="12" x14ac:dyDescent="0.25">
      <c r="B269" s="1207"/>
      <c r="C269" s="1030"/>
      <c r="D269" s="1030"/>
      <c r="E269" s="1030"/>
      <c r="F269" s="1030"/>
      <c r="G269" s="1030"/>
      <c r="H269" s="1030"/>
      <c r="I269" s="1055"/>
      <c r="L269" s="1210" t="s">
        <v>333</v>
      </c>
      <c r="M269" s="1030"/>
      <c r="N269" s="1055"/>
      <c r="O269" s="1063" t="s">
        <v>334</v>
      </c>
    </row>
    <row r="270" spans="1:38" ht="48" x14ac:dyDescent="0.25">
      <c r="B270" s="1034" t="s">
        <v>335</v>
      </c>
      <c r="C270" s="1057" t="s">
        <v>336</v>
      </c>
      <c r="D270" s="1057" t="s">
        <v>337</v>
      </c>
      <c r="E270" s="1057" t="s">
        <v>338</v>
      </c>
      <c r="I270" s="768"/>
      <c r="L270" s="1059" t="s">
        <v>339</v>
      </c>
      <c r="M270" s="1062" t="s">
        <v>340</v>
      </c>
      <c r="N270" s="1052"/>
    </row>
    <row r="271" spans="1:38" ht="12" x14ac:dyDescent="0.25">
      <c r="B271" s="1053" t="str">
        <f>C68</f>
        <v>Albury City Council</v>
      </c>
      <c r="C271" t="s">
        <v>341</v>
      </c>
      <c r="D271" s="1137">
        <f>INDEX($L$271:$L$398,MATCH(C271,$M$271:$M$398,0))</f>
        <v>3.6999999999999998E-2</v>
      </c>
      <c r="E271" t="b">
        <f t="shared" ref="E271:E302" si="20">IF(ISNUMBER(SEARCH(C271,B271)),TRUE,FALSE)</f>
        <v>1</v>
      </c>
      <c r="I271" s="768"/>
      <c r="L271" s="1060">
        <v>3.6999999999999998E-2</v>
      </c>
      <c r="M271" s="1061" t="s">
        <v>341</v>
      </c>
      <c r="N271" s="768"/>
      <c r="P271" s="1091"/>
    </row>
    <row r="272" spans="1:38" ht="12" x14ac:dyDescent="0.25">
      <c r="B272" s="1053" t="str">
        <f t="shared" ref="B272:B292" si="21">C69</f>
        <v>Armidale Regional Council</v>
      </c>
      <c r="C272" t="s">
        <v>342</v>
      </c>
      <c r="D272" s="1137">
        <f t="shared" ref="D272:D335" si="22">INDEX($L$271:$L$398,MATCH(C272,$M$271:$M$398,0))</f>
        <v>3.6999999999999998E-2</v>
      </c>
      <c r="E272" t="b">
        <f t="shared" si="20"/>
        <v>1</v>
      </c>
      <c r="I272" s="768"/>
      <c r="L272" s="1060">
        <v>3.6999999999999998E-2</v>
      </c>
      <c r="M272" s="1061" t="s">
        <v>342</v>
      </c>
      <c r="N272" s="768"/>
      <c r="P272" s="1091"/>
    </row>
    <row r="273" spans="2:16" ht="12" x14ac:dyDescent="0.25">
      <c r="B273" s="1053" t="str">
        <f t="shared" si="21"/>
        <v>Ballina Shire Council</v>
      </c>
      <c r="C273" t="s">
        <v>343</v>
      </c>
      <c r="D273" s="1137">
        <f t="shared" si="22"/>
        <v>3.9E-2</v>
      </c>
      <c r="E273" t="b">
        <f t="shared" si="20"/>
        <v>1</v>
      </c>
      <c r="I273" s="768"/>
      <c r="L273" s="1060">
        <v>3.9E-2</v>
      </c>
      <c r="M273" s="1061" t="s">
        <v>343</v>
      </c>
      <c r="N273" s="768"/>
      <c r="P273" s="1091"/>
    </row>
    <row r="274" spans="2:16" x14ac:dyDescent="0.2">
      <c r="B274" s="1053" t="str">
        <f t="shared" si="21"/>
        <v>Balranald Shire Council</v>
      </c>
      <c r="C274" t="s">
        <v>344</v>
      </c>
      <c r="D274" s="1137">
        <f t="shared" si="22"/>
        <v>3.6999999999999998E-2</v>
      </c>
      <c r="E274" t="b">
        <f t="shared" si="20"/>
        <v>1</v>
      </c>
      <c r="I274" s="768"/>
      <c r="L274" s="1060">
        <v>3.6999999999999998E-2</v>
      </c>
      <c r="M274" s="1061" t="s">
        <v>344</v>
      </c>
      <c r="N274" s="768"/>
    </row>
    <row r="275" spans="2:16" x14ac:dyDescent="0.2">
      <c r="B275" s="1053" t="str">
        <f t="shared" si="21"/>
        <v>Bathurst Regional Council</v>
      </c>
      <c r="C275" t="s">
        <v>345</v>
      </c>
      <c r="D275" s="1137">
        <f t="shared" si="22"/>
        <v>3.7999999999999999E-2</v>
      </c>
      <c r="E275" t="b">
        <f t="shared" si="20"/>
        <v>1</v>
      </c>
      <c r="I275" s="768"/>
      <c r="L275" s="1060">
        <v>3.7999999999999999E-2</v>
      </c>
      <c r="M275" s="1061" t="s">
        <v>345</v>
      </c>
      <c r="N275" s="768"/>
    </row>
    <row r="276" spans="2:16" x14ac:dyDescent="0.2">
      <c r="B276" s="1053" t="str">
        <f t="shared" si="21"/>
        <v>Bayside Council</v>
      </c>
      <c r="C276" t="s">
        <v>346</v>
      </c>
      <c r="D276" s="1137">
        <f t="shared" si="22"/>
        <v>3.6999999999999998E-2</v>
      </c>
      <c r="E276" t="b">
        <f t="shared" si="20"/>
        <v>1</v>
      </c>
      <c r="I276" s="768"/>
      <c r="L276" s="1060">
        <v>3.6999999999999998E-2</v>
      </c>
      <c r="M276" s="1061" t="s">
        <v>346</v>
      </c>
      <c r="N276" s="768"/>
    </row>
    <row r="277" spans="2:16" x14ac:dyDescent="0.2">
      <c r="B277" s="1053" t="str">
        <f t="shared" si="21"/>
        <v>Bega Valley Shire Council</v>
      </c>
      <c r="C277" t="s">
        <v>347</v>
      </c>
      <c r="D277" s="1137">
        <f t="shared" si="22"/>
        <v>4.1000000000000002E-2</v>
      </c>
      <c r="E277" t="b">
        <f t="shared" si="20"/>
        <v>1</v>
      </c>
      <c r="I277" s="768"/>
      <c r="L277" s="1060">
        <v>4.1000000000000002E-2</v>
      </c>
      <c r="M277" s="1061" t="s">
        <v>347</v>
      </c>
      <c r="N277" s="768"/>
    </row>
    <row r="278" spans="2:16" x14ac:dyDescent="0.2">
      <c r="B278" s="1053" t="str">
        <f t="shared" si="21"/>
        <v>Bellingen Shire Council</v>
      </c>
      <c r="C278" t="s">
        <v>348</v>
      </c>
      <c r="D278" s="1137">
        <f t="shared" si="22"/>
        <v>4.4999999999999998E-2</v>
      </c>
      <c r="E278" t="b">
        <f t="shared" si="20"/>
        <v>1</v>
      </c>
      <c r="I278" s="768"/>
      <c r="L278" s="1060">
        <v>4.4999999999999998E-2</v>
      </c>
      <c r="M278" s="1061" t="s">
        <v>348</v>
      </c>
      <c r="N278" s="768"/>
    </row>
    <row r="279" spans="2:16" x14ac:dyDescent="0.2">
      <c r="B279" s="1053" t="str">
        <f t="shared" si="21"/>
        <v>Berrigan Shire Council</v>
      </c>
      <c r="C279" t="s">
        <v>349</v>
      </c>
      <c r="D279" s="1137">
        <f t="shared" si="22"/>
        <v>3.6999999999999998E-2</v>
      </c>
      <c r="E279" t="b">
        <f t="shared" si="20"/>
        <v>1</v>
      </c>
      <c r="I279" s="768"/>
      <c r="L279" s="1060">
        <v>3.6999999999999998E-2</v>
      </c>
      <c r="M279" s="1061" t="s">
        <v>349</v>
      </c>
      <c r="N279" s="768"/>
    </row>
    <row r="280" spans="2:16" x14ac:dyDescent="0.2">
      <c r="B280" s="1053" t="str">
        <f t="shared" si="21"/>
        <v>Blacktown City Council</v>
      </c>
      <c r="C280" t="s">
        <v>350</v>
      </c>
      <c r="D280" s="1137">
        <f t="shared" si="22"/>
        <v>3.6999999999999998E-2</v>
      </c>
      <c r="E280" t="b">
        <f t="shared" si="20"/>
        <v>1</v>
      </c>
      <c r="I280" s="768"/>
      <c r="L280" s="1060">
        <v>3.6999999999999998E-2</v>
      </c>
      <c r="M280" s="1061" t="s">
        <v>350</v>
      </c>
      <c r="N280" s="768"/>
    </row>
    <row r="281" spans="2:16" x14ac:dyDescent="0.2">
      <c r="B281" s="1053" t="str">
        <f t="shared" si="21"/>
        <v>Bland Shire Council</v>
      </c>
      <c r="C281" t="s">
        <v>351</v>
      </c>
      <c r="D281" s="1137">
        <f t="shared" si="22"/>
        <v>3.6999999999999998E-2</v>
      </c>
      <c r="E281" t="b">
        <f t="shared" si="20"/>
        <v>1</v>
      </c>
      <c r="I281" s="768"/>
      <c r="L281" s="1060">
        <v>3.6999999999999998E-2</v>
      </c>
      <c r="M281" s="1061" t="s">
        <v>351</v>
      </c>
      <c r="N281" s="768"/>
    </row>
    <row r="282" spans="2:16" x14ac:dyDescent="0.2">
      <c r="B282" s="1053" t="str">
        <f t="shared" si="21"/>
        <v>Blayney Shire Council</v>
      </c>
      <c r="C282" t="s">
        <v>352</v>
      </c>
      <c r="D282" s="1137">
        <f t="shared" si="22"/>
        <v>3.6999999999999998E-2</v>
      </c>
      <c r="E282" t="b">
        <f t="shared" si="20"/>
        <v>1</v>
      </c>
      <c r="I282" s="768"/>
      <c r="L282" s="1060">
        <v>3.6999999999999998E-2</v>
      </c>
      <c r="M282" s="1061" t="s">
        <v>352</v>
      </c>
      <c r="N282" s="768"/>
    </row>
    <row r="283" spans="2:16" x14ac:dyDescent="0.2">
      <c r="B283" s="1053" t="str">
        <f t="shared" si="21"/>
        <v>Blue Mountains City Council</v>
      </c>
      <c r="C283" t="s">
        <v>353</v>
      </c>
      <c r="D283" s="1137">
        <f t="shared" si="22"/>
        <v>3.6999999999999998E-2</v>
      </c>
      <c r="E283" t="b">
        <f t="shared" si="20"/>
        <v>1</v>
      </c>
      <c r="I283" s="768"/>
      <c r="L283" s="1060">
        <v>3.6999999999999998E-2</v>
      </c>
      <c r="M283" s="1061" t="s">
        <v>353</v>
      </c>
      <c r="N283" s="768"/>
    </row>
    <row r="284" spans="2:16" x14ac:dyDescent="0.2">
      <c r="B284" s="1053" t="str">
        <f t="shared" si="21"/>
        <v>Bogan Shire Council</v>
      </c>
      <c r="C284" t="s">
        <v>354</v>
      </c>
      <c r="D284" s="1137">
        <f t="shared" si="22"/>
        <v>3.6999999999999998E-2</v>
      </c>
      <c r="E284" t="b">
        <f t="shared" si="20"/>
        <v>1</v>
      </c>
      <c r="I284" s="768"/>
      <c r="L284" s="1060">
        <v>3.6999999999999998E-2</v>
      </c>
      <c r="M284" s="1061" t="s">
        <v>354</v>
      </c>
      <c r="N284" s="768"/>
    </row>
    <row r="285" spans="2:16" x14ac:dyDescent="0.2">
      <c r="B285" s="1053" t="str">
        <f t="shared" si="21"/>
        <v>Bourke Shire Council</v>
      </c>
      <c r="C285" t="s">
        <v>355</v>
      </c>
      <c r="D285" s="1137">
        <f t="shared" si="22"/>
        <v>3.6999999999999998E-2</v>
      </c>
      <c r="E285" t="b">
        <f t="shared" si="20"/>
        <v>1</v>
      </c>
      <c r="I285" s="768"/>
      <c r="L285" s="1060">
        <v>3.6999999999999998E-2</v>
      </c>
      <c r="M285" s="1061" t="s">
        <v>355</v>
      </c>
      <c r="N285" s="768"/>
    </row>
    <row r="286" spans="2:16" x14ac:dyDescent="0.2">
      <c r="B286" s="1053" t="str">
        <f t="shared" si="21"/>
        <v>Brewarrina Shire Council</v>
      </c>
      <c r="C286" t="s">
        <v>356</v>
      </c>
      <c r="D286" s="1137">
        <f t="shared" si="22"/>
        <v>3.6999999999999998E-2</v>
      </c>
      <c r="E286" t="b">
        <f t="shared" si="20"/>
        <v>1</v>
      </c>
      <c r="I286" s="768"/>
      <c r="L286" s="1060">
        <v>3.6999999999999998E-2</v>
      </c>
      <c r="M286" s="1061" t="s">
        <v>356</v>
      </c>
      <c r="N286" s="768"/>
    </row>
    <row r="287" spans="2:16" x14ac:dyDescent="0.2">
      <c r="B287" s="1053" t="str">
        <f t="shared" si="21"/>
        <v>Broken Hill City Council</v>
      </c>
      <c r="C287" t="s">
        <v>357</v>
      </c>
      <c r="D287" s="1137">
        <f t="shared" si="22"/>
        <v>3.6999999999999998E-2</v>
      </c>
      <c r="E287" t="b">
        <f t="shared" si="20"/>
        <v>1</v>
      </c>
      <c r="I287" s="768"/>
      <c r="L287" s="1060">
        <v>3.6999999999999998E-2</v>
      </c>
      <c r="M287" s="1061" t="s">
        <v>357</v>
      </c>
      <c r="N287" s="768"/>
    </row>
    <row r="288" spans="2:16" x14ac:dyDescent="0.2">
      <c r="B288" s="1053" t="str">
        <f t="shared" si="21"/>
        <v>Burwood Council</v>
      </c>
      <c r="C288" t="s">
        <v>358</v>
      </c>
      <c r="D288" s="1137">
        <f t="shared" si="22"/>
        <v>3.6999999999999998E-2</v>
      </c>
      <c r="E288" t="b">
        <f t="shared" si="20"/>
        <v>1</v>
      </c>
      <c r="I288" s="768"/>
      <c r="L288" s="1060">
        <v>3.6999999999999998E-2</v>
      </c>
      <c r="M288" s="1061" t="s">
        <v>358</v>
      </c>
      <c r="N288" s="768"/>
    </row>
    <row r="289" spans="2:14" x14ac:dyDescent="0.2">
      <c r="B289" s="1053" t="str">
        <f t="shared" si="21"/>
        <v>Byron Shire Council</v>
      </c>
      <c r="C289" t="s">
        <v>359</v>
      </c>
      <c r="D289" s="1137">
        <f t="shared" si="22"/>
        <v>4.5999999999999999E-2</v>
      </c>
      <c r="E289" t="b">
        <f t="shared" si="20"/>
        <v>1</v>
      </c>
      <c r="I289" s="768"/>
      <c r="L289" s="1060">
        <v>4.5999999999999999E-2</v>
      </c>
      <c r="M289" s="1061" t="s">
        <v>359</v>
      </c>
      <c r="N289" s="768"/>
    </row>
    <row r="290" spans="2:14" x14ac:dyDescent="0.2">
      <c r="B290" s="1053" t="str">
        <f t="shared" si="21"/>
        <v>Cabonne Council</v>
      </c>
      <c r="C290" t="s">
        <v>360</v>
      </c>
      <c r="D290" s="1137">
        <f t="shared" si="22"/>
        <v>4.1000000000000002E-2</v>
      </c>
      <c r="E290" t="b">
        <f t="shared" si="20"/>
        <v>1</v>
      </c>
      <c r="I290" s="768"/>
      <c r="L290" s="1060">
        <v>4.1000000000000002E-2</v>
      </c>
      <c r="M290" s="1061" t="s">
        <v>360</v>
      </c>
      <c r="N290" s="768"/>
    </row>
    <row r="291" spans="2:14" x14ac:dyDescent="0.2">
      <c r="B291" s="1053" t="str">
        <f t="shared" si="21"/>
        <v>Camden Council</v>
      </c>
      <c r="C291" t="s">
        <v>361</v>
      </c>
      <c r="D291" s="1137">
        <f t="shared" si="22"/>
        <v>6.8000000000000005E-2</v>
      </c>
      <c r="E291" t="b">
        <f t="shared" si="20"/>
        <v>1</v>
      </c>
      <c r="I291" s="768"/>
      <c r="L291" s="1060">
        <v>6.8000000000000005E-2</v>
      </c>
      <c r="M291" s="1061" t="s">
        <v>361</v>
      </c>
      <c r="N291" s="768"/>
    </row>
    <row r="292" spans="2:14" x14ac:dyDescent="0.2">
      <c r="B292" s="1053" t="str">
        <f t="shared" si="21"/>
        <v>Campbelltown City Council</v>
      </c>
      <c r="C292" t="s">
        <v>362</v>
      </c>
      <c r="D292" s="1137">
        <f t="shared" si="22"/>
        <v>4.1000000000000002E-2</v>
      </c>
      <c r="E292" t="b">
        <f t="shared" si="20"/>
        <v>1</v>
      </c>
      <c r="I292" s="768"/>
      <c r="L292" s="1060">
        <v>4.1000000000000002E-2</v>
      </c>
      <c r="M292" s="1061" t="s">
        <v>362</v>
      </c>
      <c r="N292" s="768"/>
    </row>
    <row r="293" spans="2:14" x14ac:dyDescent="0.2">
      <c r="B293" s="1053" t="str">
        <f t="shared" ref="B293:B335" si="23">C90</f>
        <v>Canterbury-Bankstown Council</v>
      </c>
      <c r="C293" t="s">
        <v>363</v>
      </c>
      <c r="D293" s="1137">
        <f t="shared" si="22"/>
        <v>3.6999999999999998E-2</v>
      </c>
      <c r="E293" t="b">
        <f t="shared" si="20"/>
        <v>1</v>
      </c>
      <c r="I293" s="768"/>
      <c r="L293" s="1060">
        <v>3.6999999999999998E-2</v>
      </c>
      <c r="M293" s="1061" t="s">
        <v>364</v>
      </c>
      <c r="N293" s="768"/>
    </row>
    <row r="294" spans="2:14" x14ac:dyDescent="0.2">
      <c r="B294" s="1053" t="str">
        <f t="shared" si="23"/>
        <v>Carrathool Shire Council</v>
      </c>
      <c r="C294" t="s">
        <v>365</v>
      </c>
      <c r="D294" s="1137">
        <f t="shared" si="22"/>
        <v>3.6999999999999998E-2</v>
      </c>
      <c r="E294" t="b">
        <f t="shared" si="20"/>
        <v>1</v>
      </c>
      <c r="I294" s="768"/>
      <c r="L294" s="1060">
        <v>3.6999999999999998E-2</v>
      </c>
      <c r="M294" s="1061" t="s">
        <v>363</v>
      </c>
      <c r="N294" s="768"/>
    </row>
    <row r="295" spans="2:14" x14ac:dyDescent="0.2">
      <c r="B295" s="1053" t="str">
        <f t="shared" si="23"/>
        <v>Central Coast Council</v>
      </c>
      <c r="C295" t="s">
        <v>366</v>
      </c>
      <c r="D295" s="1137">
        <f t="shared" si="22"/>
        <v>3.7999999999999999E-2</v>
      </c>
      <c r="E295" t="b">
        <f t="shared" si="20"/>
        <v>1</v>
      </c>
      <c r="I295" s="768"/>
      <c r="L295" s="1060">
        <v>3.6999999999999998E-2</v>
      </c>
      <c r="M295" s="1061" t="s">
        <v>365</v>
      </c>
      <c r="N295" s="768"/>
    </row>
    <row r="296" spans="2:14" x14ac:dyDescent="0.2">
      <c r="B296" s="1053" t="str">
        <f t="shared" si="23"/>
        <v>Central Darling Shire Council</v>
      </c>
      <c r="C296" t="s">
        <v>367</v>
      </c>
      <c r="D296" s="1137">
        <f t="shared" si="22"/>
        <v>3.6999999999999998E-2</v>
      </c>
      <c r="E296" t="b">
        <f t="shared" si="20"/>
        <v>1</v>
      </c>
      <c r="I296" s="768"/>
      <c r="L296" s="1060">
        <v>3.7999999999999999E-2</v>
      </c>
      <c r="M296" s="1061" t="s">
        <v>366</v>
      </c>
      <c r="N296" s="768"/>
    </row>
    <row r="297" spans="2:14" x14ac:dyDescent="0.2">
      <c r="B297" s="1053" t="str">
        <f t="shared" si="23"/>
        <v>Cessnock City Council</v>
      </c>
      <c r="C297" t="s">
        <v>368</v>
      </c>
      <c r="D297" s="1137">
        <f t="shared" si="22"/>
        <v>3.7999999999999999E-2</v>
      </c>
      <c r="E297" t="b">
        <f t="shared" si="20"/>
        <v>1</v>
      </c>
      <c r="I297" s="768"/>
      <c r="L297" s="1060">
        <v>3.6999999999999998E-2</v>
      </c>
      <c r="M297" s="1061" t="s">
        <v>367</v>
      </c>
      <c r="N297" s="768"/>
    </row>
    <row r="298" spans="2:14" x14ac:dyDescent="0.2">
      <c r="B298" s="1053" t="str">
        <f t="shared" si="23"/>
        <v>City of Canada Bay Council</v>
      </c>
      <c r="C298" t="s">
        <v>364</v>
      </c>
      <c r="D298" s="1137">
        <f t="shared" si="22"/>
        <v>3.6999999999999998E-2</v>
      </c>
      <c r="E298" t="b">
        <f t="shared" si="20"/>
        <v>1</v>
      </c>
      <c r="I298" s="768"/>
      <c r="L298" s="1060">
        <v>3.7999999999999999E-2</v>
      </c>
      <c r="M298" s="1061" t="s">
        <v>368</v>
      </c>
      <c r="N298" s="768"/>
    </row>
    <row r="299" spans="2:14" x14ac:dyDescent="0.2">
      <c r="B299" s="1053" t="str">
        <f t="shared" si="23"/>
        <v>City of Parramatta Council</v>
      </c>
      <c r="C299" t="s">
        <v>369</v>
      </c>
      <c r="D299" s="1137">
        <f t="shared" si="22"/>
        <v>3.6999999999999998E-2</v>
      </c>
      <c r="E299" t="b">
        <f>IF(ISNUMBER(SEARCH(C299,B299)),TRUE,FALSE)</f>
        <v>0</v>
      </c>
      <c r="F299" s="1063" t="s">
        <v>370</v>
      </c>
      <c r="I299" s="768"/>
      <c r="L299" s="1060">
        <v>5.3999999999999999E-2</v>
      </c>
      <c r="M299" s="1061" t="s">
        <v>371</v>
      </c>
      <c r="N299" s="768"/>
    </row>
    <row r="300" spans="2:14" x14ac:dyDescent="0.2">
      <c r="B300" s="1053" t="str">
        <f t="shared" si="23"/>
        <v>City of Ryde Council</v>
      </c>
      <c r="C300" t="s">
        <v>372</v>
      </c>
      <c r="D300" s="1137">
        <f t="shared" si="22"/>
        <v>3.6999999999999998E-2</v>
      </c>
      <c r="E300" t="b">
        <f t="shared" si="20"/>
        <v>1</v>
      </c>
      <c r="I300" s="768"/>
      <c r="L300" s="1060">
        <v>3.6999999999999998E-2</v>
      </c>
      <c r="M300" s="1061" t="s">
        <v>373</v>
      </c>
      <c r="N300" s="768"/>
    </row>
    <row r="301" spans="2:14" x14ac:dyDescent="0.2">
      <c r="B301" s="1053" t="str">
        <f t="shared" si="23"/>
        <v>City of Sydney Council</v>
      </c>
      <c r="C301" t="s">
        <v>374</v>
      </c>
      <c r="D301" s="1137">
        <f t="shared" si="22"/>
        <v>3.6999999999999998E-2</v>
      </c>
      <c r="E301" t="b">
        <f t="shared" si="20"/>
        <v>1</v>
      </c>
      <c r="I301" s="768"/>
      <c r="L301" s="1060">
        <v>3.7999999999999999E-2</v>
      </c>
      <c r="M301" s="1061" t="s">
        <v>375</v>
      </c>
      <c r="N301" s="768"/>
    </row>
    <row r="302" spans="2:14" x14ac:dyDescent="0.2">
      <c r="B302" s="1053" t="str">
        <f t="shared" si="23"/>
        <v>Clarence Valley Council</v>
      </c>
      <c r="C302" t="s">
        <v>371</v>
      </c>
      <c r="D302" s="1137">
        <f t="shared" si="22"/>
        <v>5.3999999999999999E-2</v>
      </c>
      <c r="E302" t="b">
        <f t="shared" si="20"/>
        <v>1</v>
      </c>
      <c r="I302" s="768"/>
      <c r="L302" s="1060">
        <v>3.6999999999999998E-2</v>
      </c>
      <c r="M302" s="1061" t="s">
        <v>376</v>
      </c>
      <c r="N302" s="768"/>
    </row>
    <row r="303" spans="2:14" x14ac:dyDescent="0.2">
      <c r="B303" s="1053" t="str">
        <f t="shared" si="23"/>
        <v>Cobar Shire Council</v>
      </c>
      <c r="C303" t="s">
        <v>373</v>
      </c>
      <c r="D303" s="1137">
        <f t="shared" si="22"/>
        <v>3.6999999999999998E-2</v>
      </c>
      <c r="E303" t="b">
        <f t="shared" ref="E303:E334" si="24">IF(ISNUMBER(SEARCH(C303,B303)),TRUE,FALSE)</f>
        <v>1</v>
      </c>
      <c r="I303" s="768"/>
      <c r="L303" s="1060">
        <v>3.6999999999999998E-2</v>
      </c>
      <c r="M303" s="1061" t="s">
        <v>377</v>
      </c>
      <c r="N303" s="768"/>
    </row>
    <row r="304" spans="2:14" x14ac:dyDescent="0.2">
      <c r="B304" s="1053" t="str">
        <f t="shared" si="23"/>
        <v>Coffs Harbour City Council</v>
      </c>
      <c r="C304" t="s">
        <v>375</v>
      </c>
      <c r="D304" s="1137">
        <f t="shared" si="22"/>
        <v>3.7999999999999999E-2</v>
      </c>
      <c r="E304" t="b">
        <f t="shared" si="24"/>
        <v>1</v>
      </c>
      <c r="I304" s="768"/>
      <c r="L304" s="1060">
        <v>3.6999999999999998E-2</v>
      </c>
      <c r="M304" s="1061" t="s">
        <v>378</v>
      </c>
      <c r="N304" s="768"/>
    </row>
    <row r="305" spans="2:14" x14ac:dyDescent="0.2">
      <c r="B305" s="1053" t="str">
        <f t="shared" si="23"/>
        <v>Coolamon Shire Council</v>
      </c>
      <c r="C305" t="s">
        <v>376</v>
      </c>
      <c r="D305" s="1137">
        <f t="shared" si="22"/>
        <v>3.6999999999999998E-2</v>
      </c>
      <c r="E305" t="b">
        <f t="shared" si="24"/>
        <v>1</v>
      </c>
      <c r="I305" s="768"/>
      <c r="L305" s="1060">
        <v>3.9E-2</v>
      </c>
      <c r="M305" s="1061" t="s">
        <v>379</v>
      </c>
      <c r="N305" s="768"/>
    </row>
    <row r="306" spans="2:14" x14ac:dyDescent="0.2">
      <c r="B306" s="1053" t="str">
        <f t="shared" si="23"/>
        <v>Coonamble Shire Council</v>
      </c>
      <c r="C306" t="s">
        <v>377</v>
      </c>
      <c r="D306" s="1137">
        <f t="shared" si="22"/>
        <v>3.6999999999999998E-2</v>
      </c>
      <c r="E306" t="b">
        <f t="shared" si="24"/>
        <v>1</v>
      </c>
      <c r="I306" s="768"/>
      <c r="L306" s="1060">
        <v>3.6999999999999998E-2</v>
      </c>
      <c r="M306" s="1061" t="s">
        <v>380</v>
      </c>
      <c r="N306" s="768"/>
    </row>
    <row r="307" spans="2:14" x14ac:dyDescent="0.2">
      <c r="B307" s="1053" t="str">
        <f t="shared" si="23"/>
        <v>Cootamundra-Gundagai Council</v>
      </c>
      <c r="C307" t="s">
        <v>378</v>
      </c>
      <c r="D307" s="1137">
        <f t="shared" si="22"/>
        <v>3.6999999999999998E-2</v>
      </c>
      <c r="E307" t="b">
        <f t="shared" si="24"/>
        <v>0</v>
      </c>
      <c r="F307" s="1063" t="s">
        <v>370</v>
      </c>
      <c r="I307" s="768"/>
      <c r="L307" s="1060">
        <v>3.6999999999999998E-2</v>
      </c>
      <c r="M307" s="1061" t="s">
        <v>381</v>
      </c>
      <c r="N307" s="768"/>
    </row>
    <row r="308" spans="2:14" x14ac:dyDescent="0.2">
      <c r="B308" s="1053" t="str">
        <f t="shared" si="23"/>
        <v>Cowra Shire Council</v>
      </c>
      <c r="C308" t="s">
        <v>379</v>
      </c>
      <c r="D308" s="1137">
        <f t="shared" si="22"/>
        <v>3.9E-2</v>
      </c>
      <c r="E308" t="b">
        <f t="shared" si="24"/>
        <v>1</v>
      </c>
      <c r="I308" s="768"/>
      <c r="L308" s="1060">
        <v>4.3999999999999997E-2</v>
      </c>
      <c r="M308" s="1061" t="s">
        <v>382</v>
      </c>
      <c r="N308" s="768"/>
    </row>
    <row r="309" spans="2:14" x14ac:dyDescent="0.2">
      <c r="B309" s="1053" t="str">
        <f t="shared" si="23"/>
        <v>Cumberland Council</v>
      </c>
      <c r="C309" t="s">
        <v>380</v>
      </c>
      <c r="D309" s="1137">
        <f t="shared" si="22"/>
        <v>3.6999999999999998E-2</v>
      </c>
      <c r="E309" t="b">
        <f t="shared" si="24"/>
        <v>1</v>
      </c>
      <c r="I309" s="768"/>
      <c r="L309" s="1060">
        <v>4.3999999999999997E-2</v>
      </c>
      <c r="M309" s="1061" t="s">
        <v>383</v>
      </c>
      <c r="N309" s="768"/>
    </row>
    <row r="310" spans="2:14" x14ac:dyDescent="0.2">
      <c r="B310" s="1053" t="str">
        <f t="shared" si="23"/>
        <v>Dubbo Regional Council</v>
      </c>
      <c r="C310" t="s">
        <v>381</v>
      </c>
      <c r="D310" s="1137">
        <f t="shared" si="22"/>
        <v>3.6999999999999998E-2</v>
      </c>
      <c r="E310" t="b">
        <f t="shared" si="24"/>
        <v>1</v>
      </c>
      <c r="I310" s="768"/>
      <c r="L310" s="1060">
        <v>4.2999999999999997E-2</v>
      </c>
      <c r="M310" s="1061" t="s">
        <v>384</v>
      </c>
      <c r="N310" s="768"/>
    </row>
    <row r="311" spans="2:14" x14ac:dyDescent="0.2">
      <c r="B311" s="1053" t="str">
        <f t="shared" si="23"/>
        <v>Dungog Shire Council</v>
      </c>
      <c r="C311" t="s">
        <v>382</v>
      </c>
      <c r="D311" s="1137">
        <f t="shared" si="22"/>
        <v>4.3999999999999997E-2</v>
      </c>
      <c r="E311" t="b">
        <f t="shared" si="24"/>
        <v>1</v>
      </c>
      <c r="I311" s="768"/>
      <c r="L311" s="1060">
        <v>3.6999999999999998E-2</v>
      </c>
      <c r="M311" s="1061" t="s">
        <v>385</v>
      </c>
      <c r="N311" s="768"/>
    </row>
    <row r="312" spans="2:14" x14ac:dyDescent="0.2">
      <c r="B312" s="1053" t="str">
        <f t="shared" si="23"/>
        <v>Edward River Council</v>
      </c>
      <c r="C312" t="s">
        <v>383</v>
      </c>
      <c r="D312" s="1137">
        <f t="shared" si="22"/>
        <v>4.3999999999999997E-2</v>
      </c>
      <c r="E312" t="b">
        <f t="shared" si="24"/>
        <v>1</v>
      </c>
      <c r="I312" s="768"/>
      <c r="L312" s="1060">
        <v>4.2999999999999997E-2</v>
      </c>
      <c r="M312" s="1061" t="s">
        <v>386</v>
      </c>
      <c r="N312" s="768"/>
    </row>
    <row r="313" spans="2:14" x14ac:dyDescent="0.2">
      <c r="B313" s="1053" t="str">
        <f t="shared" si="23"/>
        <v>Eurobodalla Shire Council</v>
      </c>
      <c r="C313" t="s">
        <v>384</v>
      </c>
      <c r="D313" s="1137">
        <f t="shared" si="22"/>
        <v>4.2999999999999997E-2</v>
      </c>
      <c r="E313" t="b">
        <f t="shared" si="24"/>
        <v>1</v>
      </c>
      <c r="I313" s="768"/>
      <c r="L313" s="1060">
        <v>3.7999999999999999E-2</v>
      </c>
      <c r="M313" s="1061" t="s">
        <v>387</v>
      </c>
      <c r="N313" s="768"/>
    </row>
    <row r="314" spans="2:14" x14ac:dyDescent="0.2">
      <c r="B314" s="1053" t="str">
        <f t="shared" si="23"/>
        <v>Fairfield City Council</v>
      </c>
      <c r="C314" t="s">
        <v>385</v>
      </c>
      <c r="D314" s="1137">
        <f t="shared" si="22"/>
        <v>3.6999999999999998E-2</v>
      </c>
      <c r="E314" t="b">
        <f t="shared" si="24"/>
        <v>1</v>
      </c>
      <c r="I314" s="768"/>
      <c r="L314" s="1060">
        <v>3.6999999999999998E-2</v>
      </c>
      <c r="M314" s="1061" t="s">
        <v>388</v>
      </c>
      <c r="N314" s="768"/>
    </row>
    <row r="315" spans="2:14" x14ac:dyDescent="0.2">
      <c r="B315" s="1053" t="str">
        <f t="shared" si="23"/>
        <v>Federation Council</v>
      </c>
      <c r="C315" t="s">
        <v>386</v>
      </c>
      <c r="D315" s="1137">
        <f t="shared" si="22"/>
        <v>4.2999999999999997E-2</v>
      </c>
      <c r="E315" t="b">
        <f t="shared" si="24"/>
        <v>1</v>
      </c>
      <c r="I315" s="768"/>
      <c r="L315" s="1060">
        <v>3.6999999999999998E-2</v>
      </c>
      <c r="M315" s="1061" t="s">
        <v>389</v>
      </c>
      <c r="N315" s="768"/>
    </row>
    <row r="316" spans="2:14" x14ac:dyDescent="0.2">
      <c r="B316" s="1053" t="str">
        <f t="shared" si="23"/>
        <v>Forbes Shire Council</v>
      </c>
      <c r="C316" t="s">
        <v>387</v>
      </c>
      <c r="D316" s="1137">
        <f t="shared" si="22"/>
        <v>3.7999999999999999E-2</v>
      </c>
      <c r="E316" t="b">
        <f t="shared" si="24"/>
        <v>1</v>
      </c>
      <c r="I316" s="768"/>
      <c r="L316" s="1060">
        <v>3.6999999999999998E-2</v>
      </c>
      <c r="M316" s="1061" t="s">
        <v>390</v>
      </c>
      <c r="N316" s="768"/>
    </row>
    <row r="317" spans="2:14" x14ac:dyDescent="0.2">
      <c r="B317" s="1053" t="str">
        <f t="shared" si="23"/>
        <v>Georges River Council</v>
      </c>
      <c r="C317" t="s">
        <v>388</v>
      </c>
      <c r="D317" s="1137">
        <f t="shared" si="22"/>
        <v>3.6999999999999998E-2</v>
      </c>
      <c r="E317" t="b">
        <f t="shared" si="24"/>
        <v>1</v>
      </c>
      <c r="I317" s="768"/>
      <c r="L317" s="1060">
        <v>3.6999999999999998E-2</v>
      </c>
      <c r="M317" s="1061" t="s">
        <v>391</v>
      </c>
      <c r="N317" s="768"/>
    </row>
    <row r="318" spans="2:14" x14ac:dyDescent="0.2">
      <c r="B318" s="1053" t="str">
        <f t="shared" si="23"/>
        <v>Gilgandra Shire Council</v>
      </c>
      <c r="C318" t="s">
        <v>389</v>
      </c>
      <c r="D318" s="1137">
        <f t="shared" si="22"/>
        <v>3.6999999999999998E-2</v>
      </c>
      <c r="E318" t="b">
        <f t="shared" si="24"/>
        <v>1</v>
      </c>
      <c r="I318" s="768"/>
      <c r="L318" s="1060">
        <v>4.7E-2</v>
      </c>
      <c r="M318" s="1061" t="s">
        <v>392</v>
      </c>
      <c r="N318" s="768"/>
    </row>
    <row r="319" spans="2:14" x14ac:dyDescent="0.2">
      <c r="B319" s="1053" t="str">
        <f t="shared" si="23"/>
        <v>Glen Innes Severn Shire Council</v>
      </c>
      <c r="C319" t="s">
        <v>390</v>
      </c>
      <c r="D319" s="1137">
        <f t="shared" si="22"/>
        <v>3.6999999999999998E-2</v>
      </c>
      <c r="E319" t="b">
        <f t="shared" si="24"/>
        <v>1</v>
      </c>
      <c r="I319" s="768"/>
      <c r="L319" s="1060">
        <v>3.6999999999999998E-2</v>
      </c>
      <c r="M319" s="1061" t="s">
        <v>393</v>
      </c>
      <c r="N319" s="768"/>
    </row>
    <row r="320" spans="2:14" x14ac:dyDescent="0.2">
      <c r="B320" s="1053" t="str">
        <f t="shared" si="23"/>
        <v>Goulburn Mulwaree Council</v>
      </c>
      <c r="C320" t="s">
        <v>391</v>
      </c>
      <c r="D320" s="1137">
        <f t="shared" si="22"/>
        <v>3.6999999999999998E-2</v>
      </c>
      <c r="E320" t="b">
        <f t="shared" si="24"/>
        <v>1</v>
      </c>
      <c r="I320" s="768"/>
      <c r="L320" s="1060">
        <v>3.7999999999999999E-2</v>
      </c>
      <c r="M320" s="1061" t="s">
        <v>394</v>
      </c>
      <c r="N320" s="768"/>
    </row>
    <row r="321" spans="2:14" x14ac:dyDescent="0.2">
      <c r="B321" s="1053" t="str">
        <f t="shared" si="23"/>
        <v>Greater Hume Shire Council</v>
      </c>
      <c r="C321" t="s">
        <v>392</v>
      </c>
      <c r="D321" s="1137">
        <f t="shared" si="22"/>
        <v>4.7E-2</v>
      </c>
      <c r="E321" t="b">
        <f t="shared" si="24"/>
        <v>1</v>
      </c>
      <c r="I321" s="768"/>
      <c r="L321" s="1060">
        <v>4.1000000000000002E-2</v>
      </c>
      <c r="M321" s="1061" t="s">
        <v>395</v>
      </c>
      <c r="N321" s="768"/>
    </row>
    <row r="322" spans="2:14" x14ac:dyDescent="0.2">
      <c r="B322" s="1053" t="str">
        <f t="shared" si="23"/>
        <v>Griffith City Council</v>
      </c>
      <c r="C322" t="s">
        <v>393</v>
      </c>
      <c r="D322" s="1137">
        <f t="shared" si="22"/>
        <v>3.6999999999999998E-2</v>
      </c>
      <c r="E322" t="b">
        <f t="shared" si="24"/>
        <v>1</v>
      </c>
      <c r="I322" s="768"/>
      <c r="L322" s="1060">
        <v>3.6999999999999998E-2</v>
      </c>
      <c r="M322" s="1061" t="s">
        <v>396</v>
      </c>
      <c r="N322" s="768"/>
    </row>
    <row r="323" spans="2:14" x14ac:dyDescent="0.2">
      <c r="B323" s="1053" t="str">
        <f t="shared" si="23"/>
        <v>Gunnedah Shire Council</v>
      </c>
      <c r="C323" t="s">
        <v>394</v>
      </c>
      <c r="D323" s="1137">
        <f t="shared" si="22"/>
        <v>3.7999999999999999E-2</v>
      </c>
      <c r="E323" t="b">
        <f t="shared" si="24"/>
        <v>1</v>
      </c>
      <c r="I323" s="768"/>
      <c r="L323" s="1060">
        <v>3.6999999999999998E-2</v>
      </c>
      <c r="M323" s="1061" t="s">
        <v>397</v>
      </c>
      <c r="N323" s="768"/>
    </row>
    <row r="324" spans="2:14" x14ac:dyDescent="0.2">
      <c r="B324" s="1053" t="str">
        <f t="shared" si="23"/>
        <v>Gwydir Shire Council</v>
      </c>
      <c r="C324" t="s">
        <v>395</v>
      </c>
      <c r="D324" s="1137">
        <f t="shared" si="22"/>
        <v>4.1000000000000002E-2</v>
      </c>
      <c r="E324" t="b">
        <f t="shared" si="24"/>
        <v>1</v>
      </c>
      <c r="I324" s="768"/>
      <c r="L324" s="1060">
        <v>3.6999999999999998E-2</v>
      </c>
      <c r="M324" s="1061" t="s">
        <v>398</v>
      </c>
      <c r="N324" s="768"/>
    </row>
    <row r="325" spans="2:14" x14ac:dyDescent="0.2">
      <c r="B325" s="1053" t="str">
        <f t="shared" si="23"/>
        <v>Hawkesbury City Council</v>
      </c>
      <c r="C325" t="s">
        <v>396</v>
      </c>
      <c r="D325" s="1137">
        <f t="shared" si="22"/>
        <v>3.6999999999999998E-2</v>
      </c>
      <c r="E325" t="b">
        <f t="shared" si="24"/>
        <v>1</v>
      </c>
      <c r="I325" s="768"/>
      <c r="L325" s="1060">
        <v>3.6999999999999998E-2</v>
      </c>
      <c r="M325" s="1061" t="s">
        <v>399</v>
      </c>
      <c r="N325" s="768"/>
    </row>
    <row r="326" spans="2:14" x14ac:dyDescent="0.2">
      <c r="B326" s="1053" t="str">
        <f t="shared" si="23"/>
        <v>Hay Shire Council</v>
      </c>
      <c r="C326" t="s">
        <v>397</v>
      </c>
      <c r="D326" s="1137">
        <f t="shared" si="22"/>
        <v>3.6999999999999998E-2</v>
      </c>
      <c r="E326" t="b">
        <f t="shared" si="24"/>
        <v>1</v>
      </c>
      <c r="I326" s="768"/>
      <c r="L326" s="1060">
        <v>3.6999999999999998E-2</v>
      </c>
      <c r="M326" s="1061" t="s">
        <v>400</v>
      </c>
      <c r="N326" s="768"/>
    </row>
    <row r="327" spans="2:14" x14ac:dyDescent="0.2">
      <c r="B327" s="1053" t="str">
        <f t="shared" si="23"/>
        <v>Hills Shire Council, The</v>
      </c>
      <c r="C327" t="s">
        <v>401</v>
      </c>
      <c r="D327" s="1137">
        <f t="shared" si="22"/>
        <v>4.2000000000000003E-2</v>
      </c>
      <c r="E327" t="b">
        <f t="shared" si="24"/>
        <v>1</v>
      </c>
      <c r="I327" s="768"/>
      <c r="L327" s="1060">
        <v>3.6999999999999998E-2</v>
      </c>
      <c r="M327" s="1061" t="s">
        <v>402</v>
      </c>
      <c r="N327" s="768"/>
    </row>
    <row r="328" spans="2:14" x14ac:dyDescent="0.2">
      <c r="B328" s="1053" t="str">
        <f t="shared" si="23"/>
        <v>Hilltops Council</v>
      </c>
      <c r="C328" t="s">
        <v>398</v>
      </c>
      <c r="D328" s="1137">
        <f t="shared" si="22"/>
        <v>3.6999999999999998E-2</v>
      </c>
      <c r="E328" t="b">
        <f t="shared" si="24"/>
        <v>1</v>
      </c>
      <c r="I328" s="768"/>
      <c r="L328" s="1060">
        <v>3.6999999999999998E-2</v>
      </c>
      <c r="M328" s="1061" t="s">
        <v>403</v>
      </c>
      <c r="N328" s="768"/>
    </row>
    <row r="329" spans="2:14" x14ac:dyDescent="0.2">
      <c r="B329" s="1053" t="str">
        <f t="shared" si="23"/>
        <v>Hornsby, The Council of the Shire of</v>
      </c>
      <c r="C329" t="s">
        <v>399</v>
      </c>
      <c r="D329" s="1137">
        <f t="shared" si="22"/>
        <v>3.6999999999999998E-2</v>
      </c>
      <c r="E329" t="b">
        <f t="shared" si="24"/>
        <v>0</v>
      </c>
      <c r="F329" s="1063" t="s">
        <v>370</v>
      </c>
      <c r="I329" s="768"/>
      <c r="L329" s="1060">
        <v>3.7999999999999999E-2</v>
      </c>
      <c r="M329" s="1061" t="s">
        <v>404</v>
      </c>
      <c r="N329" s="768"/>
    </row>
    <row r="330" spans="2:14" x14ac:dyDescent="0.2">
      <c r="B330" s="1053" t="str">
        <f t="shared" si="23"/>
        <v>Hunters Hill, The Council of the Municipality of</v>
      </c>
      <c r="C330" t="s">
        <v>400</v>
      </c>
      <c r="D330" s="1137">
        <f t="shared" si="22"/>
        <v>3.6999999999999998E-2</v>
      </c>
      <c r="E330" t="b">
        <f t="shared" si="24"/>
        <v>0</v>
      </c>
      <c r="F330" s="1063" t="s">
        <v>370</v>
      </c>
      <c r="I330" s="768"/>
      <c r="L330" s="1060">
        <v>3.6999999999999998E-2</v>
      </c>
      <c r="M330" s="1061" t="s">
        <v>405</v>
      </c>
      <c r="N330" s="768"/>
    </row>
    <row r="331" spans="2:14" x14ac:dyDescent="0.2">
      <c r="B331" s="1053" t="str">
        <f t="shared" si="23"/>
        <v>Inner West Council</v>
      </c>
      <c r="C331" t="s">
        <v>402</v>
      </c>
      <c r="D331" s="1137">
        <f t="shared" si="22"/>
        <v>3.6999999999999998E-2</v>
      </c>
      <c r="E331" t="b">
        <f t="shared" si="24"/>
        <v>1</v>
      </c>
      <c r="I331" s="768"/>
      <c r="L331" s="1060">
        <v>5.0999999999999997E-2</v>
      </c>
      <c r="M331" s="1061" t="s">
        <v>406</v>
      </c>
      <c r="N331" s="768"/>
    </row>
    <row r="332" spans="2:14" x14ac:dyDescent="0.2">
      <c r="B332" s="1053" t="str">
        <f t="shared" si="23"/>
        <v>Inverell Shire Council</v>
      </c>
      <c r="C332" t="s">
        <v>403</v>
      </c>
      <c r="D332" s="1137">
        <f t="shared" si="22"/>
        <v>3.6999999999999998E-2</v>
      </c>
      <c r="E332" t="b">
        <f t="shared" si="24"/>
        <v>1</v>
      </c>
      <c r="I332" s="768"/>
      <c r="L332" s="1060">
        <v>3.6999999999999998E-2</v>
      </c>
      <c r="M332" s="1061" t="s">
        <v>407</v>
      </c>
      <c r="N332" s="768"/>
    </row>
    <row r="333" spans="2:14" x14ac:dyDescent="0.2">
      <c r="B333" s="1053" t="str">
        <f t="shared" si="23"/>
        <v>Junee Shire Council</v>
      </c>
      <c r="C333" t="s">
        <v>404</v>
      </c>
      <c r="D333" s="1137">
        <f t="shared" si="22"/>
        <v>3.7999999999999999E-2</v>
      </c>
      <c r="E333" t="b">
        <f t="shared" si="24"/>
        <v>1</v>
      </c>
      <c r="I333" s="768"/>
      <c r="L333" s="1060">
        <v>4.1000000000000002E-2</v>
      </c>
      <c r="M333" s="1061" t="s">
        <v>408</v>
      </c>
      <c r="N333" s="768"/>
    </row>
    <row r="334" spans="2:14" x14ac:dyDescent="0.2">
      <c r="B334" s="1053" t="str">
        <f t="shared" si="23"/>
        <v>Kempsey Shire Council</v>
      </c>
      <c r="C334" t="s">
        <v>405</v>
      </c>
      <c r="D334" s="1137">
        <f t="shared" si="22"/>
        <v>3.6999999999999998E-2</v>
      </c>
      <c r="E334" t="b">
        <f t="shared" si="24"/>
        <v>1</v>
      </c>
      <c r="I334" s="768"/>
      <c r="L334" s="1060">
        <v>3.6999999999999998E-2</v>
      </c>
      <c r="M334" s="1061" t="s">
        <v>409</v>
      </c>
      <c r="N334" s="768"/>
    </row>
    <row r="335" spans="2:14" x14ac:dyDescent="0.2">
      <c r="B335" s="1053" t="str">
        <f t="shared" si="23"/>
        <v>Kiama, The Council of the Municipality of</v>
      </c>
      <c r="C335" t="s">
        <v>406</v>
      </c>
      <c r="D335" s="1137">
        <f t="shared" si="22"/>
        <v>5.0999999999999997E-2</v>
      </c>
      <c r="E335" t="b">
        <f t="shared" ref="E335:E366" si="25">IF(ISNUMBER(SEARCH(C335,B335)),TRUE,FALSE)</f>
        <v>0</v>
      </c>
      <c r="F335" s="1063" t="s">
        <v>370</v>
      </c>
      <c r="I335" s="768"/>
      <c r="L335" s="1060">
        <v>3.6999999999999998E-2</v>
      </c>
      <c r="M335" s="1061" t="s">
        <v>410</v>
      </c>
      <c r="N335" s="768"/>
    </row>
    <row r="336" spans="2:14" x14ac:dyDescent="0.2">
      <c r="B336" s="1053" t="str">
        <f t="shared" ref="B336:B343" si="26">C133</f>
        <v>Ku-ring-gai Municipal Council</v>
      </c>
      <c r="C336" t="s">
        <v>407</v>
      </c>
      <c r="D336" s="1137">
        <f t="shared" ref="D336:D398" si="27">INDEX($L$271:$L$398,MATCH(C336,$M$271:$M$398,0))</f>
        <v>3.6999999999999998E-2</v>
      </c>
      <c r="E336" t="b">
        <f t="shared" si="25"/>
        <v>1</v>
      </c>
      <c r="I336" s="768"/>
      <c r="L336" s="1060">
        <v>3.6999999999999998E-2</v>
      </c>
      <c r="M336" s="1061" t="s">
        <v>411</v>
      </c>
      <c r="N336" s="768"/>
    </row>
    <row r="337" spans="2:14" x14ac:dyDescent="0.2">
      <c r="B337" s="1053" t="str">
        <f t="shared" si="26"/>
        <v>Kyogle Council</v>
      </c>
      <c r="C337" t="s">
        <v>408</v>
      </c>
      <c r="D337" s="1137">
        <f t="shared" si="27"/>
        <v>4.1000000000000002E-2</v>
      </c>
      <c r="E337" t="b">
        <f t="shared" si="25"/>
        <v>1</v>
      </c>
      <c r="I337" s="768"/>
      <c r="L337" s="1060">
        <v>3.6999999999999998E-2</v>
      </c>
      <c r="M337" s="1061" t="s">
        <v>412</v>
      </c>
      <c r="N337" s="768"/>
    </row>
    <row r="338" spans="2:14" x14ac:dyDescent="0.2">
      <c r="B338" s="1053" t="str">
        <f t="shared" si="26"/>
        <v>Lachlan Shire Council</v>
      </c>
      <c r="C338" t="s">
        <v>409</v>
      </c>
      <c r="D338" s="1137">
        <f t="shared" si="27"/>
        <v>3.6999999999999998E-2</v>
      </c>
      <c r="E338" t="b">
        <f t="shared" si="25"/>
        <v>1</v>
      </c>
      <c r="I338" s="768"/>
      <c r="L338" s="1060">
        <v>3.6999999999999998E-2</v>
      </c>
      <c r="M338" s="1061" t="s">
        <v>413</v>
      </c>
      <c r="N338" s="768"/>
    </row>
    <row r="339" spans="2:14" x14ac:dyDescent="0.2">
      <c r="B339" s="1053" t="str">
        <f t="shared" si="26"/>
        <v>Lake Macquarie City Council</v>
      </c>
      <c r="C339" t="s">
        <v>410</v>
      </c>
      <c r="D339" s="1137">
        <f t="shared" si="27"/>
        <v>3.6999999999999998E-2</v>
      </c>
      <c r="E339" t="b">
        <f t="shared" si="25"/>
        <v>1</v>
      </c>
      <c r="I339" s="768"/>
      <c r="L339" s="1060">
        <v>3.6999999999999998E-2</v>
      </c>
      <c r="M339" s="1061" t="s">
        <v>414</v>
      </c>
      <c r="N339" s="768"/>
    </row>
    <row r="340" spans="2:14" x14ac:dyDescent="0.2">
      <c r="B340" s="1053" t="str">
        <f t="shared" si="26"/>
        <v>Lane Cove Council</v>
      </c>
      <c r="C340" t="s">
        <v>411</v>
      </c>
      <c r="D340" s="1137">
        <f t="shared" si="27"/>
        <v>3.6999999999999998E-2</v>
      </c>
      <c r="E340" t="b">
        <f t="shared" si="25"/>
        <v>1</v>
      </c>
      <c r="I340" s="768"/>
      <c r="L340" s="1060">
        <v>4.1000000000000002E-2</v>
      </c>
      <c r="M340" s="1061" t="s">
        <v>415</v>
      </c>
      <c r="N340" s="768"/>
    </row>
    <row r="341" spans="2:14" x14ac:dyDescent="0.2">
      <c r="B341" s="1053" t="str">
        <f t="shared" si="26"/>
        <v>Leeton Shire Council</v>
      </c>
      <c r="C341" t="s">
        <v>412</v>
      </c>
      <c r="D341" s="1137">
        <f t="shared" si="27"/>
        <v>3.6999999999999998E-2</v>
      </c>
      <c r="E341" t="b">
        <f t="shared" si="25"/>
        <v>1</v>
      </c>
      <c r="I341" s="768"/>
      <c r="L341" s="1060">
        <v>3.6999999999999998E-2</v>
      </c>
      <c r="M341" s="1061" t="s">
        <v>416</v>
      </c>
      <c r="N341" s="768"/>
    </row>
    <row r="342" spans="2:14" x14ac:dyDescent="0.2">
      <c r="B342" s="1053" t="str">
        <f t="shared" si="26"/>
        <v>Lismore City Council</v>
      </c>
      <c r="C342" t="s">
        <v>413</v>
      </c>
      <c r="D342" s="1137">
        <f t="shared" si="27"/>
        <v>3.6999999999999998E-2</v>
      </c>
      <c r="E342" t="b">
        <f t="shared" si="25"/>
        <v>1</v>
      </c>
      <c r="I342" s="768"/>
      <c r="L342" s="1060">
        <v>3.6999999999999998E-2</v>
      </c>
      <c r="M342" s="1061" t="s">
        <v>417</v>
      </c>
      <c r="N342" s="768"/>
    </row>
    <row r="343" spans="2:14" x14ac:dyDescent="0.2">
      <c r="B343" s="1053" t="str">
        <f t="shared" si="26"/>
        <v>Lithgow Council, City of</v>
      </c>
      <c r="C343" t="s">
        <v>414</v>
      </c>
      <c r="D343" s="1137">
        <f t="shared" si="27"/>
        <v>3.6999999999999998E-2</v>
      </c>
      <c r="E343" t="b">
        <f t="shared" si="25"/>
        <v>1</v>
      </c>
      <c r="I343" s="768"/>
      <c r="L343" s="1060">
        <v>5.8999999999999997E-2</v>
      </c>
      <c r="M343" s="1061" t="s">
        <v>418</v>
      </c>
      <c r="N343" s="768"/>
    </row>
    <row r="344" spans="2:14" x14ac:dyDescent="0.2">
      <c r="B344" s="1053" t="str">
        <f>C141</f>
        <v>Liverpool City Council</v>
      </c>
      <c r="C344" t="s">
        <v>415</v>
      </c>
      <c r="D344" s="1137">
        <f t="shared" si="27"/>
        <v>4.1000000000000002E-2</v>
      </c>
      <c r="E344" t="b">
        <f t="shared" si="25"/>
        <v>1</v>
      </c>
      <c r="I344" s="768"/>
      <c r="L344" s="1060">
        <v>3.9E-2</v>
      </c>
      <c r="M344" s="1061" t="s">
        <v>419</v>
      </c>
      <c r="N344" s="768"/>
    </row>
    <row r="345" spans="2:14" x14ac:dyDescent="0.2">
      <c r="B345" s="1053" t="str">
        <f t="shared" ref="B345:B356" si="28">C142</f>
        <v>Liverpool Plains Shire Council</v>
      </c>
      <c r="C345" t="s">
        <v>416</v>
      </c>
      <c r="D345" s="1137">
        <f t="shared" si="27"/>
        <v>3.6999999999999998E-2</v>
      </c>
      <c r="E345" t="b">
        <f t="shared" si="25"/>
        <v>1</v>
      </c>
      <c r="I345" s="768"/>
      <c r="L345" s="1060">
        <v>0.04</v>
      </c>
      <c r="M345" s="1061" t="s">
        <v>420</v>
      </c>
      <c r="N345" s="768"/>
    </row>
    <row r="346" spans="2:14" x14ac:dyDescent="0.2">
      <c r="B346" s="1053" t="str">
        <f t="shared" si="28"/>
        <v>Lockhart Shire Council</v>
      </c>
      <c r="C346" t="s">
        <v>417</v>
      </c>
      <c r="D346" s="1137">
        <f t="shared" si="27"/>
        <v>3.6999999999999998E-2</v>
      </c>
      <c r="E346" t="b">
        <f t="shared" si="25"/>
        <v>1</v>
      </c>
      <c r="I346" s="768"/>
      <c r="L346" s="1060">
        <v>3.6999999999999998E-2</v>
      </c>
      <c r="M346" s="1061" t="s">
        <v>421</v>
      </c>
      <c r="N346" s="768"/>
    </row>
    <row r="347" spans="2:14" x14ac:dyDescent="0.2">
      <c r="B347" s="1053" t="str">
        <f t="shared" si="28"/>
        <v>Maitland City Council</v>
      </c>
      <c r="C347" t="s">
        <v>418</v>
      </c>
      <c r="D347" s="1137">
        <f t="shared" si="27"/>
        <v>5.8999999999999997E-2</v>
      </c>
      <c r="E347" t="b">
        <f t="shared" si="25"/>
        <v>1</v>
      </c>
      <c r="I347" s="768"/>
      <c r="L347" s="1060">
        <v>3.6999999999999998E-2</v>
      </c>
      <c r="M347" s="1061" t="s">
        <v>422</v>
      </c>
      <c r="N347" s="768"/>
    </row>
    <row r="348" spans="2:14" x14ac:dyDescent="0.2">
      <c r="B348" s="1053" t="str">
        <f t="shared" si="28"/>
        <v>MidCoast Council</v>
      </c>
      <c r="C348" t="s">
        <v>419</v>
      </c>
      <c r="D348" s="1137">
        <f t="shared" si="27"/>
        <v>3.9E-2</v>
      </c>
      <c r="E348" t="b">
        <f t="shared" si="25"/>
        <v>0</v>
      </c>
      <c r="F348" s="1063" t="s">
        <v>370</v>
      </c>
      <c r="I348" s="768"/>
      <c r="L348" s="1060">
        <v>4.1000000000000002E-2</v>
      </c>
      <c r="M348" s="1061" t="s">
        <v>423</v>
      </c>
      <c r="N348" s="768"/>
    </row>
    <row r="349" spans="2:14" x14ac:dyDescent="0.2">
      <c r="B349" s="1053" t="str">
        <f t="shared" si="28"/>
        <v>Mid-Western Regional Council</v>
      </c>
      <c r="C349" t="s">
        <v>420</v>
      </c>
      <c r="D349" s="1137">
        <f t="shared" si="27"/>
        <v>0.04</v>
      </c>
      <c r="E349" t="b">
        <f t="shared" si="25"/>
        <v>1</v>
      </c>
      <c r="I349" s="768"/>
      <c r="L349" s="1060">
        <v>3.6999999999999998E-2</v>
      </c>
      <c r="M349" s="1061" t="s">
        <v>424</v>
      </c>
      <c r="N349" s="768"/>
    </row>
    <row r="350" spans="2:14" x14ac:dyDescent="0.2">
      <c r="B350" s="1053" t="str">
        <f t="shared" si="28"/>
        <v>Moree Plains Shire Council</v>
      </c>
      <c r="C350" t="s">
        <v>421</v>
      </c>
      <c r="D350" s="1137">
        <f t="shared" si="27"/>
        <v>3.6999999999999998E-2</v>
      </c>
      <c r="E350" t="b">
        <f t="shared" si="25"/>
        <v>1</v>
      </c>
      <c r="I350" s="768"/>
      <c r="L350" s="1060">
        <v>3.6999999999999998E-2</v>
      </c>
      <c r="M350" s="1061" t="s">
        <v>425</v>
      </c>
      <c r="N350" s="768"/>
    </row>
    <row r="351" spans="2:14" x14ac:dyDescent="0.2">
      <c r="B351" s="1053" t="str">
        <f t="shared" si="28"/>
        <v>Mosman Municipal Council</v>
      </c>
      <c r="C351" t="s">
        <v>422</v>
      </c>
      <c r="D351" s="1137">
        <f t="shared" si="27"/>
        <v>3.6999999999999998E-2</v>
      </c>
      <c r="E351" t="b">
        <f t="shared" si="25"/>
        <v>1</v>
      </c>
      <c r="I351" s="768"/>
      <c r="L351" s="1060">
        <v>3.6999999999999998E-2</v>
      </c>
      <c r="M351" s="1061" t="s">
        <v>426</v>
      </c>
      <c r="N351" s="768"/>
    </row>
    <row r="352" spans="2:14" x14ac:dyDescent="0.2">
      <c r="B352" s="1053" t="str">
        <f t="shared" si="28"/>
        <v>Murray River Council</v>
      </c>
      <c r="C352" t="s">
        <v>423</v>
      </c>
      <c r="D352" s="1137">
        <f t="shared" si="27"/>
        <v>4.1000000000000002E-2</v>
      </c>
      <c r="E352" t="b">
        <f t="shared" si="25"/>
        <v>1</v>
      </c>
      <c r="I352" s="768"/>
      <c r="L352" s="1060">
        <v>3.6999999999999998E-2</v>
      </c>
      <c r="M352" s="1061" t="s">
        <v>427</v>
      </c>
      <c r="N352" s="768"/>
    </row>
    <row r="353" spans="2:14" x14ac:dyDescent="0.2">
      <c r="B353" s="1053" t="str">
        <f t="shared" si="28"/>
        <v>Murrumbidgee Shire Council</v>
      </c>
      <c r="C353" t="s">
        <v>424</v>
      </c>
      <c r="D353" s="1137">
        <f t="shared" si="27"/>
        <v>3.6999999999999998E-2</v>
      </c>
      <c r="E353" t="b">
        <f t="shared" si="25"/>
        <v>0</v>
      </c>
      <c r="F353" s="1063" t="s">
        <v>370</v>
      </c>
      <c r="I353" s="768"/>
      <c r="L353" s="1060">
        <v>3.6999999999999998E-2</v>
      </c>
      <c r="M353" s="1061" t="s">
        <v>428</v>
      </c>
      <c r="N353" s="768"/>
    </row>
    <row r="354" spans="2:14" x14ac:dyDescent="0.2">
      <c r="B354" s="1053" t="str">
        <f t="shared" si="28"/>
        <v>Muswellbrook Shire Council</v>
      </c>
      <c r="C354" t="s">
        <v>425</v>
      </c>
      <c r="D354" s="1137">
        <f t="shared" si="27"/>
        <v>3.6999999999999998E-2</v>
      </c>
      <c r="E354" t="b">
        <f t="shared" si="25"/>
        <v>1</v>
      </c>
      <c r="I354" s="768"/>
      <c r="L354" s="1060">
        <v>3.6999999999999998E-2</v>
      </c>
      <c r="M354" s="1061" t="s">
        <v>429</v>
      </c>
      <c r="N354" s="768"/>
    </row>
    <row r="355" spans="2:14" x14ac:dyDescent="0.2">
      <c r="B355" s="1053" t="str">
        <f t="shared" si="28"/>
        <v>Nambucca Shire Council</v>
      </c>
      <c r="C355" t="s">
        <v>426</v>
      </c>
      <c r="D355" s="1137">
        <f t="shared" si="27"/>
        <v>3.6999999999999998E-2</v>
      </c>
      <c r="E355" t="b">
        <f t="shared" si="25"/>
        <v>1</v>
      </c>
      <c r="I355" s="768"/>
      <c r="L355" s="1060">
        <v>3.6999999999999998E-2</v>
      </c>
      <c r="M355" s="1061" t="s">
        <v>430</v>
      </c>
      <c r="N355" s="768"/>
    </row>
    <row r="356" spans="2:14" x14ac:dyDescent="0.2">
      <c r="B356" s="1053" t="str">
        <f t="shared" si="28"/>
        <v>Narrabri Shire Council</v>
      </c>
      <c r="C356" t="s">
        <v>427</v>
      </c>
      <c r="D356" s="1137">
        <f t="shared" si="27"/>
        <v>3.6999999999999998E-2</v>
      </c>
      <c r="E356" t="b">
        <f t="shared" si="25"/>
        <v>1</v>
      </c>
      <c r="I356" s="768"/>
      <c r="L356" s="1060">
        <v>3.6999999999999998E-2</v>
      </c>
      <c r="M356" s="1061" t="s">
        <v>431</v>
      </c>
      <c r="N356" s="768"/>
    </row>
    <row r="357" spans="2:14" x14ac:dyDescent="0.2">
      <c r="B357" s="1053" t="str">
        <f>C154</f>
        <v>Narrandera Shire Council</v>
      </c>
      <c r="C357" t="s">
        <v>428</v>
      </c>
      <c r="D357" s="1137">
        <f t="shared" si="27"/>
        <v>3.6999999999999998E-2</v>
      </c>
      <c r="E357" t="b">
        <f t="shared" si="25"/>
        <v>1</v>
      </c>
      <c r="I357" s="768"/>
      <c r="L357" s="1060">
        <v>3.6999999999999998E-2</v>
      </c>
      <c r="M357" s="1061" t="s">
        <v>432</v>
      </c>
      <c r="N357" s="768"/>
    </row>
    <row r="358" spans="2:14" x14ac:dyDescent="0.2">
      <c r="B358" s="1053" t="str">
        <f t="shared" ref="B358:B376" si="29">C155</f>
        <v>Narromine Shire Council</v>
      </c>
      <c r="C358" t="s">
        <v>429</v>
      </c>
      <c r="D358" s="1137">
        <f t="shared" si="27"/>
        <v>3.6999999999999998E-2</v>
      </c>
      <c r="E358" t="b">
        <f t="shared" si="25"/>
        <v>1</v>
      </c>
      <c r="I358" s="768"/>
      <c r="L358" s="1060">
        <v>3.6999999999999998E-2</v>
      </c>
      <c r="M358" s="1061" t="s">
        <v>433</v>
      </c>
      <c r="N358" s="768"/>
    </row>
    <row r="359" spans="2:14" x14ac:dyDescent="0.2">
      <c r="B359" s="1053" t="str">
        <f t="shared" si="29"/>
        <v>Newcastle City Council</v>
      </c>
      <c r="C359" t="s">
        <v>430</v>
      </c>
      <c r="D359" s="1137">
        <f t="shared" si="27"/>
        <v>3.6999999999999998E-2</v>
      </c>
      <c r="E359" t="b">
        <f t="shared" si="25"/>
        <v>1</v>
      </c>
      <c r="I359" s="768"/>
      <c r="L359" s="1060">
        <v>3.6999999999999998E-2</v>
      </c>
      <c r="M359" s="1061" t="s">
        <v>434</v>
      </c>
      <c r="N359" s="768"/>
    </row>
    <row r="360" spans="2:14" x14ac:dyDescent="0.2">
      <c r="B360" s="1053" t="str">
        <f t="shared" si="29"/>
        <v>Northern Beaches Council</v>
      </c>
      <c r="C360" t="s">
        <v>432</v>
      </c>
      <c r="D360" s="1137">
        <f t="shared" si="27"/>
        <v>3.6999999999999998E-2</v>
      </c>
      <c r="E360" t="b">
        <f t="shared" si="25"/>
        <v>1</v>
      </c>
      <c r="I360" s="768"/>
      <c r="L360" s="1060">
        <v>3.6999999999999998E-2</v>
      </c>
      <c r="M360" s="1061" t="s">
        <v>435</v>
      </c>
      <c r="N360" s="768"/>
    </row>
    <row r="361" spans="2:14" x14ac:dyDescent="0.2">
      <c r="B361" s="1053" t="str">
        <f t="shared" si="29"/>
        <v>North Sydney Council</v>
      </c>
      <c r="C361" t="s">
        <v>431</v>
      </c>
      <c r="D361" s="1137">
        <f t="shared" si="27"/>
        <v>3.6999999999999998E-2</v>
      </c>
      <c r="E361" t="b">
        <f t="shared" si="25"/>
        <v>1</v>
      </c>
      <c r="I361" s="768"/>
      <c r="L361" s="1060">
        <v>3.6999999999999998E-2</v>
      </c>
      <c r="M361" s="1061" t="s">
        <v>369</v>
      </c>
      <c r="N361" s="768"/>
    </row>
    <row r="362" spans="2:14" x14ac:dyDescent="0.2">
      <c r="B362" s="1053" t="str">
        <f t="shared" si="29"/>
        <v>Oberon Council</v>
      </c>
      <c r="C362" t="s">
        <v>433</v>
      </c>
      <c r="D362" s="1137">
        <f t="shared" si="27"/>
        <v>3.6999999999999998E-2</v>
      </c>
      <c r="E362" t="b">
        <f t="shared" si="25"/>
        <v>1</v>
      </c>
      <c r="I362" s="768"/>
      <c r="L362" s="1060">
        <v>3.6999999999999998E-2</v>
      </c>
      <c r="M362" s="1061" t="s">
        <v>436</v>
      </c>
      <c r="N362" s="768"/>
    </row>
    <row r="363" spans="2:14" x14ac:dyDescent="0.2">
      <c r="B363" s="1053" t="str">
        <f t="shared" si="29"/>
        <v>Orange City Council</v>
      </c>
      <c r="C363" t="s">
        <v>434</v>
      </c>
      <c r="D363" s="1137">
        <f t="shared" si="27"/>
        <v>3.6999999999999998E-2</v>
      </c>
      <c r="E363" t="b">
        <f t="shared" si="25"/>
        <v>1</v>
      </c>
      <c r="I363" s="768"/>
      <c r="L363" s="1060">
        <v>4.7E-2</v>
      </c>
      <c r="M363" s="1061" t="s">
        <v>437</v>
      </c>
      <c r="N363" s="768"/>
    </row>
    <row r="364" spans="2:14" x14ac:dyDescent="0.2">
      <c r="B364" s="1053" t="str">
        <f t="shared" si="29"/>
        <v>Parkes Shire Council</v>
      </c>
      <c r="C364" t="s">
        <v>435</v>
      </c>
      <c r="D364" s="1137">
        <f t="shared" si="27"/>
        <v>3.6999999999999998E-2</v>
      </c>
      <c r="E364" t="b">
        <f t="shared" si="25"/>
        <v>1</v>
      </c>
      <c r="I364" s="768"/>
      <c r="L364" s="1060">
        <v>4.3999999999999997E-2</v>
      </c>
      <c r="M364" s="1061" t="s">
        <v>438</v>
      </c>
      <c r="N364" s="768"/>
    </row>
    <row r="365" spans="2:14" x14ac:dyDescent="0.2">
      <c r="B365" s="1053" t="str">
        <f t="shared" si="29"/>
        <v>Penrith City Council</v>
      </c>
      <c r="C365" t="s">
        <v>436</v>
      </c>
      <c r="D365" s="1137">
        <f t="shared" si="27"/>
        <v>3.6999999999999998E-2</v>
      </c>
      <c r="E365" t="b">
        <f t="shared" si="25"/>
        <v>1</v>
      </c>
      <c r="I365" s="768"/>
      <c r="L365" s="1060">
        <v>4.5999999999999999E-2</v>
      </c>
      <c r="M365" s="1061" t="s">
        <v>439</v>
      </c>
      <c r="N365" s="768"/>
    </row>
    <row r="366" spans="2:14" x14ac:dyDescent="0.2">
      <c r="B366" s="1053" t="str">
        <f t="shared" si="29"/>
        <v>Port Macquarie-Hastings Council</v>
      </c>
      <c r="C366" t="s">
        <v>437</v>
      </c>
      <c r="D366" s="1137">
        <f t="shared" si="27"/>
        <v>4.7E-2</v>
      </c>
      <c r="E366" t="b">
        <f t="shared" si="25"/>
        <v>1</v>
      </c>
      <c r="I366" s="768"/>
      <c r="L366" s="1060">
        <v>3.6999999999999998E-2</v>
      </c>
      <c r="M366" s="1061" t="s">
        <v>440</v>
      </c>
      <c r="N366" s="768"/>
    </row>
    <row r="367" spans="2:14" x14ac:dyDescent="0.2">
      <c r="B367" s="1053" t="str">
        <f t="shared" si="29"/>
        <v>Port Stephens Council</v>
      </c>
      <c r="C367" t="s">
        <v>438</v>
      </c>
      <c r="D367" s="1137">
        <f t="shared" si="27"/>
        <v>4.3999999999999997E-2</v>
      </c>
      <c r="E367" t="b">
        <f t="shared" ref="E367:E398" si="30">IF(ISNUMBER(SEARCH(C367,B367)),TRUE,FALSE)</f>
        <v>1</v>
      </c>
      <c r="I367" s="768"/>
      <c r="L367" s="1060">
        <v>3.6999999999999998E-2</v>
      </c>
      <c r="M367" s="1061" t="s">
        <v>441</v>
      </c>
      <c r="N367" s="768"/>
    </row>
    <row r="368" spans="2:14" x14ac:dyDescent="0.2">
      <c r="B368" s="1053" t="str">
        <f t="shared" si="29"/>
        <v>Queanbeyan-Palerang Regional Council</v>
      </c>
      <c r="C368" t="s">
        <v>439</v>
      </c>
      <c r="D368" s="1137">
        <f t="shared" si="27"/>
        <v>4.5999999999999999E-2</v>
      </c>
      <c r="E368" t="b">
        <f t="shared" si="30"/>
        <v>1</v>
      </c>
      <c r="I368" s="768"/>
      <c r="L368" s="1060">
        <v>3.6999999999999998E-2</v>
      </c>
      <c r="M368" s="1061" t="s">
        <v>372</v>
      </c>
      <c r="N368" s="768"/>
    </row>
    <row r="369" spans="2:14" x14ac:dyDescent="0.2">
      <c r="B369" s="1053" t="str">
        <f t="shared" si="29"/>
        <v>Randwick City Council</v>
      </c>
      <c r="C369" t="s">
        <v>440</v>
      </c>
      <c r="D369" s="1137">
        <f t="shared" si="27"/>
        <v>3.6999999999999998E-2</v>
      </c>
      <c r="E369" t="b">
        <f t="shared" si="30"/>
        <v>1</v>
      </c>
      <c r="I369" s="768"/>
      <c r="L369" s="1060">
        <v>3.6999999999999998E-2</v>
      </c>
      <c r="M369" s="1061" t="s">
        <v>442</v>
      </c>
      <c r="N369" s="768"/>
    </row>
    <row r="370" spans="2:14" x14ac:dyDescent="0.2">
      <c r="B370" s="1053" t="str">
        <f t="shared" si="29"/>
        <v>Richmond Valley Council</v>
      </c>
      <c r="C370" t="s">
        <v>441</v>
      </c>
      <c r="D370" s="1137">
        <f t="shared" si="27"/>
        <v>3.6999999999999998E-2</v>
      </c>
      <c r="E370" t="b">
        <f t="shared" si="30"/>
        <v>1</v>
      </c>
      <c r="I370" s="768"/>
      <c r="L370" s="1060">
        <v>4.5999999999999999E-2</v>
      </c>
      <c r="M370" s="1061" t="s">
        <v>443</v>
      </c>
      <c r="N370" s="768"/>
    </row>
    <row r="371" spans="2:14" x14ac:dyDescent="0.2">
      <c r="B371" s="1053" t="str">
        <f t="shared" si="29"/>
        <v>Shellharbour City Council</v>
      </c>
      <c r="C371" t="s">
        <v>442</v>
      </c>
      <c r="D371" s="1137">
        <f t="shared" si="27"/>
        <v>3.6999999999999998E-2</v>
      </c>
      <c r="E371" t="b">
        <f t="shared" si="30"/>
        <v>1</v>
      </c>
      <c r="I371" s="768"/>
      <c r="L371" s="1060">
        <v>3.9E-2</v>
      </c>
      <c r="M371" s="1061" t="s">
        <v>444</v>
      </c>
      <c r="N371" s="768"/>
    </row>
    <row r="372" spans="2:14" x14ac:dyDescent="0.2">
      <c r="B372" s="1053" t="str">
        <f t="shared" si="29"/>
        <v>Shoalhaven City Council</v>
      </c>
      <c r="C372" t="s">
        <v>443</v>
      </c>
      <c r="D372" s="1137">
        <f t="shared" si="27"/>
        <v>4.5999999999999999E-2</v>
      </c>
      <c r="E372" t="b">
        <f t="shared" si="30"/>
        <v>1</v>
      </c>
      <c r="I372" s="768"/>
      <c r="L372" s="1060">
        <v>0.04</v>
      </c>
      <c r="M372" s="1061" t="s">
        <v>445</v>
      </c>
      <c r="N372" s="768"/>
    </row>
    <row r="373" spans="2:14" x14ac:dyDescent="0.2">
      <c r="B373" s="1053" t="str">
        <f t="shared" si="29"/>
        <v>Singleton Shire Council</v>
      </c>
      <c r="C373" t="s">
        <v>444</v>
      </c>
      <c r="D373" s="1137">
        <f t="shared" si="27"/>
        <v>3.9E-2</v>
      </c>
      <c r="E373" t="b">
        <f t="shared" si="30"/>
        <v>1</v>
      </c>
      <c r="I373" s="768"/>
      <c r="L373" s="1060">
        <v>3.6999999999999998E-2</v>
      </c>
      <c r="M373" s="1061" t="s">
        <v>446</v>
      </c>
      <c r="N373" s="768"/>
    </row>
    <row r="374" spans="2:14" x14ac:dyDescent="0.2">
      <c r="B374" s="1053" t="str">
        <f t="shared" si="29"/>
        <v>Snowy Monaro Regional Council</v>
      </c>
      <c r="C374" t="s">
        <v>445</v>
      </c>
      <c r="D374" s="1137">
        <f t="shared" si="27"/>
        <v>0.04</v>
      </c>
      <c r="E374" t="b">
        <f t="shared" si="30"/>
        <v>1</v>
      </c>
      <c r="I374" s="768"/>
      <c r="L374" s="1060">
        <v>3.6999999999999998E-2</v>
      </c>
      <c r="M374" s="1061" t="s">
        <v>447</v>
      </c>
      <c r="N374" s="768"/>
    </row>
    <row r="375" spans="2:14" x14ac:dyDescent="0.2">
      <c r="B375" s="1053" t="str">
        <f t="shared" si="29"/>
        <v>Snowy Valleys Council</v>
      </c>
      <c r="C375" t="s">
        <v>446</v>
      </c>
      <c r="D375" s="1137">
        <f t="shared" si="27"/>
        <v>3.6999999999999998E-2</v>
      </c>
      <c r="E375" t="b">
        <f t="shared" si="30"/>
        <v>1</v>
      </c>
      <c r="I375" s="768"/>
      <c r="L375" s="1060">
        <v>3.6999999999999998E-2</v>
      </c>
      <c r="M375" s="1061" t="s">
        <v>448</v>
      </c>
      <c r="N375" s="768"/>
    </row>
    <row r="376" spans="2:14" x14ac:dyDescent="0.2">
      <c r="B376" s="1053" t="str">
        <f t="shared" si="29"/>
        <v>Strathfield Municipal Council</v>
      </c>
      <c r="C376" t="s">
        <v>447</v>
      </c>
      <c r="D376" s="1137">
        <f t="shared" si="27"/>
        <v>3.6999999999999998E-2</v>
      </c>
      <c r="E376" t="b">
        <f t="shared" si="30"/>
        <v>1</v>
      </c>
      <c r="I376" s="768"/>
      <c r="L376" s="1060">
        <v>3.6999999999999998E-2</v>
      </c>
      <c r="M376" s="1061" t="s">
        <v>374</v>
      </c>
      <c r="N376" s="768"/>
    </row>
    <row r="377" spans="2:14" x14ac:dyDescent="0.2">
      <c r="B377" s="1053" t="str">
        <f>C174</f>
        <v>Sutherland Shire Council</v>
      </c>
      <c r="C377" t="s">
        <v>448</v>
      </c>
      <c r="D377" s="1137">
        <f t="shared" si="27"/>
        <v>3.6999999999999998E-2</v>
      </c>
      <c r="E377" t="b">
        <f t="shared" si="30"/>
        <v>1</v>
      </c>
      <c r="I377" s="768"/>
      <c r="L377" s="1060">
        <v>3.6999999999999998E-2</v>
      </c>
      <c r="M377" s="1061" t="s">
        <v>449</v>
      </c>
      <c r="N377" s="768"/>
    </row>
    <row r="378" spans="2:14" x14ac:dyDescent="0.2">
      <c r="B378" s="1053" t="str">
        <f t="shared" ref="B378:B392" si="31">C175</f>
        <v>Tamworth Regional Council</v>
      </c>
      <c r="C378" t="s">
        <v>449</v>
      </c>
      <c r="D378" s="1137">
        <f t="shared" si="27"/>
        <v>3.6999999999999998E-2</v>
      </c>
      <c r="E378" t="b">
        <f t="shared" si="30"/>
        <v>1</v>
      </c>
      <c r="I378" s="768"/>
      <c r="L378" s="1060">
        <v>3.6999999999999998E-2</v>
      </c>
      <c r="M378" s="1061" t="s">
        <v>450</v>
      </c>
      <c r="N378" s="768"/>
    </row>
    <row r="379" spans="2:14" x14ac:dyDescent="0.2">
      <c r="B379" s="1053" t="str">
        <f t="shared" si="31"/>
        <v>Temora Shire Council</v>
      </c>
      <c r="C379" t="s">
        <v>450</v>
      </c>
      <c r="D379" s="1137">
        <f t="shared" si="27"/>
        <v>3.6999999999999998E-2</v>
      </c>
      <c r="E379" t="b">
        <f t="shared" si="30"/>
        <v>1</v>
      </c>
      <c r="I379" s="768"/>
      <c r="L379" s="1060">
        <v>4.2000000000000003E-2</v>
      </c>
      <c r="M379" s="1061" t="s">
        <v>451</v>
      </c>
      <c r="N379" s="768"/>
    </row>
    <row r="380" spans="2:14" x14ac:dyDescent="0.2">
      <c r="B380" s="1053" t="str">
        <f t="shared" si="31"/>
        <v>Tenterfield Shire Council</v>
      </c>
      <c r="C380" t="s">
        <v>451</v>
      </c>
      <c r="D380" s="1137">
        <f t="shared" si="27"/>
        <v>4.2000000000000003E-2</v>
      </c>
      <c r="E380" t="b">
        <f t="shared" si="30"/>
        <v>1</v>
      </c>
      <c r="I380" s="768"/>
      <c r="L380" s="1060">
        <v>4.2000000000000003E-2</v>
      </c>
      <c r="M380" s="1061" t="s">
        <v>401</v>
      </c>
      <c r="N380" s="768"/>
    </row>
    <row r="381" spans="2:14" x14ac:dyDescent="0.2">
      <c r="B381" s="1053" t="str">
        <f t="shared" si="31"/>
        <v>Tweed Shire Council</v>
      </c>
      <c r="C381" t="s">
        <v>452</v>
      </c>
      <c r="D381" s="1137">
        <f t="shared" si="27"/>
        <v>0.04</v>
      </c>
      <c r="E381" t="b">
        <f t="shared" si="30"/>
        <v>1</v>
      </c>
      <c r="I381" s="768"/>
      <c r="L381" s="1060">
        <v>0.04</v>
      </c>
      <c r="M381" s="1061" t="s">
        <v>452</v>
      </c>
      <c r="N381" s="768"/>
    </row>
    <row r="382" spans="2:14" x14ac:dyDescent="0.2">
      <c r="B382" s="1053" t="str">
        <f t="shared" si="31"/>
        <v>Upper Hunter Shire Council</v>
      </c>
      <c r="C382" t="s">
        <v>453</v>
      </c>
      <c r="D382" s="1137">
        <f t="shared" si="27"/>
        <v>3.6999999999999998E-2</v>
      </c>
      <c r="E382" t="b">
        <f t="shared" si="30"/>
        <v>1</v>
      </c>
      <c r="I382" s="768"/>
      <c r="L382" s="1060">
        <v>3.6999999999999998E-2</v>
      </c>
      <c r="M382" s="1061" t="s">
        <v>453</v>
      </c>
      <c r="N382" s="768"/>
    </row>
    <row r="383" spans="2:14" x14ac:dyDescent="0.2">
      <c r="B383" s="1053" t="str">
        <f t="shared" si="31"/>
        <v>Upper Lachlan Shire Council</v>
      </c>
      <c r="C383" t="s">
        <v>454</v>
      </c>
      <c r="D383" s="1137">
        <f t="shared" si="27"/>
        <v>3.6999999999999998E-2</v>
      </c>
      <c r="E383" t="b">
        <f t="shared" si="30"/>
        <v>1</v>
      </c>
      <c r="I383" s="768"/>
      <c r="L383" s="1060">
        <v>3.6999999999999998E-2</v>
      </c>
      <c r="M383" s="1061" t="s">
        <v>454</v>
      </c>
      <c r="N383" s="768"/>
    </row>
    <row r="384" spans="2:14" x14ac:dyDescent="0.2">
      <c r="B384" s="1053" t="str">
        <f t="shared" si="31"/>
        <v>Uralla Shire Council</v>
      </c>
      <c r="C384" t="s">
        <v>455</v>
      </c>
      <c r="D384" s="1137">
        <f t="shared" si="27"/>
        <v>3.6999999999999998E-2</v>
      </c>
      <c r="E384" t="b">
        <f t="shared" si="30"/>
        <v>1</v>
      </c>
      <c r="I384" s="768"/>
      <c r="L384" s="1060">
        <v>3.6999999999999998E-2</v>
      </c>
      <c r="M384" s="1061" t="s">
        <v>455</v>
      </c>
      <c r="N384" s="768"/>
    </row>
    <row r="385" spans="2:14" x14ac:dyDescent="0.2">
      <c r="B385" s="1053" t="str">
        <f t="shared" si="31"/>
        <v>Wagga Wagga City Council</v>
      </c>
      <c r="C385" t="s">
        <v>456</v>
      </c>
      <c r="D385" s="1137">
        <f t="shared" si="27"/>
        <v>3.7999999999999999E-2</v>
      </c>
      <c r="E385" t="b">
        <f t="shared" si="30"/>
        <v>1</v>
      </c>
      <c r="I385" s="768"/>
      <c r="L385" s="1060">
        <v>3.7999999999999999E-2</v>
      </c>
      <c r="M385" s="1061" t="s">
        <v>456</v>
      </c>
      <c r="N385" s="768"/>
    </row>
    <row r="386" spans="2:14" x14ac:dyDescent="0.2">
      <c r="B386" s="1053" t="str">
        <f t="shared" si="31"/>
        <v>Walcha Council</v>
      </c>
      <c r="C386" t="s">
        <v>457</v>
      </c>
      <c r="D386" s="1137">
        <f t="shared" si="27"/>
        <v>3.6999999999999998E-2</v>
      </c>
      <c r="E386" t="b">
        <f t="shared" si="30"/>
        <v>1</v>
      </c>
      <c r="I386" s="768"/>
      <c r="L386" s="1060">
        <v>3.6999999999999998E-2</v>
      </c>
      <c r="M386" s="1061" t="s">
        <v>457</v>
      </c>
      <c r="N386" s="768"/>
    </row>
    <row r="387" spans="2:14" x14ac:dyDescent="0.2">
      <c r="B387" s="1053" t="str">
        <f t="shared" si="31"/>
        <v>Walgett Shire Council</v>
      </c>
      <c r="C387" t="s">
        <v>458</v>
      </c>
      <c r="D387" s="1137">
        <f t="shared" si="27"/>
        <v>3.6999999999999998E-2</v>
      </c>
      <c r="E387" t="b">
        <f t="shared" si="30"/>
        <v>1</v>
      </c>
      <c r="I387" s="768"/>
      <c r="L387" s="1060">
        <v>3.6999999999999998E-2</v>
      </c>
      <c r="M387" s="1061" t="s">
        <v>458</v>
      </c>
      <c r="N387" s="768"/>
    </row>
    <row r="388" spans="2:14" x14ac:dyDescent="0.2">
      <c r="B388" s="1053" t="str">
        <f t="shared" si="31"/>
        <v>Warren Shire Council</v>
      </c>
      <c r="C388" t="s">
        <v>459</v>
      </c>
      <c r="D388" s="1137">
        <f t="shared" si="27"/>
        <v>3.6999999999999998E-2</v>
      </c>
      <c r="E388" t="b">
        <f t="shared" si="30"/>
        <v>1</v>
      </c>
      <c r="I388" s="768"/>
      <c r="L388" s="1060">
        <v>3.6999999999999998E-2</v>
      </c>
      <c r="M388" s="1061" t="s">
        <v>459</v>
      </c>
      <c r="N388" s="768"/>
    </row>
    <row r="389" spans="2:14" x14ac:dyDescent="0.2">
      <c r="B389" s="1053" t="str">
        <f t="shared" si="31"/>
        <v>Warrumbungle Shire Council</v>
      </c>
      <c r="C389" t="s">
        <v>460</v>
      </c>
      <c r="D389" s="1137">
        <f t="shared" si="27"/>
        <v>3.6999999999999998E-2</v>
      </c>
      <c r="E389" t="b">
        <f t="shared" si="30"/>
        <v>1</v>
      </c>
      <c r="I389" s="768"/>
      <c r="L389" s="1060">
        <v>3.6999999999999998E-2</v>
      </c>
      <c r="M389" s="1061" t="s">
        <v>460</v>
      </c>
      <c r="N389" s="768"/>
    </row>
    <row r="390" spans="2:14" x14ac:dyDescent="0.2">
      <c r="B390" s="1053" t="str">
        <f t="shared" si="31"/>
        <v>Waverley Council</v>
      </c>
      <c r="C390" t="s">
        <v>461</v>
      </c>
      <c r="D390" s="1137">
        <f t="shared" si="27"/>
        <v>3.6999999999999998E-2</v>
      </c>
      <c r="E390" t="b">
        <f t="shared" si="30"/>
        <v>1</v>
      </c>
      <c r="I390" s="768"/>
      <c r="L390" s="1060">
        <v>3.6999999999999998E-2</v>
      </c>
      <c r="M390" s="1061" t="s">
        <v>461</v>
      </c>
      <c r="N390" s="768"/>
    </row>
    <row r="391" spans="2:14" x14ac:dyDescent="0.2">
      <c r="B391" s="1053" t="str">
        <f t="shared" si="31"/>
        <v>Weddin Shire Council</v>
      </c>
      <c r="C391" t="s">
        <v>462</v>
      </c>
      <c r="D391" s="1137">
        <f t="shared" si="27"/>
        <v>3.6999999999999998E-2</v>
      </c>
      <c r="E391" t="b">
        <f t="shared" si="30"/>
        <v>1</v>
      </c>
      <c r="I391" s="768"/>
      <c r="L391" s="1060">
        <v>3.6999999999999998E-2</v>
      </c>
      <c r="M391" s="1061" t="s">
        <v>462</v>
      </c>
      <c r="N391" s="768"/>
    </row>
    <row r="392" spans="2:14" x14ac:dyDescent="0.2">
      <c r="B392" s="1053" t="str">
        <f t="shared" si="31"/>
        <v>Wentworth Shire Council</v>
      </c>
      <c r="C392" t="s">
        <v>463</v>
      </c>
      <c r="D392" s="1137">
        <f t="shared" si="27"/>
        <v>3.6999999999999998E-2</v>
      </c>
      <c r="E392" t="b">
        <f t="shared" si="30"/>
        <v>1</v>
      </c>
      <c r="I392" s="768"/>
      <c r="L392" s="1060">
        <v>3.6999999999999998E-2</v>
      </c>
      <c r="M392" s="1061" t="s">
        <v>463</v>
      </c>
      <c r="N392" s="768"/>
    </row>
    <row r="393" spans="2:14" x14ac:dyDescent="0.2">
      <c r="B393" s="1053" t="str">
        <f t="shared" ref="B393:B398" si="32">C190</f>
        <v>Willoughby City Council</v>
      </c>
      <c r="C393" t="s">
        <v>464</v>
      </c>
      <c r="D393" s="1137">
        <f t="shared" si="27"/>
        <v>3.6999999999999998E-2</v>
      </c>
      <c r="E393" t="b">
        <f t="shared" si="30"/>
        <v>1</v>
      </c>
      <c r="I393" s="768"/>
      <c r="L393" s="1060">
        <v>3.6999999999999998E-2</v>
      </c>
      <c r="M393" s="1061" t="s">
        <v>464</v>
      </c>
      <c r="N393" s="768"/>
    </row>
    <row r="394" spans="2:14" x14ac:dyDescent="0.2">
      <c r="B394" s="1053" t="str">
        <f t="shared" si="32"/>
        <v>Wingecarribee Shire Council</v>
      </c>
      <c r="C394" t="s">
        <v>465</v>
      </c>
      <c r="D394" s="1137">
        <f t="shared" si="27"/>
        <v>4.1000000000000002E-2</v>
      </c>
      <c r="E394" t="b">
        <f t="shared" si="30"/>
        <v>1</v>
      </c>
      <c r="I394" s="768"/>
      <c r="L394" s="1060">
        <v>4.1000000000000002E-2</v>
      </c>
      <c r="M394" s="1061" t="s">
        <v>465</v>
      </c>
      <c r="N394" s="768"/>
    </row>
    <row r="395" spans="2:14" x14ac:dyDescent="0.2">
      <c r="B395" s="1053" t="str">
        <f t="shared" si="32"/>
        <v>Wollondilly Shire Council</v>
      </c>
      <c r="C395" t="s">
        <v>466</v>
      </c>
      <c r="D395" s="1137">
        <f t="shared" si="27"/>
        <v>3.6999999999999998E-2</v>
      </c>
      <c r="E395" t="b">
        <f t="shared" si="30"/>
        <v>1</v>
      </c>
      <c r="I395" s="768"/>
      <c r="L395" s="1060">
        <v>3.6999999999999998E-2</v>
      </c>
      <c r="M395" s="1061" t="s">
        <v>466</v>
      </c>
      <c r="N395" s="768"/>
    </row>
    <row r="396" spans="2:14" x14ac:dyDescent="0.2">
      <c r="B396" s="1053" t="str">
        <f t="shared" si="32"/>
        <v>Wollongong City Council</v>
      </c>
      <c r="C396" t="s">
        <v>467</v>
      </c>
      <c r="D396" s="1137">
        <f t="shared" si="27"/>
        <v>3.6999999999999998E-2</v>
      </c>
      <c r="E396" t="b">
        <f t="shared" si="30"/>
        <v>1</v>
      </c>
      <c r="I396" s="768"/>
      <c r="L396" s="1060">
        <v>3.6999999999999998E-2</v>
      </c>
      <c r="M396" s="1061" t="s">
        <v>467</v>
      </c>
      <c r="N396" s="768"/>
    </row>
    <row r="397" spans="2:14" x14ac:dyDescent="0.2">
      <c r="B397" s="1053" t="str">
        <f t="shared" si="32"/>
        <v>Woollahra Municipal Council</v>
      </c>
      <c r="C397" t="s">
        <v>468</v>
      </c>
      <c r="D397" s="1137">
        <f t="shared" si="27"/>
        <v>3.6999999999999998E-2</v>
      </c>
      <c r="E397" t="b">
        <f t="shared" si="30"/>
        <v>1</v>
      </c>
      <c r="I397" s="768"/>
      <c r="L397" s="1060">
        <v>3.6999999999999998E-2</v>
      </c>
      <c r="M397" s="1061" t="s">
        <v>468</v>
      </c>
      <c r="N397" s="768"/>
    </row>
    <row r="398" spans="2:14" x14ac:dyDescent="0.2">
      <c r="B398" s="1053" t="str">
        <f t="shared" si="32"/>
        <v>Yass Valley Council</v>
      </c>
      <c r="C398" t="s">
        <v>469</v>
      </c>
      <c r="D398" s="1137">
        <f t="shared" si="27"/>
        <v>4.2000000000000003E-2</v>
      </c>
      <c r="E398" t="b">
        <f t="shared" si="30"/>
        <v>1</v>
      </c>
      <c r="I398" s="768"/>
      <c r="L398" s="1060">
        <v>4.2000000000000003E-2</v>
      </c>
      <c r="M398" s="1061" t="s">
        <v>469</v>
      </c>
      <c r="N398" s="768"/>
    </row>
    <row r="399" spans="2:14" x14ac:dyDescent="0.2">
      <c r="B399" s="1056"/>
      <c r="C399" s="1037"/>
      <c r="D399" s="1037"/>
      <c r="E399" s="1037"/>
      <c r="F399" s="1037"/>
      <c r="G399" s="1037"/>
      <c r="H399" s="1037"/>
      <c r="I399" s="1052"/>
      <c r="L399" s="1051"/>
      <c r="M399" s="1037"/>
      <c r="N399" s="1052"/>
    </row>
    <row r="400" spans="2:14" x14ac:dyDescent="0.2">
      <c r="B400" s="1049"/>
    </row>
    <row r="401" spans="2:2" x14ac:dyDescent="0.2">
      <c r="B401" s="1049"/>
    </row>
    <row r="402" spans="2:2" x14ac:dyDescent="0.2">
      <c r="B402" s="1049"/>
    </row>
    <row r="403" spans="2:2" x14ac:dyDescent="0.2">
      <c r="B403" s="1049"/>
    </row>
    <row r="404" spans="2:2" x14ac:dyDescent="0.2">
      <c r="B404" s="1049"/>
    </row>
    <row r="405" spans="2:2" x14ac:dyDescent="0.2">
      <c r="B405" s="1049"/>
    </row>
    <row r="406" spans="2:2" x14ac:dyDescent="0.2">
      <c r="B406" s="1049"/>
    </row>
    <row r="407" spans="2:2" x14ac:dyDescent="0.2">
      <c r="B407" s="1049"/>
    </row>
    <row r="408" spans="2:2" x14ac:dyDescent="0.2">
      <c r="B408" s="1049"/>
    </row>
  </sheetData>
  <conditionalFormatting sqref="E271:E398">
    <cfRule type="cellIs" dxfId="36" priority="1" operator="equal">
      <formula>FALSE</formula>
    </cfRule>
  </conditionalFormatting>
  <hyperlinks>
    <hyperlink ref="D31" r:id="rId1" xr:uid="{00000000-0004-0000-0100-000000000000}"/>
    <hyperlink ref="D37" r:id="rId2" xr:uid="{00000000-0004-0000-0100-000001000000}"/>
  </hyperlinks>
  <pageMargins left="0.7" right="0.7" top="0.75" bottom="0.75" header="0.3" footer="0.3"/>
  <pageSetup paperSize="9" orientation="portrait"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AT308"/>
  <sheetViews>
    <sheetView showGridLines="0" tabSelected="1" topLeftCell="A133" zoomScale="115" zoomScaleNormal="115" workbookViewId="0">
      <selection activeCell="S146" sqref="S146"/>
    </sheetView>
  </sheetViews>
  <sheetFormatPr defaultRowHeight="11.4" x14ac:dyDescent="0.2"/>
  <cols>
    <col min="1" max="1" width="2.625" customWidth="1"/>
    <col min="2" max="2" width="8.125" style="9" customWidth="1"/>
    <col min="3" max="3" width="5.375" style="9" customWidth="1"/>
    <col min="4" max="4" width="5.75" style="9" customWidth="1"/>
    <col min="5" max="9" width="9" style="9"/>
    <col min="10" max="10" width="5.75" style="9" customWidth="1"/>
    <col min="11" max="11" width="6.625" style="9" customWidth="1"/>
    <col min="12" max="12" width="12.375" style="9" customWidth="1"/>
    <col min="13" max="13" width="19.75" style="9" customWidth="1"/>
    <col min="14" max="14" width="5.375" style="9" customWidth="1"/>
    <col min="16" max="16" width="7" customWidth="1"/>
    <col min="17" max="17" width="13.625" customWidth="1"/>
    <col min="18" max="18" width="2.25" customWidth="1"/>
    <col min="19" max="20" width="9" customWidth="1"/>
    <col min="21" max="22" width="9.375" customWidth="1"/>
    <col min="23" max="23" width="43.125" customWidth="1"/>
    <col min="24" max="24" width="6.375" customWidth="1"/>
    <col min="25" max="25" width="0.125" customWidth="1"/>
    <col min="26" max="46" width="9.375" customWidth="1"/>
    <col min="253" max="253" width="8.125" customWidth="1"/>
    <col min="254" max="254" width="10.875" customWidth="1"/>
    <col min="261" max="261" width="10.375" bestFit="1" customWidth="1"/>
    <col min="262" max="262" width="10.75" bestFit="1" customWidth="1"/>
    <col min="263" max="263" width="10" customWidth="1"/>
    <col min="264" max="264" width="35.75" customWidth="1"/>
    <col min="265" max="265" width="2.25" customWidth="1"/>
    <col min="266" max="266" width="3.125" customWidth="1"/>
    <col min="509" max="509" width="8.125" customWidth="1"/>
    <col min="510" max="510" width="10.875" customWidth="1"/>
    <col min="517" max="517" width="10.375" bestFit="1" customWidth="1"/>
    <col min="518" max="518" width="10.75" bestFit="1" customWidth="1"/>
    <col min="519" max="519" width="10" customWidth="1"/>
    <col min="520" max="520" width="35.75" customWidth="1"/>
    <col min="521" max="521" width="2.25" customWidth="1"/>
    <col min="522" max="522" width="3.125" customWidth="1"/>
    <col min="765" max="765" width="8.125" customWidth="1"/>
    <col min="766" max="766" width="10.875" customWidth="1"/>
    <col min="773" max="773" width="10.375" bestFit="1" customWidth="1"/>
    <col min="774" max="774" width="10.75" bestFit="1" customWidth="1"/>
    <col min="775" max="775" width="10" customWidth="1"/>
    <col min="776" max="776" width="35.75" customWidth="1"/>
    <col min="777" max="777" width="2.25" customWidth="1"/>
    <col min="778" max="778" width="3.125" customWidth="1"/>
    <col min="1021" max="1021" width="8.125" customWidth="1"/>
    <col min="1022" max="1022" width="10.875" customWidth="1"/>
    <col min="1029" max="1029" width="10.375" bestFit="1" customWidth="1"/>
    <col min="1030" max="1030" width="10.75" bestFit="1" customWidth="1"/>
    <col min="1031" max="1031" width="10" customWidth="1"/>
    <col min="1032" max="1032" width="35.75" customWidth="1"/>
    <col min="1033" max="1033" width="2.25" customWidth="1"/>
    <col min="1034" max="1034" width="3.125" customWidth="1"/>
    <col min="1277" max="1277" width="8.125" customWidth="1"/>
    <col min="1278" max="1278" width="10.875" customWidth="1"/>
    <col min="1285" max="1285" width="10.375" bestFit="1" customWidth="1"/>
    <col min="1286" max="1286" width="10.75" bestFit="1" customWidth="1"/>
    <col min="1287" max="1287" width="10" customWidth="1"/>
    <col min="1288" max="1288" width="35.75" customWidth="1"/>
    <col min="1289" max="1289" width="2.25" customWidth="1"/>
    <col min="1290" max="1290" width="3.125" customWidth="1"/>
    <col min="1533" max="1533" width="8.125" customWidth="1"/>
    <col min="1534" max="1534" width="10.875" customWidth="1"/>
    <col min="1541" max="1541" width="10.375" bestFit="1" customWidth="1"/>
    <col min="1542" max="1542" width="10.75" bestFit="1" customWidth="1"/>
    <col min="1543" max="1543" width="10" customWidth="1"/>
    <col min="1544" max="1544" width="35.75" customWidth="1"/>
    <col min="1545" max="1545" width="2.25" customWidth="1"/>
    <col min="1546" max="1546" width="3.125" customWidth="1"/>
    <col min="1789" max="1789" width="8.125" customWidth="1"/>
    <col min="1790" max="1790" width="10.875" customWidth="1"/>
    <col min="1797" max="1797" width="10.375" bestFit="1" customWidth="1"/>
    <col min="1798" max="1798" width="10.75" bestFit="1" customWidth="1"/>
    <col min="1799" max="1799" width="10" customWidth="1"/>
    <col min="1800" max="1800" width="35.75" customWidth="1"/>
    <col min="1801" max="1801" width="2.25" customWidth="1"/>
    <col min="1802" max="1802" width="3.125" customWidth="1"/>
    <col min="2045" max="2045" width="8.125" customWidth="1"/>
    <col min="2046" max="2046" width="10.875" customWidth="1"/>
    <col min="2053" max="2053" width="10.375" bestFit="1" customWidth="1"/>
    <col min="2054" max="2054" width="10.75" bestFit="1" customWidth="1"/>
    <col min="2055" max="2055" width="10" customWidth="1"/>
    <col min="2056" max="2056" width="35.75" customWidth="1"/>
    <col min="2057" max="2057" width="2.25" customWidth="1"/>
    <col min="2058" max="2058" width="3.125" customWidth="1"/>
    <col min="2301" max="2301" width="8.125" customWidth="1"/>
    <col min="2302" max="2302" width="10.875" customWidth="1"/>
    <col min="2309" max="2309" width="10.375" bestFit="1" customWidth="1"/>
    <col min="2310" max="2310" width="10.75" bestFit="1" customWidth="1"/>
    <col min="2311" max="2311" width="10" customWidth="1"/>
    <col min="2312" max="2312" width="35.75" customWidth="1"/>
    <col min="2313" max="2313" width="2.25" customWidth="1"/>
    <col min="2314" max="2314" width="3.125" customWidth="1"/>
    <col min="2557" max="2557" width="8.125" customWidth="1"/>
    <col min="2558" max="2558" width="10.875" customWidth="1"/>
    <col min="2565" max="2565" width="10.375" bestFit="1" customWidth="1"/>
    <col min="2566" max="2566" width="10.75" bestFit="1" customWidth="1"/>
    <col min="2567" max="2567" width="10" customWidth="1"/>
    <col min="2568" max="2568" width="35.75" customWidth="1"/>
    <col min="2569" max="2569" width="2.25" customWidth="1"/>
    <col min="2570" max="2570" width="3.125" customWidth="1"/>
    <col min="2813" max="2813" width="8.125" customWidth="1"/>
    <col min="2814" max="2814" width="10.875" customWidth="1"/>
    <col min="2821" max="2821" width="10.375" bestFit="1" customWidth="1"/>
    <col min="2822" max="2822" width="10.75" bestFit="1" customWidth="1"/>
    <col min="2823" max="2823" width="10" customWidth="1"/>
    <col min="2824" max="2824" width="35.75" customWidth="1"/>
    <col min="2825" max="2825" width="2.25" customWidth="1"/>
    <col min="2826" max="2826" width="3.125" customWidth="1"/>
    <col min="3069" max="3069" width="8.125" customWidth="1"/>
    <col min="3070" max="3070" width="10.875" customWidth="1"/>
    <col min="3077" max="3077" width="10.375" bestFit="1" customWidth="1"/>
    <col min="3078" max="3078" width="10.75" bestFit="1" customWidth="1"/>
    <col min="3079" max="3079" width="10" customWidth="1"/>
    <col min="3080" max="3080" width="35.75" customWidth="1"/>
    <col min="3081" max="3081" width="2.25" customWidth="1"/>
    <col min="3082" max="3082" width="3.125" customWidth="1"/>
    <col min="3325" max="3325" width="8.125" customWidth="1"/>
    <col min="3326" max="3326" width="10.875" customWidth="1"/>
    <col min="3333" max="3333" width="10.375" bestFit="1" customWidth="1"/>
    <col min="3334" max="3334" width="10.75" bestFit="1" customWidth="1"/>
    <col min="3335" max="3335" width="10" customWidth="1"/>
    <col min="3336" max="3336" width="35.75" customWidth="1"/>
    <col min="3337" max="3337" width="2.25" customWidth="1"/>
    <col min="3338" max="3338" width="3.125" customWidth="1"/>
    <col min="3581" max="3581" width="8.125" customWidth="1"/>
    <col min="3582" max="3582" width="10.875" customWidth="1"/>
    <col min="3589" max="3589" width="10.375" bestFit="1" customWidth="1"/>
    <col min="3590" max="3590" width="10.75" bestFit="1" customWidth="1"/>
    <col min="3591" max="3591" width="10" customWidth="1"/>
    <col min="3592" max="3592" width="35.75" customWidth="1"/>
    <col min="3593" max="3593" width="2.25" customWidth="1"/>
    <col min="3594" max="3594" width="3.125" customWidth="1"/>
    <col min="3837" max="3837" width="8.125" customWidth="1"/>
    <col min="3838" max="3838" width="10.875" customWidth="1"/>
    <col min="3845" max="3845" width="10.375" bestFit="1" customWidth="1"/>
    <col min="3846" max="3846" width="10.75" bestFit="1" customWidth="1"/>
    <col min="3847" max="3847" width="10" customWidth="1"/>
    <col min="3848" max="3848" width="35.75" customWidth="1"/>
    <col min="3849" max="3849" width="2.25" customWidth="1"/>
    <col min="3850" max="3850" width="3.125" customWidth="1"/>
    <col min="4093" max="4093" width="8.125" customWidth="1"/>
    <col min="4094" max="4094" width="10.875" customWidth="1"/>
    <col min="4101" max="4101" width="10.375" bestFit="1" customWidth="1"/>
    <col min="4102" max="4102" width="10.75" bestFit="1" customWidth="1"/>
    <col min="4103" max="4103" width="10" customWidth="1"/>
    <col min="4104" max="4104" width="35.75" customWidth="1"/>
    <col min="4105" max="4105" width="2.25" customWidth="1"/>
    <col min="4106" max="4106" width="3.125" customWidth="1"/>
    <col min="4349" max="4349" width="8.125" customWidth="1"/>
    <col min="4350" max="4350" width="10.875" customWidth="1"/>
    <col min="4357" max="4357" width="10.375" bestFit="1" customWidth="1"/>
    <col min="4358" max="4358" width="10.75" bestFit="1" customWidth="1"/>
    <col min="4359" max="4359" width="10" customWidth="1"/>
    <col min="4360" max="4360" width="35.75" customWidth="1"/>
    <col min="4361" max="4361" width="2.25" customWidth="1"/>
    <col min="4362" max="4362" width="3.125" customWidth="1"/>
    <col min="4605" max="4605" width="8.125" customWidth="1"/>
    <col min="4606" max="4606" width="10.875" customWidth="1"/>
    <col min="4613" max="4613" width="10.375" bestFit="1" customWidth="1"/>
    <col min="4614" max="4614" width="10.75" bestFit="1" customWidth="1"/>
    <col min="4615" max="4615" width="10" customWidth="1"/>
    <col min="4616" max="4616" width="35.75" customWidth="1"/>
    <col min="4617" max="4617" width="2.25" customWidth="1"/>
    <col min="4618" max="4618" width="3.125" customWidth="1"/>
    <col min="4861" max="4861" width="8.125" customWidth="1"/>
    <col min="4862" max="4862" width="10.875" customWidth="1"/>
    <col min="4869" max="4869" width="10.375" bestFit="1" customWidth="1"/>
    <col min="4870" max="4870" width="10.75" bestFit="1" customWidth="1"/>
    <col min="4871" max="4871" width="10" customWidth="1"/>
    <col min="4872" max="4872" width="35.75" customWidth="1"/>
    <col min="4873" max="4873" width="2.25" customWidth="1"/>
    <col min="4874" max="4874" width="3.125" customWidth="1"/>
    <col min="5117" max="5117" width="8.125" customWidth="1"/>
    <col min="5118" max="5118" width="10.875" customWidth="1"/>
    <col min="5125" max="5125" width="10.375" bestFit="1" customWidth="1"/>
    <col min="5126" max="5126" width="10.75" bestFit="1" customWidth="1"/>
    <col min="5127" max="5127" width="10" customWidth="1"/>
    <col min="5128" max="5128" width="35.75" customWidth="1"/>
    <col min="5129" max="5129" width="2.25" customWidth="1"/>
    <col min="5130" max="5130" width="3.125" customWidth="1"/>
    <col min="5373" max="5373" width="8.125" customWidth="1"/>
    <col min="5374" max="5374" width="10.875" customWidth="1"/>
    <col min="5381" max="5381" width="10.375" bestFit="1" customWidth="1"/>
    <col min="5382" max="5382" width="10.75" bestFit="1" customWidth="1"/>
    <col min="5383" max="5383" width="10" customWidth="1"/>
    <col min="5384" max="5384" width="35.75" customWidth="1"/>
    <col min="5385" max="5385" width="2.25" customWidth="1"/>
    <col min="5386" max="5386" width="3.125" customWidth="1"/>
    <col min="5629" max="5629" width="8.125" customWidth="1"/>
    <col min="5630" max="5630" width="10.875" customWidth="1"/>
    <col min="5637" max="5637" width="10.375" bestFit="1" customWidth="1"/>
    <col min="5638" max="5638" width="10.75" bestFit="1" customWidth="1"/>
    <col min="5639" max="5639" width="10" customWidth="1"/>
    <col min="5640" max="5640" width="35.75" customWidth="1"/>
    <col min="5641" max="5641" width="2.25" customWidth="1"/>
    <col min="5642" max="5642" width="3.125" customWidth="1"/>
    <col min="5885" max="5885" width="8.125" customWidth="1"/>
    <col min="5886" max="5886" width="10.875" customWidth="1"/>
    <col min="5893" max="5893" width="10.375" bestFit="1" customWidth="1"/>
    <col min="5894" max="5894" width="10.75" bestFit="1" customWidth="1"/>
    <col min="5895" max="5895" width="10" customWidth="1"/>
    <col min="5896" max="5896" width="35.75" customWidth="1"/>
    <col min="5897" max="5897" width="2.25" customWidth="1"/>
    <col min="5898" max="5898" width="3.125" customWidth="1"/>
    <col min="6141" max="6141" width="8.125" customWidth="1"/>
    <col min="6142" max="6142" width="10.875" customWidth="1"/>
    <col min="6149" max="6149" width="10.375" bestFit="1" customWidth="1"/>
    <col min="6150" max="6150" width="10.75" bestFit="1" customWidth="1"/>
    <col min="6151" max="6151" width="10" customWidth="1"/>
    <col min="6152" max="6152" width="35.75" customWidth="1"/>
    <col min="6153" max="6153" width="2.25" customWidth="1"/>
    <col min="6154" max="6154" width="3.125" customWidth="1"/>
    <col min="6397" max="6397" width="8.125" customWidth="1"/>
    <col min="6398" max="6398" width="10.875" customWidth="1"/>
    <col min="6405" max="6405" width="10.375" bestFit="1" customWidth="1"/>
    <col min="6406" max="6406" width="10.75" bestFit="1" customWidth="1"/>
    <col min="6407" max="6407" width="10" customWidth="1"/>
    <col min="6408" max="6408" width="35.75" customWidth="1"/>
    <col min="6409" max="6409" width="2.25" customWidth="1"/>
    <col min="6410" max="6410" width="3.125" customWidth="1"/>
    <col min="6653" max="6653" width="8.125" customWidth="1"/>
    <col min="6654" max="6654" width="10.875" customWidth="1"/>
    <col min="6661" max="6661" width="10.375" bestFit="1" customWidth="1"/>
    <col min="6662" max="6662" width="10.75" bestFit="1" customWidth="1"/>
    <col min="6663" max="6663" width="10" customWidth="1"/>
    <col min="6664" max="6664" width="35.75" customWidth="1"/>
    <col min="6665" max="6665" width="2.25" customWidth="1"/>
    <col min="6666" max="6666" width="3.125" customWidth="1"/>
    <col min="6909" max="6909" width="8.125" customWidth="1"/>
    <col min="6910" max="6910" width="10.875" customWidth="1"/>
    <col min="6917" max="6917" width="10.375" bestFit="1" customWidth="1"/>
    <col min="6918" max="6918" width="10.75" bestFit="1" customWidth="1"/>
    <col min="6919" max="6919" width="10" customWidth="1"/>
    <col min="6920" max="6920" width="35.75" customWidth="1"/>
    <col min="6921" max="6921" width="2.25" customWidth="1"/>
    <col min="6922" max="6922" width="3.125" customWidth="1"/>
    <col min="7165" max="7165" width="8.125" customWidth="1"/>
    <col min="7166" max="7166" width="10.875" customWidth="1"/>
    <col min="7173" max="7173" width="10.375" bestFit="1" customWidth="1"/>
    <col min="7174" max="7174" width="10.75" bestFit="1" customWidth="1"/>
    <col min="7175" max="7175" width="10" customWidth="1"/>
    <col min="7176" max="7176" width="35.75" customWidth="1"/>
    <col min="7177" max="7177" width="2.25" customWidth="1"/>
    <col min="7178" max="7178" width="3.125" customWidth="1"/>
    <col min="7421" max="7421" width="8.125" customWidth="1"/>
    <col min="7422" max="7422" width="10.875" customWidth="1"/>
    <col min="7429" max="7429" width="10.375" bestFit="1" customWidth="1"/>
    <col min="7430" max="7430" width="10.75" bestFit="1" customWidth="1"/>
    <col min="7431" max="7431" width="10" customWidth="1"/>
    <col min="7432" max="7432" width="35.75" customWidth="1"/>
    <col min="7433" max="7433" width="2.25" customWidth="1"/>
    <col min="7434" max="7434" width="3.125" customWidth="1"/>
    <col min="7677" max="7677" width="8.125" customWidth="1"/>
    <col min="7678" max="7678" width="10.875" customWidth="1"/>
    <col min="7685" max="7685" width="10.375" bestFit="1" customWidth="1"/>
    <col min="7686" max="7686" width="10.75" bestFit="1" customWidth="1"/>
    <col min="7687" max="7687" width="10" customWidth="1"/>
    <col min="7688" max="7688" width="35.75" customWidth="1"/>
    <col min="7689" max="7689" width="2.25" customWidth="1"/>
    <col min="7690" max="7690" width="3.125" customWidth="1"/>
    <col min="7933" max="7933" width="8.125" customWidth="1"/>
    <col min="7934" max="7934" width="10.875" customWidth="1"/>
    <col min="7941" max="7941" width="10.375" bestFit="1" customWidth="1"/>
    <col min="7942" max="7942" width="10.75" bestFit="1" customWidth="1"/>
    <col min="7943" max="7943" width="10" customWidth="1"/>
    <col min="7944" max="7944" width="35.75" customWidth="1"/>
    <col min="7945" max="7945" width="2.25" customWidth="1"/>
    <col min="7946" max="7946" width="3.125" customWidth="1"/>
    <col min="8189" max="8189" width="8.125" customWidth="1"/>
    <col min="8190" max="8190" width="10.875" customWidth="1"/>
    <col min="8197" max="8197" width="10.375" bestFit="1" customWidth="1"/>
    <col min="8198" max="8198" width="10.75" bestFit="1" customWidth="1"/>
    <col min="8199" max="8199" width="10" customWidth="1"/>
    <col min="8200" max="8200" width="35.75" customWidth="1"/>
    <col min="8201" max="8201" width="2.25" customWidth="1"/>
    <col min="8202" max="8202" width="3.125" customWidth="1"/>
    <col min="8445" max="8445" width="8.125" customWidth="1"/>
    <col min="8446" max="8446" width="10.875" customWidth="1"/>
    <col min="8453" max="8453" width="10.375" bestFit="1" customWidth="1"/>
    <col min="8454" max="8454" width="10.75" bestFit="1" customWidth="1"/>
    <col min="8455" max="8455" width="10" customWidth="1"/>
    <col min="8456" max="8456" width="35.75" customWidth="1"/>
    <col min="8457" max="8457" width="2.25" customWidth="1"/>
    <col min="8458" max="8458" width="3.125" customWidth="1"/>
    <col min="8701" max="8701" width="8.125" customWidth="1"/>
    <col min="8702" max="8702" width="10.875" customWidth="1"/>
    <col min="8709" max="8709" width="10.375" bestFit="1" customWidth="1"/>
    <col min="8710" max="8710" width="10.75" bestFit="1" customWidth="1"/>
    <col min="8711" max="8711" width="10" customWidth="1"/>
    <col min="8712" max="8712" width="35.75" customWidth="1"/>
    <col min="8713" max="8713" width="2.25" customWidth="1"/>
    <col min="8714" max="8714" width="3.125" customWidth="1"/>
    <col min="8957" max="8957" width="8.125" customWidth="1"/>
    <col min="8958" max="8958" width="10.875" customWidth="1"/>
    <col min="8965" max="8965" width="10.375" bestFit="1" customWidth="1"/>
    <col min="8966" max="8966" width="10.75" bestFit="1" customWidth="1"/>
    <col min="8967" max="8967" width="10" customWidth="1"/>
    <col min="8968" max="8968" width="35.75" customWidth="1"/>
    <col min="8969" max="8969" width="2.25" customWidth="1"/>
    <col min="8970" max="8970" width="3.125" customWidth="1"/>
    <col min="9213" max="9213" width="8.125" customWidth="1"/>
    <col min="9214" max="9214" width="10.875" customWidth="1"/>
    <col min="9221" max="9221" width="10.375" bestFit="1" customWidth="1"/>
    <col min="9222" max="9222" width="10.75" bestFit="1" customWidth="1"/>
    <col min="9223" max="9223" width="10" customWidth="1"/>
    <col min="9224" max="9224" width="35.75" customWidth="1"/>
    <col min="9225" max="9225" width="2.25" customWidth="1"/>
    <col min="9226" max="9226" width="3.125" customWidth="1"/>
    <col min="9469" max="9469" width="8.125" customWidth="1"/>
    <col min="9470" max="9470" width="10.875" customWidth="1"/>
    <col min="9477" max="9477" width="10.375" bestFit="1" customWidth="1"/>
    <col min="9478" max="9478" width="10.75" bestFit="1" customWidth="1"/>
    <col min="9479" max="9479" width="10" customWidth="1"/>
    <col min="9480" max="9480" width="35.75" customWidth="1"/>
    <col min="9481" max="9481" width="2.25" customWidth="1"/>
    <col min="9482" max="9482" width="3.125" customWidth="1"/>
    <col min="9725" max="9725" width="8.125" customWidth="1"/>
    <col min="9726" max="9726" width="10.875" customWidth="1"/>
    <col min="9733" max="9733" width="10.375" bestFit="1" customWidth="1"/>
    <col min="9734" max="9734" width="10.75" bestFit="1" customWidth="1"/>
    <col min="9735" max="9735" width="10" customWidth="1"/>
    <col min="9736" max="9736" width="35.75" customWidth="1"/>
    <col min="9737" max="9737" width="2.25" customWidth="1"/>
    <col min="9738" max="9738" width="3.125" customWidth="1"/>
    <col min="9981" max="9981" width="8.125" customWidth="1"/>
    <col min="9982" max="9982" width="10.875" customWidth="1"/>
    <col min="9989" max="9989" width="10.375" bestFit="1" customWidth="1"/>
    <col min="9990" max="9990" width="10.75" bestFit="1" customWidth="1"/>
    <col min="9991" max="9991" width="10" customWidth="1"/>
    <col min="9992" max="9992" width="35.75" customWidth="1"/>
    <col min="9993" max="9993" width="2.25" customWidth="1"/>
    <col min="9994" max="9994" width="3.125" customWidth="1"/>
    <col min="10237" max="10237" width="8.125" customWidth="1"/>
    <col min="10238" max="10238" width="10.875" customWidth="1"/>
    <col min="10245" max="10245" width="10.375" bestFit="1" customWidth="1"/>
    <col min="10246" max="10246" width="10.75" bestFit="1" customWidth="1"/>
    <col min="10247" max="10247" width="10" customWidth="1"/>
    <col min="10248" max="10248" width="35.75" customWidth="1"/>
    <col min="10249" max="10249" width="2.25" customWidth="1"/>
    <col min="10250" max="10250" width="3.125" customWidth="1"/>
    <col min="10493" max="10493" width="8.125" customWidth="1"/>
    <col min="10494" max="10494" width="10.875" customWidth="1"/>
    <col min="10501" max="10501" width="10.375" bestFit="1" customWidth="1"/>
    <col min="10502" max="10502" width="10.75" bestFit="1" customWidth="1"/>
    <col min="10503" max="10503" width="10" customWidth="1"/>
    <col min="10504" max="10504" width="35.75" customWidth="1"/>
    <col min="10505" max="10505" width="2.25" customWidth="1"/>
    <col min="10506" max="10506" width="3.125" customWidth="1"/>
    <col min="10749" max="10749" width="8.125" customWidth="1"/>
    <col min="10750" max="10750" width="10.875" customWidth="1"/>
    <col min="10757" max="10757" width="10.375" bestFit="1" customWidth="1"/>
    <col min="10758" max="10758" width="10.75" bestFit="1" customWidth="1"/>
    <col min="10759" max="10759" width="10" customWidth="1"/>
    <col min="10760" max="10760" width="35.75" customWidth="1"/>
    <col min="10761" max="10761" width="2.25" customWidth="1"/>
    <col min="10762" max="10762" width="3.125" customWidth="1"/>
    <col min="11005" max="11005" width="8.125" customWidth="1"/>
    <col min="11006" max="11006" width="10.875" customWidth="1"/>
    <col min="11013" max="11013" width="10.375" bestFit="1" customWidth="1"/>
    <col min="11014" max="11014" width="10.75" bestFit="1" customWidth="1"/>
    <col min="11015" max="11015" width="10" customWidth="1"/>
    <col min="11016" max="11016" width="35.75" customWidth="1"/>
    <col min="11017" max="11017" width="2.25" customWidth="1"/>
    <col min="11018" max="11018" width="3.125" customWidth="1"/>
    <col min="11261" max="11261" width="8.125" customWidth="1"/>
    <col min="11262" max="11262" width="10.875" customWidth="1"/>
    <col min="11269" max="11269" width="10.375" bestFit="1" customWidth="1"/>
    <col min="11270" max="11270" width="10.75" bestFit="1" customWidth="1"/>
    <col min="11271" max="11271" width="10" customWidth="1"/>
    <col min="11272" max="11272" width="35.75" customWidth="1"/>
    <col min="11273" max="11273" width="2.25" customWidth="1"/>
    <col min="11274" max="11274" width="3.125" customWidth="1"/>
    <col min="11517" max="11517" width="8.125" customWidth="1"/>
    <col min="11518" max="11518" width="10.875" customWidth="1"/>
    <col min="11525" max="11525" width="10.375" bestFit="1" customWidth="1"/>
    <col min="11526" max="11526" width="10.75" bestFit="1" customWidth="1"/>
    <col min="11527" max="11527" width="10" customWidth="1"/>
    <col min="11528" max="11528" width="35.75" customWidth="1"/>
    <col min="11529" max="11529" width="2.25" customWidth="1"/>
    <col min="11530" max="11530" width="3.125" customWidth="1"/>
    <col min="11773" max="11773" width="8.125" customWidth="1"/>
    <col min="11774" max="11774" width="10.875" customWidth="1"/>
    <col min="11781" max="11781" width="10.375" bestFit="1" customWidth="1"/>
    <col min="11782" max="11782" width="10.75" bestFit="1" customWidth="1"/>
    <col min="11783" max="11783" width="10" customWidth="1"/>
    <col min="11784" max="11784" width="35.75" customWidth="1"/>
    <col min="11785" max="11785" width="2.25" customWidth="1"/>
    <col min="11786" max="11786" width="3.125" customWidth="1"/>
    <col min="12029" max="12029" width="8.125" customWidth="1"/>
    <col min="12030" max="12030" width="10.875" customWidth="1"/>
    <col min="12037" max="12037" width="10.375" bestFit="1" customWidth="1"/>
    <col min="12038" max="12038" width="10.75" bestFit="1" customWidth="1"/>
    <col min="12039" max="12039" width="10" customWidth="1"/>
    <col min="12040" max="12040" width="35.75" customWidth="1"/>
    <col min="12041" max="12041" width="2.25" customWidth="1"/>
    <col min="12042" max="12042" width="3.125" customWidth="1"/>
    <col min="12285" max="12285" width="8.125" customWidth="1"/>
    <col min="12286" max="12286" width="10.875" customWidth="1"/>
    <col min="12293" max="12293" width="10.375" bestFit="1" customWidth="1"/>
    <col min="12294" max="12294" width="10.75" bestFit="1" customWidth="1"/>
    <col min="12295" max="12295" width="10" customWidth="1"/>
    <col min="12296" max="12296" width="35.75" customWidth="1"/>
    <col min="12297" max="12297" width="2.25" customWidth="1"/>
    <col min="12298" max="12298" width="3.125" customWidth="1"/>
    <col min="12541" max="12541" width="8.125" customWidth="1"/>
    <col min="12542" max="12542" width="10.875" customWidth="1"/>
    <col min="12549" max="12549" width="10.375" bestFit="1" customWidth="1"/>
    <col min="12550" max="12550" width="10.75" bestFit="1" customWidth="1"/>
    <col min="12551" max="12551" width="10" customWidth="1"/>
    <col min="12552" max="12552" width="35.75" customWidth="1"/>
    <col min="12553" max="12553" width="2.25" customWidth="1"/>
    <col min="12554" max="12554" width="3.125" customWidth="1"/>
    <col min="12797" max="12797" width="8.125" customWidth="1"/>
    <col min="12798" max="12798" width="10.875" customWidth="1"/>
    <col min="12805" max="12805" width="10.375" bestFit="1" customWidth="1"/>
    <col min="12806" max="12806" width="10.75" bestFit="1" customWidth="1"/>
    <col min="12807" max="12807" width="10" customWidth="1"/>
    <col min="12808" max="12808" width="35.75" customWidth="1"/>
    <col min="12809" max="12809" width="2.25" customWidth="1"/>
    <col min="12810" max="12810" width="3.125" customWidth="1"/>
    <col min="13053" max="13053" width="8.125" customWidth="1"/>
    <col min="13054" max="13054" width="10.875" customWidth="1"/>
    <col min="13061" max="13061" width="10.375" bestFit="1" customWidth="1"/>
    <col min="13062" max="13062" width="10.75" bestFit="1" customWidth="1"/>
    <col min="13063" max="13063" width="10" customWidth="1"/>
    <col min="13064" max="13064" width="35.75" customWidth="1"/>
    <col min="13065" max="13065" width="2.25" customWidth="1"/>
    <col min="13066" max="13066" width="3.125" customWidth="1"/>
    <col min="13309" max="13309" width="8.125" customWidth="1"/>
    <col min="13310" max="13310" width="10.875" customWidth="1"/>
    <col min="13317" max="13317" width="10.375" bestFit="1" customWidth="1"/>
    <col min="13318" max="13318" width="10.75" bestFit="1" customWidth="1"/>
    <col min="13319" max="13319" width="10" customWidth="1"/>
    <col min="13320" max="13320" width="35.75" customWidth="1"/>
    <col min="13321" max="13321" width="2.25" customWidth="1"/>
    <col min="13322" max="13322" width="3.125" customWidth="1"/>
    <col min="13565" max="13565" width="8.125" customWidth="1"/>
    <col min="13566" max="13566" width="10.875" customWidth="1"/>
    <col min="13573" max="13573" width="10.375" bestFit="1" customWidth="1"/>
    <col min="13574" max="13574" width="10.75" bestFit="1" customWidth="1"/>
    <col min="13575" max="13575" width="10" customWidth="1"/>
    <col min="13576" max="13576" width="35.75" customWidth="1"/>
    <col min="13577" max="13577" width="2.25" customWidth="1"/>
    <col min="13578" max="13578" width="3.125" customWidth="1"/>
    <col min="13821" max="13821" width="8.125" customWidth="1"/>
    <col min="13822" max="13822" width="10.875" customWidth="1"/>
    <col min="13829" max="13829" width="10.375" bestFit="1" customWidth="1"/>
    <col min="13830" max="13830" width="10.75" bestFit="1" customWidth="1"/>
    <col min="13831" max="13831" width="10" customWidth="1"/>
    <col min="13832" max="13832" width="35.75" customWidth="1"/>
    <col min="13833" max="13833" width="2.25" customWidth="1"/>
    <col min="13834" max="13834" width="3.125" customWidth="1"/>
    <col min="14077" max="14077" width="8.125" customWidth="1"/>
    <col min="14078" max="14078" width="10.875" customWidth="1"/>
    <col min="14085" max="14085" width="10.375" bestFit="1" customWidth="1"/>
    <col min="14086" max="14086" width="10.75" bestFit="1" customWidth="1"/>
    <col min="14087" max="14087" width="10" customWidth="1"/>
    <col min="14088" max="14088" width="35.75" customWidth="1"/>
    <col min="14089" max="14089" width="2.25" customWidth="1"/>
    <col min="14090" max="14090" width="3.125" customWidth="1"/>
    <col min="14333" max="14333" width="8.125" customWidth="1"/>
    <col min="14334" max="14334" width="10.875" customWidth="1"/>
    <col min="14341" max="14341" width="10.375" bestFit="1" customWidth="1"/>
    <col min="14342" max="14342" width="10.75" bestFit="1" customWidth="1"/>
    <col min="14343" max="14343" width="10" customWidth="1"/>
    <col min="14344" max="14344" width="35.75" customWidth="1"/>
    <col min="14345" max="14345" width="2.25" customWidth="1"/>
    <col min="14346" max="14346" width="3.125" customWidth="1"/>
    <col min="14589" max="14589" width="8.125" customWidth="1"/>
    <col min="14590" max="14590" width="10.875" customWidth="1"/>
    <col min="14597" max="14597" width="10.375" bestFit="1" customWidth="1"/>
    <col min="14598" max="14598" width="10.75" bestFit="1" customWidth="1"/>
    <col min="14599" max="14599" width="10" customWidth="1"/>
    <col min="14600" max="14600" width="35.75" customWidth="1"/>
    <col min="14601" max="14601" width="2.25" customWidth="1"/>
    <col min="14602" max="14602" width="3.125" customWidth="1"/>
    <col min="14845" max="14845" width="8.125" customWidth="1"/>
    <col min="14846" max="14846" width="10.875" customWidth="1"/>
    <col min="14853" max="14853" width="10.375" bestFit="1" customWidth="1"/>
    <col min="14854" max="14854" width="10.75" bestFit="1" customWidth="1"/>
    <col min="14855" max="14855" width="10" customWidth="1"/>
    <col min="14856" max="14856" width="35.75" customWidth="1"/>
    <col min="14857" max="14857" width="2.25" customWidth="1"/>
    <col min="14858" max="14858" width="3.125" customWidth="1"/>
    <col min="15101" max="15101" width="8.125" customWidth="1"/>
    <col min="15102" max="15102" width="10.875" customWidth="1"/>
    <col min="15109" max="15109" width="10.375" bestFit="1" customWidth="1"/>
    <col min="15110" max="15110" width="10.75" bestFit="1" customWidth="1"/>
    <col min="15111" max="15111" width="10" customWidth="1"/>
    <col min="15112" max="15112" width="35.75" customWidth="1"/>
    <col min="15113" max="15113" width="2.25" customWidth="1"/>
    <col min="15114" max="15114" width="3.125" customWidth="1"/>
    <col min="15357" max="15357" width="8.125" customWidth="1"/>
    <col min="15358" max="15358" width="10.875" customWidth="1"/>
    <col min="15365" max="15365" width="10.375" bestFit="1" customWidth="1"/>
    <col min="15366" max="15366" width="10.75" bestFit="1" customWidth="1"/>
    <col min="15367" max="15367" width="10" customWidth="1"/>
    <col min="15368" max="15368" width="35.75" customWidth="1"/>
    <col min="15369" max="15369" width="2.25" customWidth="1"/>
    <col min="15370" max="15370" width="3.125" customWidth="1"/>
    <col min="15613" max="15613" width="8.125" customWidth="1"/>
    <col min="15614" max="15614" width="10.875" customWidth="1"/>
    <col min="15621" max="15621" width="10.375" bestFit="1" customWidth="1"/>
    <col min="15622" max="15622" width="10.75" bestFit="1" customWidth="1"/>
    <col min="15623" max="15623" width="10" customWidth="1"/>
    <col min="15624" max="15624" width="35.75" customWidth="1"/>
    <col min="15625" max="15625" width="2.25" customWidth="1"/>
    <col min="15626" max="15626" width="3.125" customWidth="1"/>
    <col min="15869" max="15869" width="8.125" customWidth="1"/>
    <col min="15870" max="15870" width="10.875" customWidth="1"/>
    <col min="15877" max="15877" width="10.375" bestFit="1" customWidth="1"/>
    <col min="15878" max="15878" width="10.75" bestFit="1" customWidth="1"/>
    <col min="15879" max="15879" width="10" customWidth="1"/>
    <col min="15880" max="15880" width="35.75" customWidth="1"/>
    <col min="15881" max="15881" width="2.25" customWidth="1"/>
    <col min="15882" max="15882" width="3.125" customWidth="1"/>
    <col min="16125" max="16125" width="8.125" customWidth="1"/>
    <col min="16126" max="16126" width="10.875" customWidth="1"/>
    <col min="16133" max="16133" width="10.375" bestFit="1" customWidth="1"/>
    <col min="16134" max="16134" width="10.75" bestFit="1" customWidth="1"/>
    <col min="16135" max="16135" width="10" customWidth="1"/>
    <col min="16136" max="16136" width="35.75" customWidth="1"/>
    <col min="16137" max="16137" width="2.25" customWidth="1"/>
    <col min="16138" max="16138" width="3.125" customWidth="1"/>
    <col min="16380" max="16383" width="9" customWidth="1"/>
  </cols>
  <sheetData>
    <row r="1" spans="1:46" ht="12" thickBot="1" x14ac:dyDescent="0.25">
      <c r="A1" s="3"/>
      <c r="B1" s="1"/>
      <c r="C1" s="1"/>
      <c r="D1" s="1"/>
      <c r="E1" s="1"/>
      <c r="F1" s="1"/>
      <c r="G1" s="1"/>
      <c r="H1" s="1"/>
      <c r="I1" s="1"/>
      <c r="J1" s="1"/>
      <c r="K1" s="1"/>
      <c r="L1" s="1"/>
      <c r="M1" s="1"/>
      <c r="N1" s="1"/>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46" ht="42" customHeight="1" x14ac:dyDescent="0.25">
      <c r="A2" s="3"/>
      <c r="B2" s="471"/>
      <c r="C2" s="475"/>
      <c r="D2" s="475"/>
      <c r="E2" s="475"/>
      <c r="F2" s="475"/>
      <c r="G2" s="475"/>
      <c r="H2" s="465"/>
      <c r="I2" s="475"/>
      <c r="J2" s="475"/>
      <c r="K2" s="475"/>
      <c r="L2" s="475"/>
      <c r="M2" s="475"/>
      <c r="N2" s="476"/>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46" ht="12" x14ac:dyDescent="0.25">
      <c r="A3" s="3"/>
      <c r="B3" s="243"/>
      <c r="C3" s="111"/>
      <c r="D3" s="111"/>
      <c r="E3" s="111"/>
      <c r="F3" s="111"/>
      <c r="G3" s="111"/>
      <c r="H3" s="151"/>
      <c r="I3" s="111"/>
      <c r="J3" s="111"/>
      <c r="K3" s="111"/>
      <c r="L3" s="111"/>
      <c r="M3" s="111"/>
      <c r="N3" s="477"/>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row>
    <row r="4" spans="1:46" ht="13.5" customHeight="1" x14ac:dyDescent="0.25">
      <c r="A4" s="3"/>
      <c r="B4" s="243"/>
      <c r="C4" s="111"/>
      <c r="D4" s="111"/>
      <c r="E4" s="111"/>
      <c r="F4" s="111"/>
      <c r="G4" s="111"/>
      <c r="H4" s="151"/>
      <c r="I4" s="111"/>
      <c r="J4" s="111"/>
      <c r="K4" s="111"/>
      <c r="L4" s="111"/>
      <c r="M4" s="111"/>
      <c r="N4" s="477"/>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46" ht="13.5" customHeight="1" x14ac:dyDescent="0.25">
      <c r="A5" s="3"/>
      <c r="B5" s="243"/>
      <c r="C5" s="111"/>
      <c r="D5" s="111"/>
      <c r="E5" s="111"/>
      <c r="F5" s="111"/>
      <c r="G5" s="111"/>
      <c r="H5" s="151"/>
      <c r="I5" s="111"/>
      <c r="J5" s="111"/>
      <c r="K5" s="111"/>
      <c r="L5" s="111"/>
      <c r="M5" s="111"/>
      <c r="N5" s="47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46" s="9" customFormat="1" ht="25.5" customHeight="1" x14ac:dyDescent="0.3">
      <c r="A6" s="1"/>
      <c r="B6" s="243"/>
      <c r="C6" s="1"/>
      <c r="D6" s="1"/>
      <c r="E6" s="111"/>
      <c r="F6" s="1"/>
      <c r="G6" s="111"/>
      <c r="H6" s="134" t="s">
        <v>470</v>
      </c>
      <c r="I6" s="2"/>
      <c r="J6" s="111"/>
      <c r="K6" s="111"/>
      <c r="L6" s="111"/>
      <c r="M6" s="111"/>
      <c r="N6" s="477"/>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row>
    <row r="7" spans="1:46" ht="12" x14ac:dyDescent="0.25">
      <c r="A7" s="3"/>
      <c r="B7" s="243"/>
      <c r="C7" s="1"/>
      <c r="D7" s="1"/>
      <c r="E7" s="1"/>
      <c r="F7" s="1"/>
      <c r="G7" s="1"/>
      <c r="H7" s="169"/>
      <c r="I7" s="3"/>
      <c r="J7" s="1"/>
      <c r="K7" s="1"/>
      <c r="L7" s="1"/>
      <c r="M7" s="1"/>
      <c r="N7" s="477"/>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row>
    <row r="8" spans="1:46" ht="21" customHeight="1" x14ac:dyDescent="0.3">
      <c r="A8" s="3"/>
      <c r="B8" s="243"/>
      <c r="C8" s="3"/>
      <c r="D8" s="1"/>
      <c r="E8" s="1"/>
      <c r="F8" s="1"/>
      <c r="G8" s="435"/>
      <c r="H8" s="134" t="s">
        <v>471</v>
      </c>
      <c r="I8" s="3"/>
      <c r="J8" s="1"/>
      <c r="K8" s="1"/>
      <c r="L8" s="1"/>
      <c r="M8" s="1"/>
      <c r="N8" s="477"/>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row>
    <row r="9" spans="1:46" ht="19.95" customHeight="1" x14ac:dyDescent="0.25">
      <c r="A9" s="3"/>
      <c r="B9" s="243"/>
      <c r="C9" s="111"/>
      <c r="D9" s="111"/>
      <c r="E9" s="111"/>
      <c r="F9" s="111"/>
      <c r="G9"/>
      <c r="H9" s="171" t="s">
        <v>472</v>
      </c>
      <c r="I9" s="111"/>
      <c r="J9" s="111"/>
      <c r="K9" s="111"/>
      <c r="L9" s="111"/>
      <c r="M9" s="111"/>
      <c r="N9" s="236"/>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row>
    <row r="10" spans="1:46" ht="18.600000000000001" customHeight="1" x14ac:dyDescent="0.3">
      <c r="A10" s="3"/>
      <c r="B10" s="243"/>
      <c r="C10" s="3"/>
      <c r="D10" s="1"/>
      <c r="E10" s="1"/>
      <c r="F10" s="1"/>
      <c r="G10" s="1"/>
      <c r="H10" s="434" t="s">
        <v>473</v>
      </c>
      <c r="I10" s="1"/>
      <c r="J10" s="1"/>
      <c r="K10" s="1"/>
      <c r="L10" s="1"/>
      <c r="M10" s="1"/>
      <c r="N10" s="477"/>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row>
    <row r="11" spans="1:46" x14ac:dyDescent="0.2">
      <c r="A11" s="3"/>
      <c r="B11" s="243"/>
      <c r="C11" s="1"/>
      <c r="D11" s="1"/>
      <c r="E11" s="1"/>
      <c r="F11" s="1"/>
      <c r="G11" s="1"/>
      <c r="H11" s="1"/>
      <c r="I11" s="1"/>
      <c r="J11" s="1"/>
      <c r="K11" s="1"/>
      <c r="L11" s="1"/>
      <c r="M11" s="1"/>
      <c r="N11" s="236"/>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row>
    <row r="12" spans="1:46" ht="11.25" customHeight="1" x14ac:dyDescent="0.25">
      <c r="A12" s="3"/>
      <c r="B12" s="243"/>
      <c r="C12" s="111"/>
      <c r="D12" s="111"/>
      <c r="E12" s="111"/>
      <c r="F12" s="111"/>
      <c r="G12" s="111"/>
      <c r="H12" s="111"/>
      <c r="I12" s="111"/>
      <c r="J12" s="111"/>
      <c r="K12" s="111"/>
      <c r="L12" s="111"/>
      <c r="M12" s="111"/>
      <c r="N12" s="236"/>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row>
    <row r="13" spans="1:46" ht="27.6" customHeight="1" x14ac:dyDescent="0.3">
      <c r="A13" s="3"/>
      <c r="B13" s="243"/>
      <c r="C13" s="3"/>
      <c r="D13" s="111"/>
      <c r="E13" s="111"/>
      <c r="F13" s="111"/>
      <c r="G13" s="111"/>
      <c r="H13" s="134" t="s">
        <v>474</v>
      </c>
      <c r="I13" s="111"/>
      <c r="J13" s="111"/>
      <c r="K13" s="111"/>
      <c r="L13" s="111"/>
      <c r="M13" s="111"/>
      <c r="N13" s="236"/>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row>
    <row r="14" spans="1:46" ht="18.600000000000001" customHeight="1" x14ac:dyDescent="0.3">
      <c r="A14" s="3"/>
      <c r="B14" s="243"/>
      <c r="C14" s="3"/>
      <c r="D14" s="111"/>
      <c r="E14" s="111"/>
      <c r="F14" s="111"/>
      <c r="G14" s="111"/>
      <c r="H14" s="134" t="str">
        <f>"PART A "&amp;'WK0 - Input data'!$D$45</f>
        <v>PART A 2023-24</v>
      </c>
      <c r="I14" s="111"/>
      <c r="J14" s="111"/>
      <c r="K14" s="111"/>
      <c r="L14" s="111"/>
      <c r="M14" s="111"/>
      <c r="N14" s="236"/>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row>
    <row r="15" spans="1:46" ht="10.5" customHeight="1" x14ac:dyDescent="0.25">
      <c r="A15" s="3"/>
      <c r="B15" s="243"/>
      <c r="C15" s="111"/>
      <c r="D15" s="111"/>
      <c r="E15" s="111"/>
      <c r="F15" s="111"/>
      <c r="G15" s="111"/>
      <c r="H15" s="111"/>
      <c r="I15" s="111"/>
      <c r="J15" s="111"/>
      <c r="K15" s="111"/>
      <c r="L15" s="111"/>
      <c r="M15" s="111"/>
      <c r="N15" s="236"/>
      <c r="O15" s="3"/>
      <c r="P15" s="3"/>
      <c r="Q15" s="190"/>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row>
    <row r="16" spans="1:46" s="72" customFormat="1" ht="28.5" customHeight="1" x14ac:dyDescent="0.25">
      <c r="A16" s="343"/>
      <c r="B16" s="478"/>
      <c r="C16" s="199"/>
      <c r="D16" s="1211"/>
      <c r="E16" s="1151"/>
      <c r="F16" s="1151"/>
      <c r="G16" s="1151"/>
      <c r="H16" s="1152" t="s">
        <v>475</v>
      </c>
      <c r="I16" s="1151"/>
      <c r="J16" s="1153"/>
      <c r="K16" s="1151"/>
      <c r="L16" s="1153"/>
      <c r="M16" s="111"/>
      <c r="N16" s="479"/>
      <c r="O16" s="343"/>
      <c r="P16" s="343" t="s">
        <v>476</v>
      </c>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343"/>
      <c r="AS16" s="343"/>
      <c r="AT16" s="343"/>
    </row>
    <row r="17" spans="1:46" s="73" customFormat="1" ht="25.5" customHeight="1" x14ac:dyDescent="0.25">
      <c r="A17" s="191"/>
      <c r="B17" s="478"/>
      <c r="C17" s="199"/>
      <c r="D17" s="436"/>
      <c r="E17" s="466"/>
      <c r="F17" s="466"/>
      <c r="G17" s="466"/>
      <c r="H17" s="470" t="s">
        <v>477</v>
      </c>
      <c r="I17" s="466"/>
      <c r="J17" s="467"/>
      <c r="K17" s="468"/>
      <c r="L17" s="469"/>
      <c r="M17" s="111"/>
      <c r="N17" s="479"/>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row>
    <row r="18" spans="1:46" ht="9" customHeight="1" x14ac:dyDescent="0.25">
      <c r="A18" s="3"/>
      <c r="B18" s="243"/>
      <c r="C18" s="1"/>
      <c r="D18" s="1"/>
      <c r="E18" s="1"/>
      <c r="F18" s="1"/>
      <c r="G18" s="1"/>
      <c r="H18" s="1"/>
      <c r="I18" s="1"/>
      <c r="J18" s="1"/>
      <c r="K18" s="1"/>
      <c r="L18" s="1"/>
      <c r="M18" s="111"/>
      <c r="N18" s="236"/>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row>
    <row r="19" spans="1:46" ht="24" customHeight="1" x14ac:dyDescent="0.25">
      <c r="A19" s="3"/>
      <c r="B19" s="801"/>
      <c r="C19" s="111"/>
      <c r="D19" s="111"/>
      <c r="E19" s="111"/>
      <c r="F19"/>
      <c r="G19" s="111"/>
      <c r="H19" s="437" t="s">
        <v>478</v>
      </c>
      <c r="I19" s="111"/>
      <c r="J19" s="111"/>
      <c r="K19" s="111"/>
      <c r="L19" s="111"/>
      <c r="M19" s="111"/>
      <c r="N19" s="477"/>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row>
    <row r="20" spans="1:46" ht="15" customHeight="1" x14ac:dyDescent="0.25">
      <c r="A20" s="3"/>
      <c r="B20" s="243"/>
      <c r="C20" s="1"/>
      <c r="D20" s="1"/>
      <c r="E20" s="1"/>
      <c r="F20" s="1"/>
      <c r="G20" s="111"/>
      <c r="H20" s="1"/>
      <c r="I20" s="1"/>
      <c r="J20" s="1"/>
      <c r="K20" s="1"/>
      <c r="L20" s="1"/>
      <c r="M20" s="1"/>
      <c r="N20" s="236"/>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1:46" ht="15" customHeight="1" x14ac:dyDescent="0.25">
      <c r="A21" s="3"/>
      <c r="B21" s="243"/>
      <c r="C21" s="1"/>
      <c r="D21" s="199" t="s">
        <v>479</v>
      </c>
      <c r="E21" s="111"/>
      <c r="F21" s="199"/>
      <c r="G21" s="1"/>
      <c r="H21" s="1"/>
      <c r="I21" s="1"/>
      <c r="J21" s="1"/>
      <c r="K21" s="1"/>
      <c r="L21" s="1"/>
      <c r="M21" s="1"/>
      <c r="N21" s="236"/>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1:46" ht="5.25" customHeight="1" x14ac:dyDescent="0.2">
      <c r="A22" s="3"/>
      <c r="B22" s="243"/>
      <c r="C22" s="1"/>
      <c r="D22" s="1"/>
      <c r="E22" s="1"/>
      <c r="F22" s="1"/>
      <c r="G22" s="1"/>
      <c r="H22" s="1"/>
      <c r="I22" s="1"/>
      <c r="J22" s="1"/>
      <c r="K22" s="1"/>
      <c r="L22" s="1"/>
      <c r="M22" s="1"/>
      <c r="N22" s="236"/>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row>
    <row r="23" spans="1:46" ht="15" customHeight="1" x14ac:dyDescent="0.25">
      <c r="A23" s="3"/>
      <c r="B23" s="243"/>
      <c r="C23" s="1"/>
      <c r="D23" s="111" t="s">
        <v>480</v>
      </c>
      <c r="E23" s="1" t="s">
        <v>481</v>
      </c>
      <c r="F23" s="1"/>
      <c r="G23" s="1"/>
      <c r="H23" s="1"/>
      <c r="I23" s="1"/>
      <c r="J23" s="1"/>
      <c r="K23" s="1"/>
      <c r="L23" s="1"/>
      <c r="M23" s="1"/>
      <c r="N23" s="236"/>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6" ht="15" customHeight="1" x14ac:dyDescent="0.2">
      <c r="A24" s="3"/>
      <c r="B24" s="243"/>
      <c r="C24" s="1"/>
      <c r="D24" s="1"/>
      <c r="E24" s="1" t="str">
        <f>"(Special Variation Application Form "&amp;'WK0 - Input data'!$D$45&amp;"- Part B)."</f>
        <v>(Special Variation Application Form 2023-24- Part B).</v>
      </c>
      <c r="F24" s="1"/>
      <c r="G24" s="1"/>
      <c r="H24" s="1"/>
      <c r="I24" s="1"/>
      <c r="J24" s="1"/>
      <c r="K24" s="1"/>
      <c r="L24" s="1"/>
      <c r="M24" s="1"/>
      <c r="N24" s="236"/>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row>
    <row r="25" spans="1:46" ht="16.95" customHeight="1" x14ac:dyDescent="0.2">
      <c r="A25" s="3"/>
      <c r="B25" s="243"/>
      <c r="C25" s="1"/>
      <c r="D25" s="1"/>
      <c r="E25" s="1"/>
      <c r="F25" s="1"/>
      <c r="G25" s="1"/>
      <c r="H25" s="1"/>
      <c r="I25" s="1"/>
      <c r="J25" s="1"/>
      <c r="K25" s="1"/>
      <c r="L25" s="1"/>
      <c r="M25" s="1"/>
      <c r="N25" s="236"/>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46" ht="18" customHeight="1" x14ac:dyDescent="0.3">
      <c r="A26" s="3"/>
      <c r="B26" s="243"/>
      <c r="C26"/>
      <c r="D26" s="1"/>
      <c r="E26" s="1"/>
      <c r="F26" s="1"/>
      <c r="G26" s="1"/>
      <c r="H26" s="134" t="s">
        <v>482</v>
      </c>
      <c r="I26" s="1"/>
      <c r="J26" s="1"/>
      <c r="K26" s="1"/>
      <c r="L26" s="1"/>
      <c r="M26" s="1"/>
      <c r="N26" s="236"/>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row>
    <row r="27" spans="1:46" ht="8.25" customHeight="1" x14ac:dyDescent="0.25">
      <c r="A27" s="3"/>
      <c r="B27" s="243"/>
      <c r="C27" s="199"/>
      <c r="D27" s="111"/>
      <c r="E27" s="111"/>
      <c r="F27" s="111"/>
      <c r="G27" s="111"/>
      <c r="H27" s="111"/>
      <c r="I27" s="111"/>
      <c r="J27" s="111"/>
      <c r="K27" s="111"/>
      <c r="L27" s="111"/>
      <c r="M27" s="111"/>
      <c r="N27" s="236"/>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ht="8.25" customHeight="1" x14ac:dyDescent="0.25">
      <c r="A28" s="3"/>
      <c r="B28" s="243"/>
      <c r="C28" s="199"/>
      <c r="D28" s="111"/>
      <c r="E28" s="111"/>
      <c r="F28" s="111"/>
      <c r="G28" s="111"/>
      <c r="H28" s="111"/>
      <c r="I28" s="111"/>
      <c r="J28" s="111"/>
      <c r="K28" s="111"/>
      <c r="L28" s="111"/>
      <c r="M28" s="111"/>
      <c r="N28" s="236"/>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46" ht="18.75" customHeight="1" x14ac:dyDescent="0.25">
      <c r="A29" s="3"/>
      <c r="B29" s="243"/>
      <c r="C29" s="199" t="s">
        <v>483</v>
      </c>
      <c r="D29" s="111"/>
      <c r="E29" s="111"/>
      <c r="F29" s="111"/>
      <c r="G29" s="111"/>
      <c r="H29" s="111"/>
      <c r="I29" s="111"/>
      <c r="J29" s="111"/>
      <c r="K29" s="111"/>
      <c r="L29" s="111"/>
      <c r="M29" s="111"/>
      <c r="N29" s="236"/>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row>
    <row r="30" spans="1:46" ht="21.75" customHeight="1" x14ac:dyDescent="0.25">
      <c r="A30" s="3"/>
      <c r="B30" s="243"/>
      <c r="C30" s="199" t="s">
        <v>484</v>
      </c>
      <c r="D30" s="111"/>
      <c r="E30" s="111"/>
      <c r="F30" s="111"/>
      <c r="G30" s="111"/>
      <c r="H30" s="111"/>
      <c r="I30" s="111"/>
      <c r="J30" s="111"/>
      <c r="K30" s="111"/>
      <c r="L30" s="111"/>
      <c r="M30" s="111"/>
      <c r="N30" s="236"/>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ht="7.5" customHeight="1" x14ac:dyDescent="0.2">
      <c r="A31" s="3"/>
      <c r="B31" s="243"/>
      <c r="C31" s="199"/>
      <c r="D31" s="199"/>
      <c r="E31" s="199"/>
      <c r="F31" s="199"/>
      <c r="G31" s="199"/>
      <c r="H31" s="199"/>
      <c r="I31" s="199"/>
      <c r="J31" s="199"/>
      <c r="K31" s="199"/>
      <c r="L31" s="199"/>
      <c r="M31" s="199"/>
      <c r="N31" s="236"/>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row>
    <row r="32" spans="1:46" ht="16.5" customHeight="1" x14ac:dyDescent="0.2">
      <c r="A32" s="3"/>
      <c r="B32" s="243"/>
      <c r="C32" s="199" t="s">
        <v>485</v>
      </c>
      <c r="D32" s="199"/>
      <c r="E32" s="199"/>
      <c r="F32" s="199"/>
      <c r="G32" s="199"/>
      <c r="H32" s="199"/>
      <c r="I32" s="199"/>
      <c r="J32" s="199"/>
      <c r="K32" s="199"/>
      <c r="L32" s="199"/>
      <c r="M32" s="199"/>
      <c r="N32" s="236"/>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row>
    <row r="33" spans="1:46" ht="7.5" customHeight="1" x14ac:dyDescent="0.2">
      <c r="A33" s="3"/>
      <c r="B33" s="243"/>
      <c r="C33" s="199"/>
      <c r="D33" s="199"/>
      <c r="E33" s="199"/>
      <c r="F33" s="199"/>
      <c r="G33" s="199"/>
      <c r="H33" s="199"/>
      <c r="I33" s="199"/>
      <c r="J33" s="199"/>
      <c r="K33" s="199"/>
      <c r="L33" s="199"/>
      <c r="M33" s="199"/>
      <c r="N33" s="236"/>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row>
    <row r="34" spans="1:46" ht="16.5" customHeight="1" x14ac:dyDescent="0.2">
      <c r="A34" s="3"/>
      <c r="B34" s="243"/>
      <c r="C34" s="199" t="s">
        <v>486</v>
      </c>
      <c r="D34" s="199"/>
      <c r="E34" s="199"/>
      <c r="F34" s="199"/>
      <c r="G34" s="199"/>
      <c r="H34" s="199"/>
      <c r="I34" s="199"/>
      <c r="J34" s="199"/>
      <c r="K34" s="199"/>
      <c r="L34" s="199"/>
      <c r="M34" s="199"/>
      <c r="N34" s="236"/>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row>
    <row r="35" spans="1:46" ht="6.75" customHeight="1" x14ac:dyDescent="0.2">
      <c r="A35" s="3"/>
      <c r="B35" s="243"/>
      <c r="C35" s="199"/>
      <c r="D35" s="199"/>
      <c r="E35" s="199"/>
      <c r="F35" s="199"/>
      <c r="G35" s="199"/>
      <c r="H35" s="199"/>
      <c r="I35" s="199"/>
      <c r="J35" s="199"/>
      <c r="K35" s="199"/>
      <c r="L35" s="199"/>
      <c r="M35" s="199"/>
      <c r="N35" s="236"/>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row>
    <row r="36" spans="1:46" ht="16.5" customHeight="1" x14ac:dyDescent="0.2">
      <c r="A36" s="3"/>
      <c r="B36" s="243"/>
      <c r="C36" s="199" t="s">
        <v>487</v>
      </c>
      <c r="D36" s="199"/>
      <c r="E36" s="199"/>
      <c r="F36" s="199"/>
      <c r="G36" s="199"/>
      <c r="H36" s="199"/>
      <c r="I36" s="199"/>
      <c r="J36" s="199"/>
      <c r="K36" s="199"/>
      <c r="L36" s="199"/>
      <c r="M36" s="199"/>
      <c r="N36" s="236"/>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row>
    <row r="37" spans="1:46" ht="16.5" customHeight="1" x14ac:dyDescent="0.2">
      <c r="A37" s="3"/>
      <c r="B37" s="243"/>
      <c r="C37" s="199" t="s">
        <v>488</v>
      </c>
      <c r="D37" s="199"/>
      <c r="E37" s="199"/>
      <c r="F37" s="199"/>
      <c r="G37" s="199"/>
      <c r="H37" s="199"/>
      <c r="I37" s="199"/>
      <c r="J37" s="199"/>
      <c r="K37" s="199"/>
      <c r="L37" s="199"/>
      <c r="M37" s="199"/>
      <c r="N37" s="236"/>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row>
    <row r="38" spans="1:46" ht="7.5" customHeight="1" x14ac:dyDescent="0.2">
      <c r="A38" s="3"/>
      <c r="B38" s="243"/>
      <c r="C38" s="199"/>
      <c r="D38" s="199"/>
      <c r="E38" s="199"/>
      <c r="F38" s="199"/>
      <c r="G38" s="199"/>
      <c r="H38" s="199"/>
      <c r="I38" s="199"/>
      <c r="J38" s="199"/>
      <c r="K38" s="199"/>
      <c r="L38" s="199"/>
      <c r="M38" s="199"/>
      <c r="N38" s="236"/>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row>
    <row r="39" spans="1:46" s="429" customFormat="1" ht="16.5" customHeight="1" x14ac:dyDescent="0.2">
      <c r="A39" s="377"/>
      <c r="B39" s="243"/>
      <c r="C39" s="438" t="s">
        <v>489</v>
      </c>
      <c r="D39" s="430"/>
      <c r="E39" s="430"/>
      <c r="F39" s="430"/>
      <c r="G39" s="430"/>
      <c r="H39" s="430"/>
      <c r="I39" s="430"/>
      <c r="J39" s="430"/>
      <c r="K39" s="430"/>
      <c r="L39" s="430"/>
      <c r="M39" s="430"/>
      <c r="N39" s="480"/>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row>
    <row r="40" spans="1:46" s="429" customFormat="1" ht="16.5" customHeight="1" x14ac:dyDescent="0.2">
      <c r="A40" s="377"/>
      <c r="B40" s="243"/>
      <c r="C40" s="438" t="s">
        <v>490</v>
      </c>
      <c r="D40" s="430"/>
      <c r="E40" s="430"/>
      <c r="F40" s="430"/>
      <c r="G40" s="430"/>
      <c r="H40" s="430"/>
      <c r="I40" s="430"/>
      <c r="J40" s="430"/>
      <c r="K40" s="430"/>
      <c r="L40" s="430"/>
      <c r="M40" s="430"/>
      <c r="N40" s="480"/>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row>
    <row r="41" spans="1:46" s="429" customFormat="1" ht="16.5" customHeight="1" x14ac:dyDescent="0.2">
      <c r="A41" s="377"/>
      <c r="B41" s="243"/>
      <c r="C41" s="438" t="s">
        <v>491</v>
      </c>
      <c r="D41" s="430"/>
      <c r="E41" s="430"/>
      <c r="F41" s="430"/>
      <c r="G41" s="430"/>
      <c r="H41" s="430"/>
      <c r="I41" s="430"/>
      <c r="J41" s="430"/>
      <c r="K41" s="430"/>
      <c r="L41" s="430"/>
      <c r="M41" s="430"/>
      <c r="N41" s="480"/>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row>
    <row r="42" spans="1:46" ht="8.25" customHeight="1" x14ac:dyDescent="0.25">
      <c r="A42" s="3"/>
      <c r="B42" s="243"/>
      <c r="C42" s="430"/>
      <c r="D42" s="111"/>
      <c r="E42" s="111"/>
      <c r="F42" s="111"/>
      <c r="G42" s="111"/>
      <c r="H42" s="111"/>
      <c r="I42" s="111"/>
      <c r="J42" s="111"/>
      <c r="K42" s="111"/>
      <c r="L42" s="111"/>
      <c r="M42" s="111"/>
      <c r="N42" s="236"/>
      <c r="O42" s="377"/>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row>
    <row r="43" spans="1:46" ht="15.6" customHeight="1" x14ac:dyDescent="0.2">
      <c r="A43" s="3"/>
      <c r="B43" s="481"/>
      <c r="C43" s="1" t="s">
        <v>492</v>
      </c>
      <c r="D43" s="1"/>
      <c r="E43" s="1"/>
      <c r="F43" s="1"/>
      <c r="G43" s="1"/>
      <c r="H43" s="1"/>
      <c r="I43" s="1"/>
      <c r="J43" s="1"/>
      <c r="K43" s="1"/>
      <c r="L43" s="1"/>
      <c r="M43" s="1"/>
      <c r="N43" s="236"/>
      <c r="O43" s="377"/>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row>
    <row r="44" spans="1:46" ht="16.5" customHeight="1" x14ac:dyDescent="0.2">
      <c r="A44" s="3"/>
      <c r="B44" s="243"/>
      <c r="C44" s="462" t="s">
        <v>493</v>
      </c>
      <c r="D44" s="199"/>
      <c r="E44" s="199"/>
      <c r="F44" s="199"/>
      <c r="G44" s="199"/>
      <c r="H44" s="199"/>
      <c r="I44" s="199"/>
      <c r="J44" s="199"/>
      <c r="K44" s="199"/>
      <c r="L44" s="199"/>
      <c r="M44" s="3"/>
      <c r="N44" s="236"/>
      <c r="O44" s="377"/>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row>
    <row r="45" spans="1:46" ht="16.5" customHeight="1" x14ac:dyDescent="0.2">
      <c r="A45" s="3"/>
      <c r="B45" s="243"/>
      <c r="D45" s="199"/>
      <c r="E45" s="199"/>
      <c r="F45" s="199"/>
      <c r="G45" s="199"/>
      <c r="H45" s="199"/>
      <c r="I45" s="199"/>
      <c r="J45" s="199"/>
      <c r="K45" s="199"/>
      <c r="L45" s="614"/>
      <c r="M45" s="3"/>
      <c r="N45" s="236"/>
      <c r="O45" s="377"/>
      <c r="P45" s="3"/>
      <c r="Q45" s="3"/>
      <c r="R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row>
    <row r="46" spans="1:46" ht="26.25" customHeight="1" x14ac:dyDescent="0.25">
      <c r="A46" s="3"/>
      <c r="B46" s="243"/>
      <c r="C46" s="111" t="s">
        <v>494</v>
      </c>
      <c r="D46" s="1"/>
      <c r="E46" s="1"/>
      <c r="F46" s="1"/>
      <c r="G46" s="1"/>
      <c r="H46" s="1"/>
      <c r="I46" s="1"/>
      <c r="J46" s="1"/>
      <c r="K46" s="1"/>
      <c r="L46" s="199"/>
      <c r="M46" s="1"/>
      <c r="N46" s="236"/>
      <c r="O46" s="377"/>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row>
    <row r="47" spans="1:46" ht="23.25" customHeight="1" x14ac:dyDescent="0.25">
      <c r="A47" s="3"/>
      <c r="B47" s="243"/>
      <c r="C47" s="444" t="s">
        <v>495</v>
      </c>
      <c r="D47" s="111" t="s">
        <v>496</v>
      </c>
      <c r="E47" s="111"/>
      <c r="F47" s="111"/>
      <c r="G47" s="111"/>
      <c r="H47" s="111"/>
      <c r="I47" s="111"/>
      <c r="J47" s="111"/>
      <c r="K47" s="111"/>
      <c r="L47" s="111"/>
      <c r="M47" s="111"/>
      <c r="N47" s="236"/>
      <c r="O47" s="377"/>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row>
    <row r="48" spans="1:46" ht="16.5" customHeight="1" x14ac:dyDescent="0.25">
      <c r="A48" s="3"/>
      <c r="B48" s="243"/>
      <c r="C48" s="444"/>
      <c r="D48" s="1"/>
      <c r="E48" s="1" t="s">
        <v>497</v>
      </c>
      <c r="F48" s="1"/>
      <c r="G48" s="1"/>
      <c r="H48" s="1"/>
      <c r="I48" s="1"/>
      <c r="J48" s="1"/>
      <c r="K48" s="1"/>
      <c r="L48" s="1"/>
      <c r="M48" s="111"/>
      <c r="N48" s="236"/>
      <c r="O48" s="377"/>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row>
    <row r="49" spans="1:46" ht="16.5" customHeight="1" x14ac:dyDescent="0.25">
      <c r="A49" s="3"/>
      <c r="B49" s="243"/>
      <c r="C49" s="444"/>
      <c r="D49" s="1"/>
      <c r="E49" s="1" t="s">
        <v>498</v>
      </c>
      <c r="F49" s="1"/>
      <c r="G49" s="1"/>
      <c r="H49" s="1"/>
      <c r="I49" s="1"/>
      <c r="J49" s="1"/>
      <c r="K49" s="1"/>
      <c r="L49" s="1"/>
      <c r="M49" s="111"/>
      <c r="N49" s="236"/>
      <c r="O49" s="377"/>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row>
    <row r="50" spans="1:46" ht="16.5" customHeight="1" x14ac:dyDescent="0.25">
      <c r="A50" s="3"/>
      <c r="B50" s="243"/>
      <c r="C50" s="444"/>
      <c r="D50" s="1"/>
      <c r="E50" s="1" t="s">
        <v>499</v>
      </c>
      <c r="F50" s="1"/>
      <c r="G50" s="1"/>
      <c r="H50" s="1"/>
      <c r="I50" s="1"/>
      <c r="J50" s="1"/>
      <c r="K50" s="1"/>
      <c r="L50" s="1"/>
      <c r="M50" s="111"/>
      <c r="N50" s="236"/>
      <c r="O50" s="377"/>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1:46" ht="26.25" customHeight="1" x14ac:dyDescent="0.25">
      <c r="A51" s="3"/>
      <c r="B51" s="243"/>
      <c r="C51" s="444" t="s">
        <v>495</v>
      </c>
      <c r="D51" s="111" t="s">
        <v>500</v>
      </c>
      <c r="E51" s="111"/>
      <c r="F51" s="111"/>
      <c r="G51" s="111"/>
      <c r="H51" s="111"/>
      <c r="I51" s="111"/>
      <c r="J51" s="111"/>
      <c r="K51" s="111"/>
      <c r="L51" s="111"/>
      <c r="M51" s="111"/>
      <c r="N51" s="236"/>
      <c r="O51" s="377"/>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1:46" ht="15.75" customHeight="1" x14ac:dyDescent="0.2">
      <c r="A52" s="3"/>
      <c r="B52" s="243"/>
      <c r="C52" s="445"/>
      <c r="D52" s="1"/>
      <c r="E52" s="1" t="str">
        <f>"for the current year (Year 0 in the application, "&amp;'WK0 - Input data'!$H$58&amp;"). "</f>
        <v xml:space="preserve">for the current year (Year 0 in the application, 2022-23). </v>
      </c>
      <c r="F52" s="1"/>
      <c r="G52" s="1"/>
      <c r="H52" s="1"/>
      <c r="I52" s="1"/>
      <c r="J52" s="1"/>
      <c r="K52" s="1"/>
      <c r="L52" s="1"/>
      <c r="M52" s="1"/>
      <c r="N52" s="236"/>
      <c r="O52" s="377"/>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1:46" ht="26.25" customHeight="1" x14ac:dyDescent="0.25">
      <c r="A53" s="3"/>
      <c r="B53" s="243"/>
      <c r="C53" s="444" t="s">
        <v>495</v>
      </c>
      <c r="D53" s="111" t="s">
        <v>501</v>
      </c>
      <c r="E53" s="111"/>
      <c r="F53" s="111"/>
      <c r="G53" s="111"/>
      <c r="H53" s="111"/>
      <c r="I53" s="111"/>
      <c r="J53" s="111"/>
      <c r="K53" s="111"/>
      <c r="L53" s="111"/>
      <c r="M53" s="111"/>
      <c r="N53" s="236"/>
      <c r="O53" s="377"/>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row>
    <row r="54" spans="1:46" ht="16.5" customHeight="1" x14ac:dyDescent="0.25">
      <c r="A54" s="3"/>
      <c r="B54" s="243"/>
      <c r="C54" s="445"/>
      <c r="D54" s="111"/>
      <c r="E54" s="1" t="str">
        <f>"Income for next year (Year 1 in the application, "&amp;'WK0 - Input data'!$I$58&amp;")."</f>
        <v>Income for next year (Year 1 in the application, 2023-24).</v>
      </c>
      <c r="F54" s="1"/>
      <c r="G54" s="1"/>
      <c r="H54" s="1"/>
      <c r="I54" s="1"/>
      <c r="J54" s="1"/>
      <c r="K54" s="1"/>
      <c r="L54" s="1"/>
      <c r="M54" s="1"/>
      <c r="N54" s="236"/>
      <c r="O54" s="377"/>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row>
    <row r="55" spans="1:46" ht="26.25" customHeight="1" x14ac:dyDescent="0.25">
      <c r="A55" s="3"/>
      <c r="B55" s="243"/>
      <c r="C55" s="444" t="s">
        <v>495</v>
      </c>
      <c r="D55" s="111" t="s">
        <v>502</v>
      </c>
      <c r="E55" s="111"/>
      <c r="F55" s="111"/>
      <c r="G55" s="111"/>
      <c r="H55" s="111"/>
      <c r="I55" s="111"/>
      <c r="J55" s="111"/>
      <c r="K55" s="111"/>
      <c r="L55" s="111"/>
      <c r="M55" s="111"/>
      <c r="N55" s="477"/>
      <c r="O55" s="377"/>
      <c r="P55" s="1"/>
      <c r="Q55" s="1"/>
      <c r="R55" s="1"/>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row>
    <row r="56" spans="1:46" ht="16.5" customHeight="1" x14ac:dyDescent="0.25">
      <c r="A56" s="3"/>
      <c r="B56" s="243"/>
      <c r="C56" s="445"/>
      <c r="D56" s="111"/>
      <c r="E56" s="1" t="s">
        <v>503</v>
      </c>
      <c r="F56" s="1"/>
      <c r="G56" s="1"/>
      <c r="H56" s="1"/>
      <c r="I56" s="1"/>
      <c r="J56" s="1"/>
      <c r="K56" s="1"/>
      <c r="L56" s="1"/>
      <c r="M56" s="111"/>
      <c r="N56" s="477"/>
      <c r="O56" s="377"/>
      <c r="P56" s="3"/>
      <c r="Q56" s="3"/>
      <c r="R56" s="3"/>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row>
    <row r="57" spans="1:46" ht="16.5" customHeight="1" x14ac:dyDescent="0.25">
      <c r="A57" s="3"/>
      <c r="B57" s="243"/>
      <c r="C57" s="445"/>
      <c r="D57" s="111"/>
      <c r="E57" s="1" t="s">
        <v>504</v>
      </c>
      <c r="F57" s="1"/>
      <c r="G57" s="1"/>
      <c r="H57" s="1"/>
      <c r="I57" s="1"/>
      <c r="J57" s="1"/>
      <c r="K57" s="1"/>
      <c r="L57" s="1"/>
      <c r="M57" s="111"/>
      <c r="N57" s="477"/>
      <c r="O57" s="377"/>
      <c r="P57" s="3"/>
      <c r="Q57" s="3"/>
      <c r="R57" s="3"/>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row>
    <row r="58" spans="1:46" ht="26.25" customHeight="1" x14ac:dyDescent="0.25">
      <c r="A58" s="3"/>
      <c r="B58" s="243"/>
      <c r="C58" s="444" t="s">
        <v>495</v>
      </c>
      <c r="D58" s="111" t="s">
        <v>505</v>
      </c>
      <c r="E58" s="111"/>
      <c r="F58" s="111"/>
      <c r="G58" s="111"/>
      <c r="H58" s="111"/>
      <c r="I58" s="111"/>
      <c r="J58" s="111"/>
      <c r="K58" s="111"/>
      <c r="L58" s="111"/>
      <c r="M58" s="111"/>
      <c r="N58" s="477"/>
      <c r="O58" s="377"/>
      <c r="P58" s="1"/>
      <c r="Q58" s="1"/>
      <c r="R58" s="1"/>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row>
    <row r="59" spans="1:46" ht="16.5" customHeight="1" x14ac:dyDescent="0.25">
      <c r="A59" s="3"/>
      <c r="B59" s="243"/>
      <c r="C59" s="445"/>
      <c r="D59" s="1"/>
      <c r="E59" s="1" t="s">
        <v>506</v>
      </c>
      <c r="F59" s="1"/>
      <c r="G59" s="1"/>
      <c r="H59" s="1"/>
      <c r="I59" s="1"/>
      <c r="J59" s="1"/>
      <c r="K59" s="1"/>
      <c r="L59" s="1"/>
      <c r="M59" s="1"/>
      <c r="N59" s="236"/>
      <c r="O59" s="3"/>
      <c r="P59" s="3"/>
      <c r="Q59" s="3"/>
      <c r="R59" s="3"/>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row>
    <row r="60" spans="1:46" ht="21" customHeight="1" x14ac:dyDescent="0.25">
      <c r="A60" s="3"/>
      <c r="B60" s="243"/>
      <c r="C60" s="444" t="s">
        <v>495</v>
      </c>
      <c r="D60" s="111" t="s">
        <v>507</v>
      </c>
      <c r="E60" s="111"/>
      <c r="F60" s="111"/>
      <c r="G60" s="111"/>
      <c r="H60" s="111"/>
      <c r="I60" s="111"/>
      <c r="J60" s="111"/>
      <c r="K60" s="111"/>
      <c r="L60" s="111"/>
      <c r="M60" s="111"/>
      <c r="N60" s="236"/>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row>
    <row r="61" spans="1:46" ht="16.5" customHeight="1" x14ac:dyDescent="0.2">
      <c r="A61" s="3"/>
      <c r="B61" s="243"/>
      <c r="C61" s="316"/>
      <c r="D61" s="1"/>
      <c r="E61" s="1" t="s">
        <v>508</v>
      </c>
      <c r="F61" s="1"/>
      <c r="G61" s="1"/>
      <c r="H61" s="1"/>
      <c r="I61" s="1"/>
      <c r="J61" s="1"/>
      <c r="K61" s="1"/>
      <c r="L61" s="1"/>
      <c r="M61" s="1"/>
      <c r="N61" s="236"/>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row>
    <row r="62" spans="1:46" ht="16.5" customHeight="1" x14ac:dyDescent="0.25">
      <c r="A62" s="3"/>
      <c r="B62" s="243"/>
      <c r="C62" s="439" t="s">
        <v>495</v>
      </c>
      <c r="D62" s="111" t="s">
        <v>509</v>
      </c>
      <c r="E62" s="111"/>
      <c r="F62" s="111"/>
      <c r="G62" s="111"/>
      <c r="H62" s="111"/>
      <c r="I62" s="111"/>
      <c r="J62" s="111"/>
      <c r="K62" s="111"/>
      <c r="L62" s="111"/>
      <c r="M62" s="111"/>
      <c r="N62" s="236"/>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row>
    <row r="63" spans="1:46" ht="16.5" customHeight="1" x14ac:dyDescent="0.25">
      <c r="A63" s="3"/>
      <c r="B63" s="243"/>
      <c r="C63" s="439"/>
      <c r="D63" s="1" t="s">
        <v>510</v>
      </c>
      <c r="E63" s="111"/>
      <c r="F63" s="111"/>
      <c r="G63" s="111"/>
      <c r="H63" s="111"/>
      <c r="I63" s="111"/>
      <c r="J63" s="111"/>
      <c r="K63" s="111"/>
      <c r="L63" s="111"/>
      <c r="M63" s="111"/>
      <c r="N63" s="236"/>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row>
    <row r="64" spans="1:46" ht="18.75" customHeight="1" x14ac:dyDescent="0.25">
      <c r="A64" s="3"/>
      <c r="B64" s="243"/>
      <c r="C64" s="439" t="s">
        <v>495</v>
      </c>
      <c r="D64" s="111" t="s">
        <v>511</v>
      </c>
      <c r="E64" s="111"/>
      <c r="F64" s="111"/>
      <c r="G64" s="111"/>
      <c r="H64" s="111"/>
      <c r="I64" s="111"/>
      <c r="J64" s="111"/>
      <c r="K64" s="111"/>
      <c r="L64" s="111"/>
      <c r="M64" s="111"/>
      <c r="N64" s="236"/>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row>
    <row r="65" spans="1:46" ht="16.5" customHeight="1" x14ac:dyDescent="0.25">
      <c r="A65" s="3"/>
      <c r="B65" s="243"/>
      <c r="C65" s="1"/>
      <c r="D65" s="111"/>
      <c r="E65" s="1" t="s">
        <v>512</v>
      </c>
      <c r="F65" s="111"/>
      <c r="G65" s="111"/>
      <c r="H65" s="111"/>
      <c r="I65" s="111"/>
      <c r="J65" s="111"/>
      <c r="K65" s="111"/>
      <c r="L65" s="111"/>
      <c r="M65" s="111"/>
      <c r="N65" s="236"/>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row>
    <row r="66" spans="1:46" ht="18.75" customHeight="1" x14ac:dyDescent="0.25">
      <c r="A66" s="3"/>
      <c r="B66" s="243"/>
      <c r="C66" s="439" t="s">
        <v>495</v>
      </c>
      <c r="D66" s="111" t="s">
        <v>513</v>
      </c>
      <c r="E66" s="111"/>
      <c r="F66" s="111"/>
      <c r="G66" s="111"/>
      <c r="H66" s="111"/>
      <c r="I66" s="111"/>
      <c r="J66" s="111"/>
      <c r="K66" s="111"/>
      <c r="L66" s="111"/>
      <c r="M66" s="111"/>
      <c r="N66" s="236"/>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row>
    <row r="67" spans="1:46" ht="13.95" customHeight="1" x14ac:dyDescent="0.25">
      <c r="A67" s="3"/>
      <c r="B67" s="243"/>
      <c r="C67" s="439"/>
      <c r="D67" s="111"/>
      <c r="E67" s="1" t="s">
        <v>514</v>
      </c>
      <c r="F67" s="111"/>
      <c r="G67" s="111"/>
      <c r="H67" s="111"/>
      <c r="I67" s="111"/>
      <c r="J67" s="111"/>
      <c r="K67" s="111"/>
      <c r="L67" s="111"/>
      <c r="M67" s="111"/>
      <c r="N67" s="236"/>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row>
    <row r="68" spans="1:46" x14ac:dyDescent="0.2">
      <c r="A68" s="3"/>
      <c r="B68" s="243"/>
      <c r="C68" s="1"/>
      <c r="D68" s="1"/>
      <c r="E68" s="1"/>
      <c r="F68" s="1"/>
      <c r="G68" s="1"/>
      <c r="H68" s="1"/>
      <c r="I68" s="1"/>
      <c r="J68" s="1"/>
      <c r="K68" s="1"/>
      <c r="L68" s="1"/>
      <c r="M68" s="1"/>
      <c r="N68" s="236"/>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row>
    <row r="69" spans="1:46" x14ac:dyDescent="0.2">
      <c r="A69" s="3"/>
      <c r="B69" s="243"/>
      <c r="C69" s="1212"/>
      <c r="D69" s="727"/>
      <c r="E69" s="727"/>
      <c r="F69" s="727"/>
      <c r="G69" s="727"/>
      <c r="H69" s="727"/>
      <c r="I69" s="727"/>
      <c r="J69" s="727"/>
      <c r="K69" s="727"/>
      <c r="L69" s="727"/>
      <c r="M69" s="1149"/>
      <c r="N69" s="236"/>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row>
    <row r="70" spans="1:46" x14ac:dyDescent="0.2">
      <c r="A70" s="3"/>
      <c r="B70" s="243"/>
      <c r="C70" s="428"/>
      <c r="D70" s="1" t="s">
        <v>515</v>
      </c>
      <c r="E70" s="1"/>
      <c r="F70" s="1"/>
      <c r="G70" s="1"/>
      <c r="H70" s="1"/>
      <c r="I70" s="1"/>
      <c r="J70" s="1"/>
      <c r="K70" s="1"/>
      <c r="L70" s="1"/>
      <c r="M70" s="161"/>
      <c r="N70" s="236"/>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row>
    <row r="71" spans="1:46" x14ac:dyDescent="0.2">
      <c r="A71" s="3"/>
      <c r="B71" s="243"/>
      <c r="C71" s="428"/>
      <c r="D71" s="1"/>
      <c r="E71" s="1"/>
      <c r="F71" s="1"/>
      <c r="G71" s="1"/>
      <c r="H71" s="1"/>
      <c r="I71" s="1"/>
      <c r="J71" s="1"/>
      <c r="K71" s="1"/>
      <c r="L71" s="1"/>
      <c r="M71" s="161"/>
      <c r="N71" s="236"/>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row>
    <row r="72" spans="1:46" ht="12" x14ac:dyDescent="0.25">
      <c r="A72" s="3"/>
      <c r="B72" s="243"/>
      <c r="C72" s="428"/>
      <c r="D72" s="1"/>
      <c r="E72" s="111" t="str">
        <f>'WK0 - Input data'!$D$29&amp;" "&amp;'WK0 - Input data'!$D$30</f>
        <v>Edward Jenkins</v>
      </c>
      <c r="F72" s="1"/>
      <c r="G72" s="1"/>
      <c r="H72" s="1" t="str">
        <f>'WK0 - Input data'!D32</f>
        <v>(02) 9113 7774</v>
      </c>
      <c r="I72" s="1"/>
      <c r="J72" s="1"/>
      <c r="K72" s="1"/>
      <c r="L72" s="1"/>
      <c r="M72" s="161"/>
      <c r="N72" s="236"/>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row>
    <row r="73" spans="1:46" x14ac:dyDescent="0.2">
      <c r="A73" s="3"/>
      <c r="B73" s="243"/>
      <c r="C73" s="428"/>
      <c r="D73" s="1"/>
      <c r="E73" s="1"/>
      <c r="F73" s="1"/>
      <c r="G73" s="1"/>
      <c r="H73" s="1" t="str">
        <f>'WK0 - Input data'!D31</f>
        <v>Edward_jenkins@ipart.nsw.gov.au</v>
      </c>
      <c r="I73" s="1"/>
      <c r="J73" s="1"/>
      <c r="K73" s="1"/>
      <c r="L73" s="1"/>
      <c r="M73" s="161"/>
      <c r="N73" s="236"/>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row>
    <row r="74" spans="1:46" x14ac:dyDescent="0.2">
      <c r="A74" s="3"/>
      <c r="B74" s="243"/>
      <c r="C74" s="428"/>
      <c r="D74" s="1"/>
      <c r="E74" s="1"/>
      <c r="F74" s="1"/>
      <c r="G74" s="1"/>
      <c r="H74" s="1"/>
      <c r="I74" s="1"/>
      <c r="J74" s="1"/>
      <c r="K74" s="1"/>
      <c r="L74" s="1"/>
      <c r="M74" s="161"/>
      <c r="N74" s="236"/>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row>
    <row r="75" spans="1:46" ht="12" x14ac:dyDescent="0.25">
      <c r="A75" s="3"/>
      <c r="B75" s="243"/>
      <c r="C75" s="428"/>
      <c r="D75" s="1"/>
      <c r="E75" s="111" t="str">
        <f>'WK0 - Input data'!$D$35&amp;" "&amp;'WK0 - Input data'!$D$36&amp;" (who in "&amp;'WK0 - Input data'!D29&amp;"'s absence, will direct you to the appropriate IPART officer)"</f>
        <v>Arsh Suri (who in Edward's absence, will direct you to the appropriate IPART officer)</v>
      </c>
      <c r="F75" s="1"/>
      <c r="G75" s="1"/>
      <c r="H75" s="1"/>
      <c r="I75" s="1"/>
      <c r="J75" s="1"/>
      <c r="K75" s="1"/>
      <c r="L75" s="1"/>
      <c r="M75" s="161"/>
      <c r="N75" s="236"/>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row>
    <row r="76" spans="1:46" ht="12" x14ac:dyDescent="0.25">
      <c r="A76" s="3"/>
      <c r="B76" s="243"/>
      <c r="C76" s="428"/>
      <c r="D76" s="1"/>
      <c r="E76" s="1"/>
      <c r="F76" s="111"/>
      <c r="G76" s="1"/>
      <c r="H76" s="1" t="str">
        <f>'WK0 - Input data'!D38</f>
        <v>(02) 9113 7730</v>
      </c>
      <c r="I76" s="1"/>
      <c r="J76" s="1"/>
      <c r="K76" s="1"/>
      <c r="L76" s="1"/>
      <c r="M76" s="161"/>
      <c r="N76" s="236"/>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row>
    <row r="77" spans="1:46" x14ac:dyDescent="0.2">
      <c r="A77" s="3"/>
      <c r="B77" s="243"/>
      <c r="C77" s="428"/>
      <c r="D77" s="1"/>
      <c r="E77" s="1"/>
      <c r="F77" s="1"/>
      <c r="G77" s="1"/>
      <c r="H77" s="1" t="str">
        <f>'WK0 - Input data'!D37</f>
        <v>arsh_suri@ipart.nsw.gov.au</v>
      </c>
      <c r="I77" s="1"/>
      <c r="J77" s="1"/>
      <c r="K77" s="1"/>
      <c r="L77" s="1"/>
      <c r="M77" s="161"/>
      <c r="N77" s="236"/>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row>
    <row r="78" spans="1:46" x14ac:dyDescent="0.2">
      <c r="A78" s="3"/>
      <c r="B78" s="243"/>
      <c r="C78" s="458"/>
      <c r="D78" s="406"/>
      <c r="E78" s="406"/>
      <c r="F78" s="406"/>
      <c r="G78" s="406"/>
      <c r="H78" s="406"/>
      <c r="I78" s="406"/>
      <c r="J78" s="406"/>
      <c r="K78" s="406"/>
      <c r="L78" s="406"/>
      <c r="M78" s="162"/>
      <c r="N78" s="236"/>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1:46" ht="18.75" customHeight="1" thickBot="1" x14ac:dyDescent="0.3">
      <c r="A79" s="3"/>
      <c r="B79" s="472"/>
      <c r="C79" s="482"/>
      <c r="D79" s="483"/>
      <c r="E79" s="473"/>
      <c r="F79" s="473"/>
      <c r="G79" s="473"/>
      <c r="H79" s="473"/>
      <c r="I79" s="473"/>
      <c r="J79" s="473"/>
      <c r="K79" s="473"/>
      <c r="L79" s="473"/>
      <c r="M79" s="473"/>
      <c r="N79" s="474"/>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1:46" ht="14.25" customHeight="1" x14ac:dyDescent="0.25">
      <c r="A80" s="3"/>
      <c r="B80" s="1"/>
      <c r="C80" s="457"/>
      <c r="D80" s="111"/>
      <c r="E80" s="1"/>
      <c r="F80" s="1"/>
      <c r="G80" s="1"/>
      <c r="H80" s="1"/>
      <c r="I80" s="1"/>
      <c r="J80" s="1"/>
      <c r="K80" s="1"/>
      <c r="L80" s="1"/>
      <c r="M80" s="1"/>
      <c r="N80" s="1"/>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row>
    <row r="81" spans="1:46" ht="14.25" customHeight="1" thickBot="1" x14ac:dyDescent="0.3">
      <c r="A81" s="3"/>
      <c r="B81" s="1"/>
      <c r="C81" s="457"/>
      <c r="D81" s="111"/>
      <c r="E81" s="1"/>
      <c r="F81" s="1"/>
      <c r="G81" s="1"/>
      <c r="H81" s="1"/>
      <c r="I81" s="1"/>
      <c r="J81" s="1"/>
      <c r="K81" s="1"/>
      <c r="L81" s="1"/>
      <c r="M81" s="1"/>
      <c r="N81" s="1"/>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row>
    <row r="82" spans="1:46" ht="5.25" customHeight="1" x14ac:dyDescent="0.25">
      <c r="A82" s="3"/>
      <c r="B82" s="471"/>
      <c r="C82" s="488"/>
      <c r="D82" s="228"/>
      <c r="E82" s="228"/>
      <c r="F82" s="228"/>
      <c r="G82" s="228"/>
      <c r="H82" s="228"/>
      <c r="I82" s="228"/>
      <c r="J82" s="228"/>
      <c r="K82" s="228"/>
      <c r="L82" s="228"/>
      <c r="M82" s="228"/>
      <c r="N82" s="464"/>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row>
    <row r="83" spans="1:46" ht="13.5" customHeight="1" x14ac:dyDescent="0.25">
      <c r="A83" s="3"/>
      <c r="B83" s="243"/>
      <c r="C83" s="726" t="s">
        <v>516</v>
      </c>
      <c r="D83" s="727"/>
      <c r="E83" s="727"/>
      <c r="F83" s="727"/>
      <c r="G83" s="727"/>
      <c r="H83" s="727"/>
      <c r="I83" s="1"/>
      <c r="J83" s="1"/>
      <c r="K83" s="1"/>
      <c r="L83" s="1"/>
      <c r="M83" s="1"/>
      <c r="N83" s="236"/>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row>
    <row r="84" spans="1:46" ht="4.2" customHeight="1" x14ac:dyDescent="0.25">
      <c r="A84" s="3"/>
      <c r="B84" s="243"/>
      <c r="C84" s="463"/>
      <c r="D84" s="1"/>
      <c r="E84" s="1"/>
      <c r="F84" s="1"/>
      <c r="G84" s="1"/>
      <c r="H84" s="1"/>
      <c r="I84" s="1"/>
      <c r="J84" s="1"/>
      <c r="K84" s="1"/>
      <c r="L84" s="1"/>
      <c r="M84" s="1"/>
      <c r="N84" s="236"/>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row>
    <row r="85" spans="1:46" ht="12.6" customHeight="1" x14ac:dyDescent="0.2">
      <c r="A85" s="3"/>
      <c r="B85" s="243"/>
      <c r="C85" s="802" t="s">
        <v>517</v>
      </c>
      <c r="D85" s="803"/>
      <c r="E85" s="802"/>
      <c r="F85" s="802"/>
      <c r="G85" s="802"/>
      <c r="H85" s="802"/>
      <c r="I85" s="1"/>
      <c r="J85" s="1"/>
      <c r="K85" s="1"/>
      <c r="L85" s="1"/>
      <c r="M85" s="1"/>
      <c r="N85" s="236"/>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row>
    <row r="86" spans="1:46" ht="12.6" customHeight="1" x14ac:dyDescent="0.2">
      <c r="A86" s="3"/>
      <c r="B86" s="243"/>
      <c r="C86" s="728" t="s">
        <v>518</v>
      </c>
      <c r="D86" s="728"/>
      <c r="E86" s="728"/>
      <c r="F86" s="728"/>
      <c r="G86" s="728"/>
      <c r="H86" s="728"/>
      <c r="I86" s="3"/>
      <c r="J86" s="3"/>
      <c r="K86" s="1"/>
      <c r="L86" s="1"/>
      <c r="M86" s="1"/>
      <c r="N86" s="236"/>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row>
    <row r="87" spans="1:46" ht="12.6" customHeight="1" x14ac:dyDescent="0.25">
      <c r="A87" s="3"/>
      <c r="B87" s="243"/>
      <c r="C87" s="40" t="s">
        <v>11</v>
      </c>
      <c r="D87" s="40"/>
      <c r="E87" s="40"/>
      <c r="F87" s="40"/>
      <c r="G87" s="40"/>
      <c r="H87" s="40"/>
      <c r="I87" s="3"/>
      <c r="J87" s="3"/>
      <c r="K87" s="1"/>
      <c r="L87" s="1"/>
      <c r="M87" s="1"/>
      <c r="N87" s="236"/>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row>
    <row r="88" spans="1:46" ht="12.6" customHeight="1" x14ac:dyDescent="0.2">
      <c r="A88" s="3"/>
      <c r="B88" s="243"/>
      <c r="C88" s="804" t="s">
        <v>519</v>
      </c>
      <c r="D88" s="1"/>
      <c r="E88" s="804"/>
      <c r="F88" s="804"/>
      <c r="G88" s="804"/>
      <c r="H88" s="804"/>
      <c r="I88" s="1"/>
      <c r="J88" s="1"/>
      <c r="K88" s="1"/>
      <c r="L88" s="1"/>
      <c r="M88" s="1"/>
      <c r="N88" s="236"/>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row>
    <row r="89" spans="1:46" ht="12.6" customHeight="1" x14ac:dyDescent="0.2">
      <c r="A89" s="3"/>
      <c r="B89" s="243"/>
      <c r="C89" s="805" t="s">
        <v>520</v>
      </c>
      <c r="D89" s="1"/>
      <c r="E89" s="804"/>
      <c r="F89" s="1"/>
      <c r="G89" s="1"/>
      <c r="H89" s="1"/>
      <c r="I89" s="1"/>
      <c r="J89" s="1"/>
      <c r="K89" s="1"/>
      <c r="L89" s="1"/>
      <c r="M89" s="1"/>
      <c r="N89" s="236"/>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row>
    <row r="90" spans="1:46" ht="12.6" customHeight="1" thickBot="1" x14ac:dyDescent="0.25">
      <c r="A90" s="3"/>
      <c r="B90" s="243"/>
      <c r="C90" s="806" t="s">
        <v>521</v>
      </c>
      <c r="D90" s="1"/>
      <c r="E90" s="804"/>
      <c r="F90" s="1"/>
      <c r="G90" s="1"/>
      <c r="H90" s="1"/>
      <c r="I90" s="1"/>
      <c r="J90" s="1"/>
      <c r="K90" s="1"/>
      <c r="L90" s="1"/>
      <c r="M90" s="1"/>
      <c r="N90" s="236"/>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row>
    <row r="91" spans="1:46" ht="10.5" customHeight="1" thickTop="1" thickBot="1" x14ac:dyDescent="0.25">
      <c r="A91" s="3"/>
      <c r="B91" s="472"/>
      <c r="C91" s="807"/>
      <c r="D91" s="473"/>
      <c r="E91" s="473"/>
      <c r="F91" s="473"/>
      <c r="G91" s="473"/>
      <c r="H91" s="473"/>
      <c r="I91" s="473"/>
      <c r="J91" s="473"/>
      <c r="K91" s="473"/>
      <c r="L91" s="473"/>
      <c r="M91" s="473"/>
      <c r="N91" s="474"/>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row>
    <row r="92" spans="1:46" ht="15.75" customHeight="1" x14ac:dyDescent="0.2">
      <c r="A92" s="3"/>
      <c r="B92" s="1"/>
      <c r="C92" s="804"/>
      <c r="D92" s="1"/>
      <c r="E92" s="1"/>
      <c r="F92" s="1"/>
      <c r="G92" s="1"/>
      <c r="H92" s="1"/>
      <c r="I92" s="1"/>
      <c r="J92" s="1"/>
      <c r="K92" s="1"/>
      <c r="L92" s="1"/>
      <c r="M92" s="1"/>
      <c r="N92" s="1"/>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row>
    <row r="93" spans="1:46" ht="14.25" customHeight="1" thickBot="1" x14ac:dyDescent="0.3">
      <c r="A93" s="3"/>
      <c r="B93" s="1"/>
      <c r="C93" s="457"/>
      <c r="D93" s="111"/>
      <c r="E93" s="1"/>
      <c r="F93" s="1"/>
      <c r="G93" s="1"/>
      <c r="H93" s="1"/>
      <c r="I93" s="1"/>
      <c r="J93" s="1"/>
      <c r="K93" s="1"/>
      <c r="L93" s="1"/>
      <c r="M93" s="1"/>
      <c r="N93" s="1"/>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row>
    <row r="94" spans="1:46" ht="20.25" customHeight="1" x14ac:dyDescent="0.3">
      <c r="A94" s="3"/>
      <c r="B94" s="471"/>
      <c r="C94" s="210"/>
      <c r="D94" s="475"/>
      <c r="E94" s="228"/>
      <c r="F94" s="228"/>
      <c r="G94" s="228"/>
      <c r="H94" s="228"/>
      <c r="I94" s="484" t="s">
        <v>522</v>
      </c>
      <c r="J94" s="228"/>
      <c r="K94" s="228"/>
      <c r="L94" s="228"/>
      <c r="M94" s="228"/>
      <c r="N94" s="464"/>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row>
    <row r="95" spans="1:46" ht="6.75" customHeight="1" x14ac:dyDescent="0.3">
      <c r="A95" s="3"/>
      <c r="B95" s="243"/>
      <c r="C95" s="3"/>
      <c r="D95" s="111"/>
      <c r="E95" s="1"/>
      <c r="F95" s="1"/>
      <c r="G95" s="1"/>
      <c r="H95" s="1"/>
      <c r="I95" s="134"/>
      <c r="J95" s="1"/>
      <c r="K95" s="1"/>
      <c r="L95" s="1"/>
      <c r="M95" s="1"/>
      <c r="N95" s="236"/>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row>
    <row r="96" spans="1:46" ht="10.5" customHeight="1" x14ac:dyDescent="0.25">
      <c r="A96" s="3"/>
      <c r="B96" s="243"/>
      <c r="C96" s="457"/>
      <c r="D96" s="111"/>
      <c r="E96" s="1"/>
      <c r="F96" s="1"/>
      <c r="G96" s="1"/>
      <c r="H96" s="1"/>
      <c r="I96" s="1"/>
      <c r="J96" s="1"/>
      <c r="K96" s="1"/>
      <c r="L96" s="1"/>
      <c r="M96" s="1"/>
      <c r="N96" s="236"/>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row>
    <row r="97" spans="1:46" ht="15.75" customHeight="1" x14ac:dyDescent="0.25">
      <c r="A97" s="3"/>
      <c r="B97" s="243"/>
      <c r="C97" s="111"/>
      <c r="D97" s="1"/>
      <c r="E97" s="1"/>
      <c r="F97" s="1"/>
      <c r="G97" s="1"/>
      <c r="H97" s="1"/>
      <c r="I97" s="1"/>
      <c r="J97"/>
      <c r="K97" s="1"/>
      <c r="L97" s="1"/>
      <c r="M97" s="1"/>
      <c r="N97" s="236"/>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row>
    <row r="98" spans="1:46" ht="13.8" x14ac:dyDescent="0.25">
      <c r="A98" s="3"/>
      <c r="B98" s="243"/>
      <c r="C98" s="463" t="s">
        <v>523</v>
      </c>
      <c r="D98" s="111"/>
      <c r="E98" s="1"/>
      <c r="F98" s="1"/>
      <c r="G98" s="1"/>
      <c r="H98" s="1"/>
      <c r="I98" s="1"/>
      <c r="J98" s="1"/>
      <c r="K98" s="1"/>
      <c r="L98" s="1"/>
      <c r="M98" s="1"/>
      <c r="N98" s="236"/>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row>
    <row r="99" spans="1:46" ht="5.25" customHeight="1" x14ac:dyDescent="0.2">
      <c r="A99" s="3"/>
      <c r="B99" s="243"/>
      <c r="C99" s="1"/>
      <c r="D99" s="1"/>
      <c r="E99" s="1"/>
      <c r="F99" s="1"/>
      <c r="G99" s="1"/>
      <c r="H99" s="1"/>
      <c r="I99" s="1"/>
      <c r="J99" s="1"/>
      <c r="K99" s="1"/>
      <c r="L99" s="1"/>
      <c r="M99" s="1"/>
      <c r="N99" s="236"/>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row>
    <row r="100" spans="1:46" ht="16.5" customHeight="1" x14ac:dyDescent="0.2">
      <c r="A100" s="3"/>
      <c r="B100" s="243"/>
      <c r="C100" s="77" t="s">
        <v>524</v>
      </c>
      <c r="D100" s="1" t="s">
        <v>525</v>
      </c>
      <c r="E100" s="1"/>
      <c r="F100" s="1"/>
      <c r="G100" s="1"/>
      <c r="H100" s="1"/>
      <c r="I100" s="1"/>
      <c r="J100" s="1"/>
      <c r="K100" s="1"/>
      <c r="L100" s="1"/>
      <c r="M100" s="1"/>
      <c r="N100" s="236"/>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row>
    <row r="101" spans="1:46" ht="16.5" customHeight="1" x14ac:dyDescent="0.2">
      <c r="A101" s="3"/>
      <c r="B101" s="243"/>
      <c r="C101" s="77" t="s">
        <v>524</v>
      </c>
      <c r="D101" s="1" t="s">
        <v>526</v>
      </c>
      <c r="E101" s="1"/>
      <c r="F101" s="1"/>
      <c r="G101" s="1"/>
      <c r="H101" s="1"/>
      <c r="I101" s="1"/>
      <c r="J101" s="1"/>
      <c r="K101" s="1"/>
      <c r="L101" s="1"/>
      <c r="M101" s="1"/>
      <c r="N101" s="236"/>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row>
    <row r="102" spans="1:46" ht="16.5" customHeight="1" x14ac:dyDescent="0.2">
      <c r="A102" s="3"/>
      <c r="B102" s="243"/>
      <c r="C102" s="77"/>
      <c r="D102" s="1" t="s">
        <v>527</v>
      </c>
      <c r="E102" s="1"/>
      <c r="F102" s="1"/>
      <c r="G102" s="1"/>
      <c r="H102" s="1"/>
      <c r="I102" s="1"/>
      <c r="J102" s="1"/>
      <c r="K102" s="1"/>
      <c r="L102" s="1"/>
      <c r="M102" s="1"/>
      <c r="N102" s="236"/>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row>
    <row r="103" spans="1:46" ht="16.5" customHeight="1" x14ac:dyDescent="0.2">
      <c r="A103" s="3"/>
      <c r="B103" s="243"/>
      <c r="C103" s="77" t="str">
        <f>$C$100</f>
        <v>&gt;</v>
      </c>
      <c r="D103" s="1" t="s">
        <v>528</v>
      </c>
      <c r="E103" s="1"/>
      <c r="F103" s="1"/>
      <c r="G103" s="1"/>
      <c r="H103" s="1"/>
      <c r="I103" s="1"/>
      <c r="J103" s="1"/>
      <c r="K103" s="1"/>
      <c r="L103" s="1"/>
      <c r="M103" s="1"/>
      <c r="N103" s="236"/>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row>
    <row r="104" spans="1:46" ht="16.5" customHeight="1" x14ac:dyDescent="0.2">
      <c r="A104" s="3"/>
      <c r="B104" s="243"/>
      <c r="C104" s="77" t="str">
        <f>$C$100</f>
        <v>&gt;</v>
      </c>
      <c r="D104" s="1" t="s">
        <v>529</v>
      </c>
      <c r="E104" s="1"/>
      <c r="F104" s="1"/>
      <c r="G104" s="1"/>
      <c r="H104" s="1"/>
      <c r="I104" s="1"/>
      <c r="J104" s="1"/>
      <c r="K104" s="1"/>
      <c r="L104" s="1"/>
      <c r="M104" s="1"/>
      <c r="N104" s="236"/>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row>
    <row r="105" spans="1:46" ht="16.5" customHeight="1" x14ac:dyDescent="0.2">
      <c r="A105" s="3"/>
      <c r="B105" s="243"/>
      <c r="C105" s="77" t="str">
        <f>$C$100</f>
        <v>&gt;</v>
      </c>
      <c r="D105" s="1" t="s">
        <v>530</v>
      </c>
      <c r="E105" s="1"/>
      <c r="F105" s="1"/>
      <c r="G105" s="1"/>
      <c r="H105" s="1"/>
      <c r="I105" s="1"/>
      <c r="J105" s="1"/>
      <c r="K105" s="1"/>
      <c r="L105" s="1"/>
      <c r="M105" s="1"/>
      <c r="N105" s="236"/>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row>
    <row r="106" spans="1:46" ht="16.5" customHeight="1" x14ac:dyDescent="0.2">
      <c r="A106" s="3"/>
      <c r="B106" s="243"/>
      <c r="C106" s="77"/>
      <c r="D106" s="77" t="s">
        <v>531</v>
      </c>
      <c r="E106" s="1" t="s">
        <v>532</v>
      </c>
      <c r="F106" s="1"/>
      <c r="G106" s="1"/>
      <c r="H106" s="1"/>
      <c r="I106" s="1"/>
      <c r="J106" s="1"/>
      <c r="K106" s="1"/>
      <c r="L106" s="1"/>
      <c r="M106" s="1"/>
      <c r="N106" s="236"/>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row>
    <row r="107" spans="1:46" ht="16.5" customHeight="1" x14ac:dyDescent="0.2">
      <c r="A107" s="3"/>
      <c r="B107" s="243"/>
      <c r="C107" s="77"/>
      <c r="D107" s="77"/>
      <c r="E107" s="1" t="s">
        <v>533</v>
      </c>
      <c r="F107" s="1"/>
      <c r="G107" s="1"/>
      <c r="H107" s="1"/>
      <c r="I107" s="1"/>
      <c r="J107" s="1"/>
      <c r="K107" s="1"/>
      <c r="L107" s="1"/>
      <c r="M107" s="1"/>
      <c r="N107" s="236"/>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row>
    <row r="108" spans="1:46" ht="16.5" customHeight="1" x14ac:dyDescent="0.2">
      <c r="A108" s="3"/>
      <c r="B108" s="243"/>
      <c r="C108" s="77"/>
      <c r="D108" s="77" t="str">
        <f>$D$106</f>
        <v>*</v>
      </c>
      <c r="E108" s="1" t="str">
        <f>"Enter the $ value of expiring SVs in Table 1 (row "&amp;ROW('WK1 - Identification'!C74)&amp;")"</f>
        <v>Enter the $ value of expiring SVs in Table 1 (row 74)</v>
      </c>
      <c r="F108" s="1"/>
      <c r="G108" s="1"/>
      <c r="H108" s="1"/>
      <c r="I108" s="1"/>
      <c r="J108" s="1"/>
      <c r="K108" s="1"/>
      <c r="L108" s="1"/>
      <c r="M108" s="1"/>
      <c r="N108" s="236"/>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row>
    <row r="109" spans="1:46" ht="16.5" customHeight="1" x14ac:dyDescent="0.2">
      <c r="A109" s="3"/>
      <c r="B109" s="243"/>
      <c r="C109" s="77"/>
      <c r="D109" s="77" t="str">
        <f>$D$106</f>
        <v>*</v>
      </c>
      <c r="E109" s="461" t="s">
        <v>534</v>
      </c>
      <c r="F109" s="1"/>
      <c r="G109" s="1"/>
      <c r="H109" s="1"/>
      <c r="I109" s="1"/>
      <c r="J109" s="1"/>
      <c r="K109" s="1"/>
      <c r="L109" s="1"/>
      <c r="M109" s="1"/>
      <c r="N109" s="236"/>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row>
    <row r="110" spans="1:46" ht="6.75" customHeight="1" x14ac:dyDescent="0.2">
      <c r="A110" s="3"/>
      <c r="B110" s="243"/>
      <c r="C110" s="77"/>
      <c r="D110" s="1"/>
      <c r="E110" s="1"/>
      <c r="F110" s="1"/>
      <c r="G110" s="1"/>
      <c r="H110" s="1"/>
      <c r="I110" s="1"/>
      <c r="J110" s="1"/>
      <c r="K110" s="1"/>
      <c r="L110" s="1"/>
      <c r="M110" s="1"/>
      <c r="N110" s="236"/>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row>
    <row r="111" spans="1:46" ht="16.5" customHeight="1" x14ac:dyDescent="0.2">
      <c r="A111" s="3"/>
      <c r="B111" s="243"/>
      <c r="C111" s="77" t="str">
        <f t="shared" ref="C111" si="0">$C$100</f>
        <v>&gt;</v>
      </c>
      <c r="D111" s="1" t="s">
        <v>535</v>
      </c>
      <c r="E111" s="1"/>
      <c r="F111" s="1"/>
      <c r="G111" s="1"/>
      <c r="H111" s="1"/>
      <c r="I111" s="1"/>
      <c r="J111" s="1"/>
      <c r="K111" s="1"/>
      <c r="L111" s="1"/>
      <c r="M111" s="1"/>
      <c r="N111" s="236"/>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row>
    <row r="112" spans="1:46" ht="16.5" customHeight="1" x14ac:dyDescent="0.2">
      <c r="A112" s="3"/>
      <c r="B112" s="243"/>
      <c r="C112" s="77"/>
      <c r="D112" s="77" t="str">
        <f>$D$106</f>
        <v>*</v>
      </c>
      <c r="E112" s="1" t="s">
        <v>536</v>
      </c>
      <c r="F112" s="1"/>
      <c r="G112" s="1"/>
      <c r="H112" s="1"/>
      <c r="I112" s="1"/>
      <c r="J112" s="1"/>
      <c r="K112" s="1"/>
      <c r="L112" s="1"/>
      <c r="M112" s="1"/>
      <c r="N112" s="236"/>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row>
    <row r="113" spans="1:46" ht="16.5" customHeight="1" x14ac:dyDescent="0.2">
      <c r="A113" s="3"/>
      <c r="B113" s="243"/>
      <c r="C113" s="77"/>
      <c r="D113" s="77" t="str">
        <f>$D$106</f>
        <v>*</v>
      </c>
      <c r="E113" s="461" t="s">
        <v>537</v>
      </c>
      <c r="F113" s="1"/>
      <c r="G113" s="1"/>
      <c r="H113" s="1"/>
      <c r="I113" s="1"/>
      <c r="J113" s="1"/>
      <c r="K113" s="1"/>
      <c r="L113" s="1"/>
      <c r="M113" s="1"/>
      <c r="N113" s="236"/>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row>
    <row r="114" spans="1:46" ht="16.5" customHeight="1" x14ac:dyDescent="0.2">
      <c r="A114" s="3"/>
      <c r="B114" s="243"/>
      <c r="C114" s="77" t="str">
        <f t="shared" ref="C114" si="1">$C$100</f>
        <v>&gt;</v>
      </c>
      <c r="D114" s="1" t="s">
        <v>538</v>
      </c>
      <c r="E114" s="1"/>
      <c r="F114" s="1"/>
      <c r="G114" s="1"/>
      <c r="H114" s="1"/>
      <c r="I114" s="1"/>
      <c r="J114" s="1"/>
      <c r="K114" s="1"/>
      <c r="L114" s="1"/>
      <c r="M114" s="1"/>
      <c r="N114" s="236"/>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row>
    <row r="115" spans="1:46" ht="16.5" customHeight="1" x14ac:dyDescent="0.2">
      <c r="A115" s="3"/>
      <c r="B115" s="243"/>
      <c r="C115" s="77"/>
      <c r="D115" s="77" t="str">
        <f>$D$106</f>
        <v>*</v>
      </c>
      <c r="E115" s="1" t="s">
        <v>539</v>
      </c>
      <c r="F115" s="1"/>
      <c r="G115" s="1"/>
      <c r="H115" s="1"/>
      <c r="I115" s="1"/>
      <c r="J115" s="1"/>
      <c r="K115" s="1"/>
      <c r="L115" s="1"/>
      <c r="M115" s="1"/>
      <c r="N115" s="236"/>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row>
    <row r="116" spans="1:46" ht="16.5" customHeight="1" x14ac:dyDescent="0.2">
      <c r="A116" s="3"/>
      <c r="B116" s="243"/>
      <c r="C116" s="1"/>
      <c r="D116" s="1"/>
      <c r="E116" s="1" t="s">
        <v>540</v>
      </c>
      <c r="F116" s="1"/>
      <c r="G116" s="1"/>
      <c r="H116" s="1"/>
      <c r="I116" s="1"/>
      <c r="J116" s="1"/>
      <c r="K116" s="1"/>
      <c r="L116" s="1"/>
      <c r="M116" s="1"/>
      <c r="N116" s="236"/>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row>
    <row r="117" spans="1:46" ht="16.5" customHeight="1" x14ac:dyDescent="0.25">
      <c r="A117" s="3"/>
      <c r="B117" s="243"/>
      <c r="C117" s="112"/>
      <c r="D117" s="77" t="str">
        <f>$D$106</f>
        <v>*</v>
      </c>
      <c r="E117" s="1" t="s">
        <v>541</v>
      </c>
      <c r="F117" s="1"/>
      <c r="G117" s="1"/>
      <c r="H117" s="1"/>
      <c r="I117" s="1"/>
      <c r="J117" s="1"/>
      <c r="K117" s="1"/>
      <c r="L117" s="1"/>
      <c r="M117" s="1"/>
      <c r="N117" s="236"/>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row>
    <row r="118" spans="1:46" ht="16.5" customHeight="1" x14ac:dyDescent="0.25">
      <c r="A118" s="3"/>
      <c r="B118" s="243"/>
      <c r="C118" s="112"/>
      <c r="D118"/>
      <c r="E118" s="438" t="s">
        <v>542</v>
      </c>
      <c r="F118" s="1"/>
      <c r="G118" s="1"/>
      <c r="H118" s="1"/>
      <c r="I118" s="1"/>
      <c r="J118" s="1"/>
      <c r="K118" s="1"/>
      <c r="L118" s="1"/>
      <c r="M118" s="1"/>
      <c r="N118" s="236"/>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row>
    <row r="119" spans="1:46" ht="15.75" customHeight="1" x14ac:dyDescent="0.25">
      <c r="A119" s="3"/>
      <c r="B119" s="243"/>
      <c r="C119" s="112"/>
      <c r="D119" s="1"/>
      <c r="E119" s="438" t="s">
        <v>543</v>
      </c>
      <c r="F119" s="1"/>
      <c r="G119" s="1"/>
      <c r="H119" s="1"/>
      <c r="I119" s="1"/>
      <c r="J119" s="1"/>
      <c r="K119" s="1"/>
      <c r="L119" s="1"/>
      <c r="M119" s="1"/>
      <c r="N119" s="236"/>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row>
    <row r="120" spans="1:46" ht="16.5" customHeight="1" x14ac:dyDescent="0.2">
      <c r="A120" s="3"/>
      <c r="B120" s="243"/>
      <c r="C120" s="1"/>
      <c r="D120" s="1"/>
      <c r="E120" s="1"/>
      <c r="F120" s="1"/>
      <c r="G120" s="1"/>
      <c r="H120" s="1"/>
      <c r="I120" s="1"/>
      <c r="J120" s="1"/>
      <c r="K120" s="1"/>
      <c r="L120" s="1"/>
      <c r="M120" s="1"/>
      <c r="N120" s="236"/>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row>
    <row r="121" spans="1:46" ht="16.5" customHeight="1" x14ac:dyDescent="0.25">
      <c r="A121" s="3"/>
      <c r="B121" s="243"/>
      <c r="C121" s="463" t="str">
        <f>"Worksheet 2 - Notional General Income "&amp;'WK0 - Input data'!$H$58</f>
        <v>Worksheet 2 - Notional General Income 2022-23</v>
      </c>
      <c r="D121" s="1"/>
      <c r="E121" s="1"/>
      <c r="F121" s="1"/>
      <c r="G121" s="1"/>
      <c r="H121" s="1"/>
      <c r="I121" s="1"/>
      <c r="J121" s="1"/>
      <c r="K121" s="1"/>
      <c r="L121" s="1"/>
      <c r="M121" s="1"/>
      <c r="N121" s="236"/>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row>
    <row r="122" spans="1:46" ht="7.5" customHeight="1" x14ac:dyDescent="0.25">
      <c r="A122" s="3"/>
      <c r="B122" s="243"/>
      <c r="C122" s="1"/>
      <c r="D122" s="432"/>
      <c r="E122" s="432"/>
      <c r="F122" s="1"/>
      <c r="G122" s="1"/>
      <c r="H122" s="1"/>
      <c r="I122" s="1"/>
      <c r="J122" s="1"/>
      <c r="K122" s="1"/>
      <c r="L122" s="1"/>
      <c r="M122" s="1"/>
      <c r="N122" s="236"/>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row>
    <row r="123" spans="1:46" ht="16.5" customHeight="1" x14ac:dyDescent="0.2">
      <c r="A123" s="3"/>
      <c r="B123" s="243"/>
      <c r="C123" s="1" t="s">
        <v>544</v>
      </c>
      <c r="D123" s="1"/>
      <c r="E123" s="1"/>
      <c r="F123" s="1"/>
      <c r="G123" s="1"/>
      <c r="H123" s="1"/>
      <c r="I123" s="1"/>
      <c r="J123" s="1"/>
      <c r="K123" s="1"/>
      <c r="L123" s="1"/>
      <c r="M123" s="1"/>
      <c r="N123" s="236"/>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row>
    <row r="124" spans="1:46" ht="16.5" customHeight="1" x14ac:dyDescent="0.2">
      <c r="A124" s="3"/>
      <c r="B124" s="243"/>
      <c r="C124" s="1" t="s">
        <v>545</v>
      </c>
      <c r="D124" s="1"/>
      <c r="E124" s="1"/>
      <c r="F124" s="1"/>
      <c r="G124" s="1"/>
      <c r="H124" s="1"/>
      <c r="I124" s="1"/>
      <c r="J124" s="1"/>
      <c r="K124" s="1"/>
      <c r="L124" s="1"/>
      <c r="M124" s="1"/>
      <c r="N124" s="236"/>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row>
    <row r="125" spans="1:46" ht="16.5" customHeight="1" x14ac:dyDescent="0.2">
      <c r="A125" s="3"/>
      <c r="B125" s="243"/>
      <c r="C125" s="1" t="s">
        <v>546</v>
      </c>
      <c r="D125" s="1"/>
      <c r="E125" s="1"/>
      <c r="F125" s="1"/>
      <c r="G125" s="1"/>
      <c r="H125" s="1"/>
      <c r="I125" s="1"/>
      <c r="J125" s="1"/>
      <c r="K125" s="1"/>
      <c r="L125" s="1"/>
      <c r="M125" s="1"/>
      <c r="N125" s="236"/>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row>
    <row r="126" spans="1:46" ht="8.25" customHeight="1" x14ac:dyDescent="0.2">
      <c r="A126" s="3"/>
      <c r="B126" s="243"/>
      <c r="C126" s="1"/>
      <c r="D126" s="1"/>
      <c r="E126" s="1"/>
      <c r="F126" s="1"/>
      <c r="G126" s="1"/>
      <c r="H126" s="1"/>
      <c r="I126" s="1"/>
      <c r="J126" s="1"/>
      <c r="K126" s="1"/>
      <c r="L126" s="1"/>
      <c r="M126" s="1"/>
      <c r="N126" s="236"/>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row>
    <row r="127" spans="1:46" ht="16.5" customHeight="1" x14ac:dyDescent="0.2">
      <c r="A127" s="3"/>
      <c r="B127" s="243"/>
      <c r="C127" s="461" t="s">
        <v>547</v>
      </c>
      <c r="D127" s="1"/>
      <c r="E127" s="1"/>
      <c r="F127" s="1"/>
      <c r="G127" s="1"/>
      <c r="H127" s="1"/>
      <c r="I127" s="1"/>
      <c r="J127" s="1"/>
      <c r="K127" s="1"/>
      <c r="L127" s="1"/>
      <c r="M127" s="1"/>
      <c r="N127" s="236"/>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row>
    <row r="128" spans="1:46" ht="16.5" customHeight="1" x14ac:dyDescent="0.2">
      <c r="A128" s="3"/>
      <c r="B128" s="243"/>
      <c r="C128" s="431"/>
      <c r="D128" s="1"/>
      <c r="E128" s="1"/>
      <c r="F128" s="1"/>
      <c r="G128" s="1"/>
      <c r="H128" s="1"/>
      <c r="I128" s="1"/>
      <c r="J128" s="1"/>
      <c r="K128" s="1"/>
      <c r="L128" s="1"/>
      <c r="M128" s="1"/>
      <c r="N128" s="236"/>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row>
    <row r="129" spans="1:46" ht="16.5" customHeight="1" x14ac:dyDescent="0.25">
      <c r="A129" s="3"/>
      <c r="B129" s="243"/>
      <c r="C129" s="463" t="str">
        <f>"Worksheet 3 - Notional General Income "&amp;'WK0 - Input data'!$I$58</f>
        <v>Worksheet 3 - Notional General Income 2023-24</v>
      </c>
      <c r="D129" s="1"/>
      <c r="E129" s="1"/>
      <c r="F129" s="1"/>
      <c r="G129" s="1"/>
      <c r="H129" s="1"/>
      <c r="I129" s="1"/>
      <c r="J129" s="1"/>
      <c r="K129" s="1"/>
      <c r="L129" s="1"/>
      <c r="M129" s="1"/>
      <c r="N129" s="236"/>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row>
    <row r="130" spans="1:46" ht="7.5" customHeight="1" x14ac:dyDescent="0.25">
      <c r="A130" s="3"/>
      <c r="B130" s="243"/>
      <c r="C130" s="1"/>
      <c r="D130" s="432"/>
      <c r="E130" s="432"/>
      <c r="F130" s="1"/>
      <c r="G130" s="1"/>
      <c r="H130" s="1"/>
      <c r="I130" s="1"/>
      <c r="J130" s="1"/>
      <c r="K130" s="1"/>
      <c r="L130" s="1"/>
      <c r="M130" s="1"/>
      <c r="N130" s="236"/>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row>
    <row r="131" spans="1:46" ht="16.5" customHeight="1" x14ac:dyDescent="0.2">
      <c r="A131" s="3"/>
      <c r="B131" s="243"/>
      <c r="C131" s="1" t="s">
        <v>548</v>
      </c>
      <c r="D131" s="1"/>
      <c r="E131" s="1"/>
      <c r="F131" s="1"/>
      <c r="G131" s="1"/>
      <c r="H131" s="1"/>
      <c r="I131" s="1"/>
      <c r="J131" s="1"/>
      <c r="K131" s="1"/>
      <c r="L131" s="1"/>
      <c r="M131" s="1"/>
      <c r="N131" s="236"/>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row>
    <row r="132" spans="1:46" ht="16.5" customHeight="1" x14ac:dyDescent="0.2">
      <c r="A132" s="3"/>
      <c r="B132" s="243"/>
      <c r="C132" s="1" t="s">
        <v>549</v>
      </c>
      <c r="D132" s="1"/>
      <c r="E132" s="1"/>
      <c r="F132" s="1"/>
      <c r="G132" s="1"/>
      <c r="H132" s="1"/>
      <c r="I132" s="1"/>
      <c r="J132" s="1"/>
      <c r="K132" s="1"/>
      <c r="L132" s="1"/>
      <c r="M132" s="1"/>
      <c r="N132" s="236"/>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row>
    <row r="133" spans="1:46" ht="10.5" customHeight="1" x14ac:dyDescent="0.2">
      <c r="A133" s="3"/>
      <c r="B133" s="243"/>
      <c r="C133" s="1"/>
      <c r="D133" s="1"/>
      <c r="E133" s="1"/>
      <c r="F133" s="1"/>
      <c r="G133" s="1"/>
      <c r="H133" s="1"/>
      <c r="I133" s="1"/>
      <c r="J133" s="1"/>
      <c r="K133" s="1"/>
      <c r="L133" s="1"/>
      <c r="M133" s="1"/>
      <c r="N133" s="236"/>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row>
    <row r="134" spans="1:46" ht="16.5" customHeight="1" x14ac:dyDescent="0.2">
      <c r="A134" s="3"/>
      <c r="B134" s="243"/>
      <c r="C134" s="461" t="s">
        <v>550</v>
      </c>
      <c r="D134" s="1"/>
      <c r="E134" s="1"/>
      <c r="F134" s="1"/>
      <c r="G134" s="1"/>
      <c r="H134" s="1"/>
      <c r="I134" s="1"/>
      <c r="J134" s="1"/>
      <c r="K134" s="1"/>
      <c r="L134" s="1"/>
      <c r="M134" s="1"/>
      <c r="N134" s="236"/>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row>
    <row r="135" spans="1:46" ht="16.5" customHeight="1" x14ac:dyDescent="0.25">
      <c r="A135" s="3"/>
      <c r="B135" s="243"/>
      <c r="C135" s="432"/>
      <c r="D135" s="432"/>
      <c r="E135" s="1"/>
      <c r="F135" s="1"/>
      <c r="G135" s="1"/>
      <c r="H135" s="1"/>
      <c r="I135" s="1"/>
      <c r="J135" s="1"/>
      <c r="K135" s="1"/>
      <c r="L135" s="1"/>
      <c r="M135" s="1"/>
      <c r="N135" s="236"/>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row>
    <row r="136" spans="1:46" ht="16.5" customHeight="1" x14ac:dyDescent="0.25">
      <c r="A136" s="3"/>
      <c r="B136" s="243"/>
      <c r="C136" s="463" t="s">
        <v>551</v>
      </c>
      <c r="D136" s="432"/>
      <c r="E136" s="432"/>
      <c r="F136" s="1"/>
      <c r="G136" s="1"/>
      <c r="H136" s="1"/>
      <c r="I136" s="1"/>
      <c r="J136" s="1"/>
      <c r="K136" s="1"/>
      <c r="L136" s="1"/>
      <c r="M136" s="1"/>
      <c r="N136" s="236"/>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row>
    <row r="137" spans="1:46" ht="7.5" customHeight="1" x14ac:dyDescent="0.25">
      <c r="A137" s="3"/>
      <c r="B137" s="243"/>
      <c r="C137" s="1"/>
      <c r="D137" s="432"/>
      <c r="E137" s="432"/>
      <c r="F137" s="1"/>
      <c r="G137" s="1"/>
      <c r="H137" s="1"/>
      <c r="I137" s="1"/>
      <c r="J137" s="1"/>
      <c r="K137" s="1"/>
      <c r="L137" s="1"/>
      <c r="M137" s="1"/>
      <c r="N137" s="236"/>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row>
    <row r="138" spans="1:46" ht="16.5" customHeight="1" x14ac:dyDescent="0.2">
      <c r="A138" s="3"/>
      <c r="B138" s="243"/>
      <c r="C138" s="1" t="s">
        <v>552</v>
      </c>
      <c r="D138" s="1"/>
      <c r="E138" s="1"/>
      <c r="F138" s="1"/>
      <c r="G138" s="1"/>
      <c r="H138" s="1"/>
      <c r="I138" s="1"/>
      <c r="J138" s="1"/>
      <c r="K138" s="1"/>
      <c r="L138" s="1"/>
      <c r="M138" s="1"/>
      <c r="N138" s="236"/>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row>
    <row r="139" spans="1:46" ht="16.5" customHeight="1" thickBot="1" x14ac:dyDescent="0.25">
      <c r="A139" s="3"/>
      <c r="B139" s="243"/>
      <c r="C139" s="1" t="s">
        <v>553</v>
      </c>
      <c r="D139" s="1"/>
      <c r="E139" s="1"/>
      <c r="F139" s="1"/>
      <c r="G139" s="1"/>
      <c r="H139" s="1"/>
      <c r="I139" s="1"/>
      <c r="J139" s="1"/>
      <c r="K139" s="1"/>
      <c r="L139" s="1"/>
      <c r="M139" s="1"/>
      <c r="N139" s="236"/>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row>
    <row r="140" spans="1:46" ht="16.5" customHeight="1" x14ac:dyDescent="0.25">
      <c r="A140" s="3"/>
      <c r="B140" s="243"/>
      <c r="C140" s="1" t="s">
        <v>554</v>
      </c>
      <c r="D140" s="1"/>
      <c r="E140" s="1"/>
      <c r="F140" s="1"/>
      <c r="G140" s="1"/>
      <c r="H140" s="1"/>
      <c r="I140" s="1"/>
      <c r="J140" s="209"/>
      <c r="K140" s="228"/>
      <c r="L140" s="228"/>
      <c r="M140" s="465" t="s">
        <v>555</v>
      </c>
      <c r="N140" s="465"/>
      <c r="O140" s="228"/>
      <c r="P140" s="228"/>
      <c r="Q140" s="228"/>
      <c r="R140" s="464"/>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row>
    <row r="141" spans="1:46" ht="15" customHeight="1" x14ac:dyDescent="0.2">
      <c r="A141" s="3"/>
      <c r="B141" s="243"/>
      <c r="C141" s="1"/>
      <c r="D141" s="1"/>
      <c r="E141" s="1"/>
      <c r="F141" s="1"/>
      <c r="G141" s="1"/>
      <c r="H141" s="1"/>
      <c r="I141" s="1"/>
      <c r="J141" s="212"/>
      <c r="K141" s="1"/>
      <c r="L141" s="1"/>
      <c r="M141" s="1"/>
      <c r="N141" s="1"/>
      <c r="O141" s="1"/>
      <c r="P141" s="3"/>
      <c r="Q141" s="366"/>
      <c r="R141" s="236"/>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row>
    <row r="142" spans="1:46" ht="16.5" customHeight="1" x14ac:dyDescent="0.25">
      <c r="A142" s="3"/>
      <c r="B142" s="243"/>
      <c r="C142" s="1" t="s">
        <v>556</v>
      </c>
      <c r="D142" s="432"/>
      <c r="E142" s="432"/>
      <c r="F142" s="1"/>
      <c r="G142" s="1"/>
      <c r="H142" s="1"/>
      <c r="I142" s="1"/>
      <c r="J142" s="212"/>
      <c r="K142" s="225" t="s">
        <v>557</v>
      </c>
      <c r="L142" s="226"/>
      <c r="M142" s="226"/>
      <c r="N142" s="226"/>
      <c r="O142" s="226"/>
      <c r="P142" s="227"/>
      <c r="Q142" s="1"/>
      <c r="R142" s="236"/>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row>
    <row r="143" spans="1:46" ht="16.5" customHeight="1" x14ac:dyDescent="0.25">
      <c r="A143" s="3"/>
      <c r="B143" s="243"/>
      <c r="C143" s="1"/>
      <c r="D143" s="1"/>
      <c r="E143" s="432"/>
      <c r="F143" s="1"/>
      <c r="G143" s="1"/>
      <c r="H143" s="1"/>
      <c r="I143" s="1"/>
      <c r="J143" s="212"/>
      <c r="K143" s="3"/>
      <c r="L143" s="119"/>
      <c r="M143" s="120" t="s">
        <v>558</v>
      </c>
      <c r="N143" s="120"/>
      <c r="O143" s="119"/>
      <c r="P143" s="119"/>
      <c r="Q143" s="119"/>
      <c r="R143" s="236"/>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row>
    <row r="144" spans="1:46" ht="16.5" customHeight="1" x14ac:dyDescent="0.25">
      <c r="A144" s="3"/>
      <c r="B144" s="243"/>
      <c r="C144" s="119" t="s">
        <v>559</v>
      </c>
      <c r="D144" s="432"/>
      <c r="E144" s="432"/>
      <c r="F144" s="1"/>
      <c r="G144" s="1"/>
      <c r="H144" s="1"/>
      <c r="I144" s="1"/>
      <c r="J144" s="212"/>
      <c r="K144" s="1"/>
      <c r="L144" s="1"/>
      <c r="M144" s="1"/>
      <c r="N144" s="1"/>
      <c r="O144" s="1"/>
      <c r="P144" s="1"/>
      <c r="Q144" s="1"/>
      <c r="R144" s="236"/>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row>
    <row r="145" spans="1:46" ht="16.5" customHeight="1" x14ac:dyDescent="0.25">
      <c r="A145" s="3"/>
      <c r="B145" s="243"/>
      <c r="C145" s="1" t="str">
        <f>"If the council has a SV due to expire on 30 June "&amp;'WK0 - Input data'!$I$57&amp;", "</f>
        <v xml:space="preserve">If the council has a SV due to expire on 30 June 2023, </v>
      </c>
      <c r="D145" s="432"/>
      <c r="E145" s="432"/>
      <c r="F145" s="1"/>
      <c r="G145" s="1"/>
      <c r="H145" s="1"/>
      <c r="I145" s="1"/>
      <c r="J145" s="212"/>
      <c r="K145" s="3"/>
      <c r="L145" s="111"/>
      <c r="M145" s="151" t="s">
        <v>560</v>
      </c>
      <c r="N145" s="151"/>
      <c r="O145" s="111"/>
      <c r="P145" s="111"/>
      <c r="Q145" s="111"/>
      <c r="R145" s="236"/>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row>
    <row r="146" spans="1:46" ht="16.5" customHeight="1" x14ac:dyDescent="0.25">
      <c r="A146" s="3"/>
      <c r="B146" s="243"/>
      <c r="C146" s="1" t="s">
        <v>561</v>
      </c>
      <c r="D146" s="432"/>
      <c r="E146" s="432"/>
      <c r="F146" s="1"/>
      <c r="G146" s="1"/>
      <c r="H146" s="1"/>
      <c r="I146" s="1"/>
      <c r="J146" s="212"/>
      <c r="K146" s="111"/>
      <c r="L146" s="111"/>
      <c r="M146" s="151" t="s">
        <v>562</v>
      </c>
      <c r="N146" s="151"/>
      <c r="O146" s="1"/>
      <c r="P146" s="111"/>
      <c r="Q146" s="111"/>
      <c r="R146" s="236"/>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row>
    <row r="147" spans="1:46" ht="16.5" customHeight="1" x14ac:dyDescent="0.25">
      <c r="A147" s="3"/>
      <c r="B147" s="243"/>
      <c r="C147" s="1" t="str">
        <f>"calculating Permissable General Income in "&amp;'WK0 - Input data'!$I$58&amp;"."</f>
        <v>calculating Permissable General Income in 2023-24.</v>
      </c>
      <c r="D147" s="432"/>
      <c r="E147" s="432"/>
      <c r="F147" s="1"/>
      <c r="G147" s="1"/>
      <c r="H147" s="1"/>
      <c r="I147" s="1"/>
      <c r="J147" s="243"/>
      <c r="K147" s="3"/>
      <c r="L147" s="368"/>
      <c r="M147" s="175" t="s">
        <v>563</v>
      </c>
      <c r="N147" s="175"/>
      <c r="O147" s="368"/>
      <c r="P147" s="368"/>
      <c r="Q147" s="368"/>
      <c r="R147" s="236"/>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row>
    <row r="148" spans="1:46" ht="16.5" customHeight="1" x14ac:dyDescent="0.25">
      <c r="A148" s="3"/>
      <c r="B148" s="243"/>
      <c r="C148" s="3"/>
      <c r="D148" s="432"/>
      <c r="E148" s="432"/>
      <c r="F148" s="1"/>
      <c r="G148" s="1"/>
      <c r="H148" s="1"/>
      <c r="I148" s="1"/>
      <c r="J148" s="212"/>
      <c r="K148" s="3"/>
      <c r="L148" s="1"/>
      <c r="M148" s="175" t="s">
        <v>564</v>
      </c>
      <c r="N148" s="175"/>
      <c r="O148" s="1"/>
      <c r="P148" s="1"/>
      <c r="Q148" s="1"/>
      <c r="R148" s="236"/>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row>
    <row r="149" spans="1:46" ht="16.5" customHeight="1" x14ac:dyDescent="0.25">
      <c r="A149" s="3"/>
      <c r="B149" s="243"/>
      <c r="C149" s="119" t="s">
        <v>565</v>
      </c>
      <c r="D149" s="432"/>
      <c r="E149" s="432"/>
      <c r="F149" s="1"/>
      <c r="G149" s="1"/>
      <c r="H149" s="1"/>
      <c r="I149" s="1"/>
      <c r="J149" s="212"/>
      <c r="K149" s="1" t="s">
        <v>566</v>
      </c>
      <c r="L149" s="1"/>
      <c r="M149" s="1"/>
      <c r="N149" s="1"/>
      <c r="O149" s="1"/>
      <c r="P149" s="1"/>
      <c r="Q149" s="369">
        <v>20000000</v>
      </c>
      <c r="R149" s="236"/>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row>
    <row r="150" spans="1:46" ht="16.5" customHeight="1" x14ac:dyDescent="0.25">
      <c r="A150" s="3"/>
      <c r="B150" s="243"/>
      <c r="C150" s="1" t="s">
        <v>567</v>
      </c>
      <c r="D150" s="432"/>
      <c r="E150" s="432"/>
      <c r="F150" s="1"/>
      <c r="G150" s="1"/>
      <c r="H150" s="1"/>
      <c r="I150" s="1"/>
      <c r="J150" s="212"/>
      <c r="K150" s="2" t="s">
        <v>568</v>
      </c>
      <c r="L150" s="3" t="s">
        <v>569</v>
      </c>
      <c r="M150" s="3"/>
      <c r="N150" s="3"/>
      <c r="O150" s="3"/>
      <c r="P150" s="3"/>
      <c r="Q150" s="369">
        <v>10000</v>
      </c>
      <c r="R150" s="236"/>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row>
    <row r="151" spans="1:46" ht="16.5" customHeight="1" x14ac:dyDescent="0.25">
      <c r="A151" s="3"/>
      <c r="B151" s="243"/>
      <c r="C151" s="1" t="s">
        <v>570</v>
      </c>
      <c r="D151" s="432"/>
      <c r="E151" s="432"/>
      <c r="F151" s="1"/>
      <c r="G151" s="1"/>
      <c r="H151" s="1"/>
      <c r="I151" s="1"/>
      <c r="J151" s="212"/>
      <c r="K151" s="2"/>
      <c r="L151" s="3"/>
      <c r="M151" s="3"/>
      <c r="N151" s="3"/>
      <c r="O151" s="3"/>
      <c r="P151" s="3"/>
      <c r="Q151" s="370"/>
      <c r="R151" s="236"/>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row>
    <row r="152" spans="1:46" ht="16.5" customHeight="1" x14ac:dyDescent="0.25">
      <c r="A152" s="3"/>
      <c r="B152" s="243"/>
      <c r="C152" s="1" t="s">
        <v>571</v>
      </c>
      <c r="D152" s="432"/>
      <c r="E152" s="432"/>
      <c r="F152" s="1"/>
      <c r="G152" s="1"/>
      <c r="H152" s="1"/>
      <c r="I152" s="1"/>
      <c r="J152" s="212"/>
      <c r="K152" s="3" t="s">
        <v>572</v>
      </c>
      <c r="L152" s="3"/>
      <c r="M152" s="3"/>
      <c r="N152" s="3"/>
      <c r="O152" s="77"/>
      <c r="P152" s="112" t="s">
        <v>573</v>
      </c>
      <c r="Q152" s="371">
        <f>Q149-Q150</f>
        <v>19990000</v>
      </c>
      <c r="R152" s="236"/>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row>
    <row r="153" spans="1:46" ht="16.5" customHeight="1" x14ac:dyDescent="0.25">
      <c r="A153" s="3"/>
      <c r="B153" s="243"/>
      <c r="C153" s="3"/>
      <c r="D153" s="432"/>
      <c r="E153" s="432"/>
      <c r="F153" s="1"/>
      <c r="G153" s="1"/>
      <c r="H153" s="1"/>
      <c r="I153" s="1"/>
      <c r="J153" s="212"/>
      <c r="K153" s="3"/>
      <c r="L153" s="3"/>
      <c r="M153" s="3"/>
      <c r="N153" s="3"/>
      <c r="O153" s="3"/>
      <c r="P153" s="3"/>
      <c r="Q153" s="3"/>
      <c r="R153" s="236"/>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row>
    <row r="154" spans="1:46" ht="16.5" customHeight="1" x14ac:dyDescent="0.25">
      <c r="A154" s="3"/>
      <c r="B154" s="243"/>
      <c r="C154" s="119" t="s">
        <v>574</v>
      </c>
      <c r="D154" s="432"/>
      <c r="E154" s="432"/>
      <c r="F154" s="1"/>
      <c r="G154" s="1"/>
      <c r="H154" s="1"/>
      <c r="I154" s="1"/>
      <c r="J154" s="212"/>
      <c r="K154" s="2" t="s">
        <v>575</v>
      </c>
      <c r="L154" s="3" t="s">
        <v>576</v>
      </c>
      <c r="M154" s="3"/>
      <c r="N154" s="3"/>
      <c r="O154" s="341">
        <v>2.3E-2</v>
      </c>
      <c r="P154" s="372"/>
      <c r="Q154" s="192">
        <f>ROUND(Q152*O154,9)</f>
        <v>459770</v>
      </c>
      <c r="R154" s="214"/>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row>
    <row r="155" spans="1:46" ht="16.5" customHeight="1" x14ac:dyDescent="0.25">
      <c r="A155" s="3"/>
      <c r="B155" s="243"/>
      <c r="C155" s="1" t="s">
        <v>577</v>
      </c>
      <c r="D155" s="432"/>
      <c r="E155" s="432"/>
      <c r="F155" s="1"/>
      <c r="G155" s="1"/>
      <c r="H155" s="1"/>
      <c r="I155" s="1"/>
      <c r="J155" s="212"/>
      <c r="K155" s="2" t="s">
        <v>575</v>
      </c>
      <c r="L155" s="3" t="s">
        <v>578</v>
      </c>
      <c r="M155" s="3"/>
      <c r="N155" s="3"/>
      <c r="O155" s="341">
        <v>3.6999999999999998E-2</v>
      </c>
      <c r="P155" s="372"/>
      <c r="Q155" s="192">
        <f>ROUND(Q152*O155,9)</f>
        <v>739630</v>
      </c>
      <c r="R155" s="214"/>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row>
    <row r="156" spans="1:46" ht="16.5" customHeight="1" x14ac:dyDescent="0.25">
      <c r="A156" s="3"/>
      <c r="B156" s="243"/>
      <c r="C156" s="1" t="s">
        <v>579</v>
      </c>
      <c r="D156" s="432"/>
      <c r="E156" s="432"/>
      <c r="F156" s="1"/>
      <c r="G156" s="1"/>
      <c r="H156" s="1"/>
      <c r="I156" s="1"/>
      <c r="J156" s="212"/>
      <c r="K156" s="2" t="s">
        <v>575</v>
      </c>
      <c r="L156" s="3" t="s">
        <v>580</v>
      </c>
      <c r="M156" s="3"/>
      <c r="N156" s="3"/>
      <c r="O156" s="341">
        <v>6.3825374504374575E-4</v>
      </c>
      <c r="P156" s="372"/>
      <c r="Q156" s="192">
        <v>10000</v>
      </c>
      <c r="R156" s="214"/>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row>
    <row r="157" spans="1:46" ht="16.5" customHeight="1" x14ac:dyDescent="0.25">
      <c r="A157" s="3"/>
      <c r="B157" s="243"/>
      <c r="C157" s="1" t="s">
        <v>581</v>
      </c>
      <c r="D157" s="432"/>
      <c r="E157" s="432"/>
      <c r="F157" s="1"/>
      <c r="G157" s="1"/>
      <c r="H157" s="1"/>
      <c r="I157" s="1"/>
      <c r="J157" s="212"/>
      <c r="K157" s="2"/>
      <c r="L157" s="3"/>
      <c r="M157" s="3"/>
      <c r="N157" s="3"/>
      <c r="O157" s="346"/>
      <c r="P157" s="3"/>
      <c r="Q157" s="188"/>
      <c r="R157" s="214"/>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row>
    <row r="158" spans="1:46" ht="16.5" customHeight="1" x14ac:dyDescent="0.25">
      <c r="A158" s="3"/>
      <c r="B158" s="243"/>
      <c r="C158" s="1" t="s">
        <v>582</v>
      </c>
      <c r="D158" s="432"/>
      <c r="E158" s="432"/>
      <c r="F158" s="1"/>
      <c r="G158" s="1"/>
      <c r="H158" s="1"/>
      <c r="I158" s="1"/>
      <c r="J158" s="212"/>
      <c r="K158" s="2"/>
      <c r="L158" s="2" t="s">
        <v>583</v>
      </c>
      <c r="M158" s="3"/>
      <c r="N158" s="3"/>
      <c r="O158" s="373">
        <f>SUM(O154:O156)</f>
        <v>6.0638253745043745E-2</v>
      </c>
      <c r="P158" s="112" t="s">
        <v>573</v>
      </c>
      <c r="Q158" s="371">
        <f>SUM(Q154:Q156)</f>
        <v>1209400</v>
      </c>
      <c r="R158" s="214"/>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row>
    <row r="159" spans="1:46" ht="16.5" customHeight="1" x14ac:dyDescent="0.25">
      <c r="A159" s="3"/>
      <c r="B159" s="243"/>
      <c r="C159" s="3"/>
      <c r="D159" s="432"/>
      <c r="E159" s="432"/>
      <c r="F159" s="1"/>
      <c r="G159" s="1"/>
      <c r="H159" s="1"/>
      <c r="I159" s="1"/>
      <c r="J159" s="212"/>
      <c r="K159" s="2"/>
      <c r="L159" s="2"/>
      <c r="M159" s="3"/>
      <c r="N159" s="3"/>
      <c r="O159" s="372"/>
      <c r="P159" s="3"/>
      <c r="Q159" s="188"/>
      <c r="R159" s="214"/>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row>
    <row r="160" spans="1:46" ht="16.5" customHeight="1" x14ac:dyDescent="0.25">
      <c r="A160" s="3"/>
      <c r="B160" s="243"/>
      <c r="C160" s="119" t="s">
        <v>584</v>
      </c>
      <c r="D160" s="432"/>
      <c r="E160" s="432"/>
      <c r="F160" s="1"/>
      <c r="G160" s="1"/>
      <c r="H160" s="1"/>
      <c r="I160" s="1"/>
      <c r="J160" s="212"/>
      <c r="K160" s="122" t="s">
        <v>585</v>
      </c>
      <c r="L160" s="3"/>
      <c r="M160" s="3"/>
      <c r="N160" s="3"/>
      <c r="O160" s="3"/>
      <c r="P160" s="3"/>
      <c r="Q160" s="3"/>
      <c r="R160" s="214"/>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row>
    <row r="161" spans="1:46" ht="16.5" customHeight="1" x14ac:dyDescent="0.25">
      <c r="A161" s="3"/>
      <c r="B161" s="243"/>
      <c r="C161" s="1" t="s">
        <v>586</v>
      </c>
      <c r="D161" s="432"/>
      <c r="E161" s="432"/>
      <c r="F161" s="1"/>
      <c r="G161" s="1"/>
      <c r="H161" s="1"/>
      <c r="I161" s="1"/>
      <c r="J161" s="212"/>
      <c r="K161" s="2" t="s">
        <v>587</v>
      </c>
      <c r="L161" s="3" t="s">
        <v>588</v>
      </c>
      <c r="M161" s="3"/>
      <c r="N161" s="3"/>
      <c r="O161" s="3"/>
      <c r="P161" s="3"/>
      <c r="Q161" s="192">
        <v>-5000</v>
      </c>
      <c r="R161" s="214"/>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row>
    <row r="162" spans="1:46" ht="16.5" customHeight="1" x14ac:dyDescent="0.25">
      <c r="A162" s="3"/>
      <c r="B162" s="243"/>
      <c r="C162" s="1" t="s">
        <v>589</v>
      </c>
      <c r="D162" s="432"/>
      <c r="E162" s="432"/>
      <c r="F162" s="1"/>
      <c r="G162" s="1"/>
      <c r="H162" s="1"/>
      <c r="I162" s="1"/>
      <c r="J162" s="212"/>
      <c r="K162" s="2" t="s">
        <v>590</v>
      </c>
      <c r="L162" s="3" t="s">
        <v>591</v>
      </c>
      <c r="M162" s="3"/>
      <c r="N162" s="3"/>
      <c r="O162" s="3"/>
      <c r="P162" s="77"/>
      <c r="Q162" s="192">
        <v>-30</v>
      </c>
      <c r="R162" s="236"/>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row>
    <row r="163" spans="1:46" ht="16.5" customHeight="1" x14ac:dyDescent="0.25">
      <c r="A163" s="3"/>
      <c r="B163" s="243"/>
      <c r="C163" s="1" t="s">
        <v>592</v>
      </c>
      <c r="D163" s="432"/>
      <c r="E163" s="432"/>
      <c r="F163" s="1"/>
      <c r="G163" s="1"/>
      <c r="H163" s="1"/>
      <c r="I163" s="1"/>
      <c r="J163" s="212"/>
      <c r="K163" s="2"/>
      <c r="L163" s="3"/>
      <c r="M163" s="3"/>
      <c r="N163" s="3"/>
      <c r="O163" s="3"/>
      <c r="P163" s="3"/>
      <c r="Q163" s="3"/>
      <c r="R163" s="214"/>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row>
    <row r="164" spans="1:46" ht="16.5" customHeight="1" x14ac:dyDescent="0.25">
      <c r="A164" s="3"/>
      <c r="B164" s="243"/>
      <c r="C164" s="1" t="s">
        <v>593</v>
      </c>
      <c r="D164" s="432"/>
      <c r="E164" s="432"/>
      <c r="F164" s="1"/>
      <c r="G164" s="1"/>
      <c r="H164" s="1"/>
      <c r="I164" s="1"/>
      <c r="J164" s="212"/>
      <c r="K164" s="2"/>
      <c r="L164" s="3"/>
      <c r="M164" s="3"/>
      <c r="N164" s="3"/>
      <c r="O164" s="3" t="s">
        <v>594</v>
      </c>
      <c r="P164" s="3"/>
      <c r="Q164" s="375">
        <f>SUM(Q161:Q162)</f>
        <v>-5030</v>
      </c>
      <c r="R164" s="214"/>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row>
    <row r="165" spans="1:46" ht="16.5" customHeight="1" x14ac:dyDescent="0.25">
      <c r="A165" s="3"/>
      <c r="B165" s="243"/>
      <c r="C165" s="1" t="s">
        <v>595</v>
      </c>
      <c r="D165" s="432"/>
      <c r="E165" s="432"/>
      <c r="F165" s="1"/>
      <c r="G165" s="1"/>
      <c r="H165" s="1"/>
      <c r="I165" s="1"/>
      <c r="J165" s="212"/>
      <c r="K165" s="2"/>
      <c r="L165" s="3"/>
      <c r="M165" s="3"/>
      <c r="N165" s="3"/>
      <c r="O165" s="3"/>
      <c r="P165" s="3"/>
      <c r="Q165" s="3"/>
      <c r="R165" s="214"/>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row>
    <row r="166" spans="1:46" ht="16.5" customHeight="1" thickBot="1" x14ac:dyDescent="0.3">
      <c r="A166" s="3"/>
      <c r="B166" s="243"/>
      <c r="C166" s="1" t="s">
        <v>596</v>
      </c>
      <c r="D166" s="432"/>
      <c r="E166" s="432"/>
      <c r="F166" s="1"/>
      <c r="G166" s="1"/>
      <c r="H166" s="1"/>
      <c r="I166" s="1"/>
      <c r="J166" s="212"/>
      <c r="K166" s="3"/>
      <c r="L166" s="2" t="s">
        <v>597</v>
      </c>
      <c r="M166" s="3"/>
      <c r="N166" s="3"/>
      <c r="O166" s="77"/>
      <c r="P166" s="112" t="s">
        <v>573</v>
      </c>
      <c r="Q166" s="376">
        <f>Q152+Q158+Q164</f>
        <v>21194370</v>
      </c>
      <c r="R166" s="214"/>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row>
    <row r="167" spans="1:46" ht="16.5" customHeight="1" thickTop="1" x14ac:dyDescent="0.25">
      <c r="A167" s="3"/>
      <c r="B167" s="243"/>
      <c r="C167" s="1" t="s">
        <v>598</v>
      </c>
      <c r="D167" s="432"/>
      <c r="E167" s="432"/>
      <c r="F167" s="1"/>
      <c r="G167" s="1"/>
      <c r="H167" s="1"/>
      <c r="I167" s="1"/>
      <c r="J167" s="240"/>
      <c r="K167" s="93"/>
      <c r="L167" s="93"/>
      <c r="M167" s="93"/>
      <c r="N167" s="93"/>
      <c r="O167" s="93"/>
      <c r="P167" s="93"/>
      <c r="Q167" s="93"/>
      <c r="R167" s="379"/>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row>
    <row r="168" spans="1:46" ht="16.5" customHeight="1" x14ac:dyDescent="0.2">
      <c r="A168" s="3"/>
      <c r="B168" s="243"/>
      <c r="C168" s="1"/>
      <c r="D168" s="1"/>
      <c r="E168" s="1"/>
      <c r="F168" s="1"/>
      <c r="G168" s="1"/>
      <c r="H168" s="1"/>
      <c r="I168" s="1"/>
      <c r="J168" s="1"/>
      <c r="K168" s="1"/>
      <c r="L168" s="1"/>
      <c r="M168" s="1"/>
      <c r="N168" s="236"/>
      <c r="O168" s="1"/>
      <c r="P168" s="1"/>
      <c r="Q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row>
    <row r="169" spans="1:46" ht="16.5" customHeight="1" x14ac:dyDescent="0.2">
      <c r="A169" s="3"/>
      <c r="B169" s="243"/>
      <c r="C169" s="1"/>
      <c r="D169" s="1"/>
      <c r="E169" s="1"/>
      <c r="F169" s="1"/>
      <c r="G169" s="1"/>
      <c r="H169" s="1"/>
      <c r="I169" s="1"/>
      <c r="J169" s="1"/>
      <c r="K169" s="1"/>
      <c r="L169" s="1"/>
      <c r="M169" s="1"/>
      <c r="N169" s="214"/>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row>
    <row r="170" spans="1:46" ht="16.5" customHeight="1" x14ac:dyDescent="0.25">
      <c r="A170" s="3"/>
      <c r="B170" s="243"/>
      <c r="C170" s="463" t="s">
        <v>599</v>
      </c>
      <c r="D170" s="432"/>
      <c r="E170" s="432"/>
      <c r="F170" s="1"/>
      <c r="G170" s="1"/>
      <c r="H170" s="1"/>
      <c r="I170" s="1"/>
      <c r="J170" s="1"/>
      <c r="K170" s="3"/>
      <c r="L170" s="3"/>
      <c r="M170" s="3"/>
      <c r="N170" s="214"/>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row>
    <row r="171" spans="1:46" ht="7.5" customHeight="1" x14ac:dyDescent="0.25">
      <c r="A171" s="3"/>
      <c r="B171" s="243"/>
      <c r="C171" s="1"/>
      <c r="D171" s="432"/>
      <c r="E171" s="432"/>
      <c r="F171" s="1"/>
      <c r="G171" s="1"/>
      <c r="H171" s="1"/>
      <c r="I171" s="1"/>
      <c r="J171" s="1"/>
      <c r="K171" s="1"/>
      <c r="L171" s="1"/>
      <c r="M171" s="1"/>
      <c r="N171" s="236"/>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row>
    <row r="172" spans="1:46" ht="16.5" customHeight="1" x14ac:dyDescent="0.2">
      <c r="A172" s="3"/>
      <c r="B172" s="243"/>
      <c r="C172" s="3" t="s">
        <v>600</v>
      </c>
      <c r="D172" s="1"/>
      <c r="E172" s="1"/>
      <c r="F172" s="1"/>
      <c r="G172" s="1"/>
      <c r="H172" s="1"/>
      <c r="I172" s="1"/>
      <c r="J172" s="1"/>
      <c r="K172" s="3"/>
      <c r="L172" s="3"/>
      <c r="M172" s="3"/>
      <c r="N172" s="214"/>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row>
    <row r="173" spans="1:46" ht="16.5" customHeight="1" x14ac:dyDescent="0.2">
      <c r="A173" s="3"/>
      <c r="B173" s="243"/>
      <c r="C173" s="3" t="s">
        <v>601</v>
      </c>
      <c r="D173" s="1"/>
      <c r="E173" s="1"/>
      <c r="F173" s="1"/>
      <c r="G173" s="1"/>
      <c r="H173" s="1"/>
      <c r="I173" s="1"/>
      <c r="J173" s="1"/>
      <c r="K173" s="1"/>
      <c r="L173" s="1"/>
      <c r="M173" s="1"/>
      <c r="N173" s="214"/>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row>
    <row r="174" spans="1:46" ht="16.5" customHeight="1" x14ac:dyDescent="0.2">
      <c r="A174" s="3"/>
      <c r="B174" s="243"/>
      <c r="C174" s="3" t="s">
        <v>602</v>
      </c>
      <c r="D174" s="1"/>
      <c r="E174" s="1"/>
      <c r="F174" s="1"/>
      <c r="G174" s="1"/>
      <c r="H174" s="1"/>
      <c r="I174" s="1"/>
      <c r="J174" s="1"/>
      <c r="K174" s="1"/>
      <c r="L174" s="1"/>
      <c r="M174" s="1"/>
      <c r="N174" s="214"/>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row>
    <row r="175" spans="1:46" ht="16.5" customHeight="1" x14ac:dyDescent="0.2">
      <c r="A175" s="3"/>
      <c r="B175" s="243"/>
      <c r="C175" s="3" t="s">
        <v>603</v>
      </c>
      <c r="D175" s="3"/>
      <c r="E175" s="3"/>
      <c r="F175" s="3"/>
      <c r="G175" s="3"/>
      <c r="H175" s="3"/>
      <c r="I175" s="3"/>
      <c r="J175" s="3"/>
      <c r="K175" s="3"/>
      <c r="L175" s="1"/>
      <c r="M175" s="1"/>
      <c r="N175" s="214"/>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row>
    <row r="176" spans="1:46" ht="16.5" customHeight="1" x14ac:dyDescent="0.25">
      <c r="A176" s="3"/>
      <c r="B176" s="243"/>
      <c r="C176" s="1"/>
      <c r="D176" s="432"/>
      <c r="E176" s="432"/>
      <c r="F176" s="1"/>
      <c r="G176" s="1"/>
      <c r="H176" s="1"/>
      <c r="I176" s="1"/>
      <c r="J176" s="1"/>
      <c r="K176" s="1"/>
      <c r="L176" s="1"/>
      <c r="M176" s="1"/>
      <c r="N176" s="214"/>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row>
    <row r="177" spans="1:46" ht="16.5" customHeight="1" x14ac:dyDescent="0.25">
      <c r="A177" s="3"/>
      <c r="B177" s="243"/>
      <c r="C177" s="431" t="s">
        <v>604</v>
      </c>
      <c r="D177" s="432"/>
      <c r="E177" s="432"/>
      <c r="F177" s="1"/>
      <c r="G177" s="1"/>
      <c r="H177" s="1"/>
      <c r="I177" s="1"/>
      <c r="J177" s="1"/>
      <c r="K177" s="1"/>
      <c r="L177" s="1"/>
      <c r="M177" s="1"/>
      <c r="N177" s="214"/>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row>
    <row r="178" spans="1:46" ht="16.5" customHeight="1" x14ac:dyDescent="0.25">
      <c r="A178" s="3"/>
      <c r="B178" s="243"/>
      <c r="C178" s="1" t="s">
        <v>605</v>
      </c>
      <c r="D178" s="432"/>
      <c r="E178" s="432"/>
      <c r="F178" s="1"/>
      <c r="G178" s="1"/>
      <c r="H178" s="1"/>
      <c r="I178" s="1"/>
      <c r="J178" s="1"/>
      <c r="K178" s="1"/>
      <c r="L178" s="1"/>
      <c r="M178" s="1"/>
      <c r="N178" s="214"/>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row>
    <row r="179" spans="1:46" ht="16.5" customHeight="1" x14ac:dyDescent="0.25">
      <c r="A179" s="3"/>
      <c r="B179" s="243"/>
      <c r="C179" s="1" t="s">
        <v>606</v>
      </c>
      <c r="D179" s="432"/>
      <c r="E179" s="432"/>
      <c r="F179" s="1"/>
      <c r="G179" s="1"/>
      <c r="H179" s="1"/>
      <c r="I179" s="1"/>
      <c r="J179" s="1"/>
      <c r="K179" s="1"/>
      <c r="L179" s="1"/>
      <c r="M179" s="1"/>
      <c r="N179" s="214"/>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row>
    <row r="180" spans="1:46" ht="16.5" customHeight="1" x14ac:dyDescent="0.25">
      <c r="A180" s="3"/>
      <c r="B180" s="243"/>
      <c r="C180" s="1"/>
      <c r="D180" s="432"/>
      <c r="E180" s="432"/>
      <c r="F180" s="1"/>
      <c r="G180" s="1"/>
      <c r="H180" s="1"/>
      <c r="I180" s="1"/>
      <c r="J180" s="1"/>
      <c r="K180" s="1"/>
      <c r="L180" s="1"/>
      <c r="M180" s="1"/>
      <c r="N180" s="214"/>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row>
    <row r="181" spans="1:46" ht="16.5" customHeight="1" x14ac:dyDescent="0.25">
      <c r="A181" s="3"/>
      <c r="B181" s="243"/>
      <c r="C181" s="431" t="s">
        <v>607</v>
      </c>
      <c r="D181" s="432"/>
      <c r="E181" s="432"/>
      <c r="F181" s="1"/>
      <c r="G181" s="1"/>
      <c r="H181" s="1"/>
      <c r="I181" s="1"/>
      <c r="J181" s="1"/>
      <c r="K181" s="1"/>
      <c r="L181" s="1"/>
      <c r="M181" s="1"/>
      <c r="N181" s="214"/>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row>
    <row r="182" spans="1:46" ht="16.5" customHeight="1" x14ac:dyDescent="0.2">
      <c r="A182" s="3"/>
      <c r="B182" s="243"/>
      <c r="C182" s="1" t="s">
        <v>608</v>
      </c>
      <c r="D182" s="1"/>
      <c r="E182" s="1"/>
      <c r="F182" s="1"/>
      <c r="G182" s="1"/>
      <c r="H182" s="1"/>
      <c r="I182" s="1"/>
      <c r="J182" s="1"/>
      <c r="K182" s="1"/>
      <c r="L182" s="1"/>
      <c r="M182" s="1"/>
      <c r="N182" s="214"/>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row>
    <row r="183" spans="1:46" ht="16.5" customHeight="1" x14ac:dyDescent="0.2">
      <c r="A183" s="3"/>
      <c r="B183" s="243"/>
      <c r="C183" s="1" t="s">
        <v>609</v>
      </c>
      <c r="D183" s="1"/>
      <c r="E183" s="1"/>
      <c r="F183" s="1"/>
      <c r="G183" s="1"/>
      <c r="H183" s="1"/>
      <c r="I183" s="1"/>
      <c r="J183" s="1"/>
      <c r="K183" s="1"/>
      <c r="L183" s="1"/>
      <c r="M183" s="1"/>
      <c r="N183" s="214"/>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row>
    <row r="184" spans="1:46" ht="16.5" customHeight="1" x14ac:dyDescent="0.2">
      <c r="A184" s="3"/>
      <c r="B184" s="243"/>
      <c r="C184" s="1"/>
      <c r="D184" s="1"/>
      <c r="E184" s="1"/>
      <c r="F184" s="1"/>
      <c r="G184" s="1"/>
      <c r="H184" s="1"/>
      <c r="I184" s="1"/>
      <c r="J184" s="1"/>
      <c r="K184" s="1"/>
      <c r="L184" s="1"/>
      <c r="M184" s="1"/>
      <c r="N184" s="214"/>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row>
    <row r="185" spans="1:46" ht="16.5" customHeight="1" x14ac:dyDescent="0.2">
      <c r="A185" s="3"/>
      <c r="B185" s="243"/>
      <c r="C185" s="1" t="s">
        <v>610</v>
      </c>
      <c r="D185" s="1"/>
      <c r="E185" s="1"/>
      <c r="F185" s="1"/>
      <c r="G185" s="1"/>
      <c r="H185" s="1"/>
      <c r="I185" s="1"/>
      <c r="J185" s="1"/>
      <c r="K185" s="1"/>
      <c r="L185" s="1"/>
      <c r="M185" s="1"/>
      <c r="N185" s="214"/>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row>
    <row r="186" spans="1:46" ht="16.5" customHeight="1" x14ac:dyDescent="0.25">
      <c r="A186" s="3"/>
      <c r="B186" s="243"/>
      <c r="C186" s="1"/>
      <c r="D186" s="432"/>
      <c r="E186" s="432"/>
      <c r="F186" s="1"/>
      <c r="G186" s="1"/>
      <c r="H186" s="1"/>
      <c r="I186" s="1"/>
      <c r="J186" s="1"/>
      <c r="K186" s="1"/>
      <c r="L186" s="1"/>
      <c r="M186" s="1"/>
      <c r="N186" s="214"/>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row>
    <row r="187" spans="1:46" ht="16.5" customHeight="1" x14ac:dyDescent="0.25">
      <c r="A187" s="3"/>
      <c r="B187" s="243"/>
      <c r="C187" s="431" t="s">
        <v>611</v>
      </c>
      <c r="D187" s="432"/>
      <c r="E187" s="432"/>
      <c r="F187" s="1"/>
      <c r="G187" s="1"/>
      <c r="H187" s="1"/>
      <c r="I187" s="1"/>
      <c r="J187" s="1"/>
      <c r="K187" s="1"/>
      <c r="L187" s="1"/>
      <c r="M187" s="1"/>
      <c r="N187" s="214"/>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row>
    <row r="188" spans="1:46" ht="16.5" customHeight="1" x14ac:dyDescent="0.2">
      <c r="A188" s="3"/>
      <c r="B188" s="243"/>
      <c r="C188" s="1" t="s">
        <v>612</v>
      </c>
      <c r="D188" s="1"/>
      <c r="E188" s="1"/>
      <c r="F188" s="1"/>
      <c r="G188" s="1"/>
      <c r="H188" s="1"/>
      <c r="I188" s="1"/>
      <c r="J188" s="1"/>
      <c r="K188" s="1"/>
      <c r="L188" s="1"/>
      <c r="M188" s="1"/>
      <c r="N188" s="214"/>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row>
    <row r="189" spans="1:46" ht="16.5" customHeight="1" x14ac:dyDescent="0.25">
      <c r="A189" s="3"/>
      <c r="B189" s="243"/>
      <c r="C189" s="1"/>
      <c r="D189" s="432"/>
      <c r="E189" s="432"/>
      <c r="F189" s="1"/>
      <c r="G189" s="1"/>
      <c r="H189" s="1"/>
      <c r="I189" s="1"/>
      <c r="J189" s="1"/>
      <c r="K189" s="1"/>
      <c r="L189" s="1"/>
      <c r="M189" s="1"/>
      <c r="N189" s="214"/>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row>
    <row r="190" spans="1:46" ht="16.5" customHeight="1" x14ac:dyDescent="0.25">
      <c r="A190" s="3"/>
      <c r="B190" s="243"/>
      <c r="C190" s="111" t="s">
        <v>613</v>
      </c>
      <c r="D190" s="432"/>
      <c r="E190" s="432"/>
      <c r="F190" s="1"/>
      <c r="G190" s="1"/>
      <c r="H190" s="1"/>
      <c r="I190" s="1"/>
      <c r="J190" s="1"/>
      <c r="K190" s="1"/>
      <c r="L190" s="1"/>
      <c r="M190" s="1"/>
      <c r="N190" s="214"/>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row>
    <row r="191" spans="1:46" ht="16.5" customHeight="1" x14ac:dyDescent="0.2">
      <c r="A191" s="3"/>
      <c r="B191" s="243"/>
      <c r="C191" s="808" t="s">
        <v>531</v>
      </c>
      <c r="D191" s="1" t="s">
        <v>614</v>
      </c>
      <c r="E191" s="1"/>
      <c r="F191" s="1"/>
      <c r="G191" s="1"/>
      <c r="H191" s="1"/>
      <c r="I191" s="1"/>
      <c r="J191" s="1"/>
      <c r="K191" s="1"/>
      <c r="L191" s="1"/>
      <c r="M191" s="1"/>
      <c r="N191" s="214"/>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row>
    <row r="192" spans="1:46" ht="16.5" customHeight="1" x14ac:dyDescent="0.2">
      <c r="A192" s="3"/>
      <c r="B192" s="243"/>
      <c r="C192" s="77"/>
      <c r="D192" s="1" t="s">
        <v>615</v>
      </c>
      <c r="E192" s="1"/>
      <c r="F192" s="1"/>
      <c r="G192" s="1"/>
      <c r="H192" s="1"/>
      <c r="I192" s="1"/>
      <c r="J192" s="1"/>
      <c r="K192" s="1"/>
      <c r="L192" s="1"/>
      <c r="M192" s="1"/>
      <c r="N192" s="214"/>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row>
    <row r="193" spans="1:46" ht="16.5" customHeight="1" x14ac:dyDescent="0.2">
      <c r="A193" s="3"/>
      <c r="B193" s="243"/>
      <c r="C193" s="808" t="str">
        <f>C191</f>
        <v>*</v>
      </c>
      <c r="D193" s="1" t="s">
        <v>616</v>
      </c>
      <c r="E193" s="1"/>
      <c r="F193" s="1"/>
      <c r="G193" s="1"/>
      <c r="H193" s="1"/>
      <c r="I193" s="1"/>
      <c r="J193" s="1"/>
      <c r="K193" s="1"/>
      <c r="L193" s="1"/>
      <c r="M193" s="1"/>
      <c r="N193" s="214"/>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row>
    <row r="194" spans="1:46" ht="16.5" customHeight="1" x14ac:dyDescent="0.25">
      <c r="A194" s="3"/>
      <c r="B194" s="243"/>
      <c r="C194" s="1"/>
      <c r="D194" s="432"/>
      <c r="E194" s="432"/>
      <c r="F194" s="1"/>
      <c r="G194" s="1"/>
      <c r="H194" s="1"/>
      <c r="I194" s="1"/>
      <c r="J194" s="1"/>
      <c r="K194" s="1"/>
      <c r="L194" s="1"/>
      <c r="M194" s="1"/>
      <c r="N194" s="214"/>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row>
    <row r="195" spans="1:46" ht="16.5" customHeight="1" x14ac:dyDescent="0.25">
      <c r="A195" s="3"/>
      <c r="B195" s="243"/>
      <c r="C195" s="463" t="s">
        <v>617</v>
      </c>
      <c r="D195" s="432"/>
      <c r="E195" s="432"/>
      <c r="F195" s="1"/>
      <c r="G195" s="1"/>
      <c r="H195" s="1"/>
      <c r="I195" s="1"/>
      <c r="J195" s="1"/>
      <c r="K195" s="1"/>
      <c r="L195" s="1"/>
      <c r="M195" s="1"/>
      <c r="N195" s="214"/>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row>
    <row r="196" spans="1:46" ht="7.5" customHeight="1" x14ac:dyDescent="0.25">
      <c r="A196" s="3"/>
      <c r="B196" s="243"/>
      <c r="C196" s="1"/>
      <c r="D196" s="432"/>
      <c r="E196" s="432"/>
      <c r="F196" s="1"/>
      <c r="G196" s="1"/>
      <c r="H196" s="1"/>
      <c r="I196" s="1"/>
      <c r="J196" s="1"/>
      <c r="K196" s="1"/>
      <c r="L196" s="1"/>
      <c r="M196" s="1"/>
      <c r="N196" s="236"/>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row>
    <row r="197" spans="1:46" ht="16.5" customHeight="1" x14ac:dyDescent="0.2">
      <c r="A197" s="3"/>
      <c r="B197" s="243"/>
      <c r="C197" s="1" t="s">
        <v>618</v>
      </c>
      <c r="D197" s="1"/>
      <c r="E197" s="1"/>
      <c r="F197" s="1"/>
      <c r="G197" s="1"/>
      <c r="H197" s="1"/>
      <c r="I197" s="1"/>
      <c r="J197" s="1"/>
      <c r="K197" s="1"/>
      <c r="L197" s="1"/>
      <c r="M197" s="1"/>
      <c r="N197" s="214"/>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row>
    <row r="198" spans="1:46" ht="16.5" customHeight="1" x14ac:dyDescent="0.2">
      <c r="A198" s="3"/>
      <c r="B198" s="243"/>
      <c r="C198" s="1" t="s">
        <v>619</v>
      </c>
      <c r="D198" s="1"/>
      <c r="E198" s="1"/>
      <c r="F198" s="1"/>
      <c r="G198" s="1"/>
      <c r="H198" s="1"/>
      <c r="I198" s="1"/>
      <c r="J198" s="1"/>
      <c r="K198" s="1"/>
      <c r="L198" s="1"/>
      <c r="M198" s="1"/>
      <c r="N198" s="214"/>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row>
    <row r="199" spans="1:46" ht="16.5" customHeight="1" x14ac:dyDescent="0.25">
      <c r="A199" s="3"/>
      <c r="B199" s="243"/>
      <c r="C199" s="1"/>
      <c r="D199" s="432"/>
      <c r="E199" s="432"/>
      <c r="F199" s="1"/>
      <c r="G199" s="1"/>
      <c r="H199" s="1"/>
      <c r="I199" s="1"/>
      <c r="J199" s="1"/>
      <c r="K199" s="1"/>
      <c r="L199" s="1"/>
      <c r="M199" s="1"/>
      <c r="N199" s="214"/>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row>
    <row r="200" spans="1:46" ht="16.5" customHeight="1" x14ac:dyDescent="0.2">
      <c r="A200" s="3"/>
      <c r="B200" s="243"/>
      <c r="C200" s="1" t="s">
        <v>620</v>
      </c>
      <c r="D200" s="1"/>
      <c r="E200" s="1"/>
      <c r="F200" s="1"/>
      <c r="G200" s="1"/>
      <c r="H200" s="1"/>
      <c r="I200" s="1"/>
      <c r="J200" s="1"/>
      <c r="K200" s="1"/>
      <c r="L200" s="1"/>
      <c r="M200" s="1"/>
      <c r="N200" s="214"/>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row>
    <row r="201" spans="1:46" ht="16.5" customHeight="1" x14ac:dyDescent="0.25">
      <c r="A201" s="3"/>
      <c r="B201" s="243"/>
      <c r="C201" s="1"/>
      <c r="D201" s="432"/>
      <c r="E201" s="432"/>
      <c r="F201" s="1"/>
      <c r="G201" s="1"/>
      <c r="H201" s="1"/>
      <c r="I201" s="1"/>
      <c r="J201" s="1"/>
      <c r="K201" s="1"/>
      <c r="L201" s="1"/>
      <c r="M201" s="1"/>
      <c r="N201" s="214"/>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row>
    <row r="202" spans="1:46" ht="16.5" customHeight="1" x14ac:dyDescent="0.2">
      <c r="A202" s="3"/>
      <c r="B202" s="243"/>
      <c r="C202" s="1" t="s">
        <v>621</v>
      </c>
      <c r="D202" s="1"/>
      <c r="E202" s="1"/>
      <c r="F202" s="1"/>
      <c r="G202" s="1"/>
      <c r="H202" s="1"/>
      <c r="I202" s="1"/>
      <c r="J202" s="1"/>
      <c r="K202" s="1"/>
      <c r="L202" s="1"/>
      <c r="M202" s="1"/>
      <c r="N202" s="214"/>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row>
    <row r="203" spans="1:46" ht="16.5" customHeight="1" x14ac:dyDescent="0.2">
      <c r="A203" s="3"/>
      <c r="B203" s="243"/>
      <c r="C203" s="1" t="s">
        <v>622</v>
      </c>
      <c r="D203" s="1"/>
      <c r="E203" s="1"/>
      <c r="F203" s="1"/>
      <c r="G203" s="1"/>
      <c r="H203" s="1"/>
      <c r="I203" s="1"/>
      <c r="J203" s="1"/>
      <c r="K203" s="1"/>
      <c r="L203" s="1"/>
      <c r="M203" s="1"/>
      <c r="N203" s="214"/>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row>
    <row r="204" spans="1:46" ht="16.5" customHeight="1" x14ac:dyDescent="0.25">
      <c r="A204" s="3"/>
      <c r="B204" s="243"/>
      <c r="C204" s="432"/>
      <c r="D204" s="432"/>
      <c r="E204" s="432"/>
      <c r="F204" s="1"/>
      <c r="G204" s="1"/>
      <c r="H204" s="1"/>
      <c r="I204" s="1"/>
      <c r="J204" s="1"/>
      <c r="K204" s="1"/>
      <c r="L204" s="1"/>
      <c r="M204" s="1"/>
      <c r="N204" s="214"/>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row>
    <row r="205" spans="1:46" ht="16.5" customHeight="1" x14ac:dyDescent="0.25">
      <c r="A205" s="3"/>
      <c r="B205" s="243"/>
      <c r="C205" s="1" t="s">
        <v>623</v>
      </c>
      <c r="D205" s="432"/>
      <c r="E205" s="432"/>
      <c r="F205" s="1"/>
      <c r="G205" s="1"/>
      <c r="H205" s="1"/>
      <c r="I205" s="1"/>
      <c r="J205" s="1"/>
      <c r="K205" s="1"/>
      <c r="L205" s="1"/>
      <c r="M205" s="1"/>
      <c r="N205" s="214"/>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row>
    <row r="206" spans="1:46" ht="16.5" customHeight="1" x14ac:dyDescent="0.2">
      <c r="A206" s="3"/>
      <c r="B206" s="243"/>
      <c r="C206" s="1" t="s">
        <v>624</v>
      </c>
      <c r="D206" s="1"/>
      <c r="E206" s="1"/>
      <c r="F206" s="1"/>
      <c r="G206" s="1"/>
      <c r="H206" s="1"/>
      <c r="I206" s="1"/>
      <c r="J206" s="1"/>
      <c r="K206" s="1"/>
      <c r="L206" s="1"/>
      <c r="M206" s="1"/>
      <c r="N206" s="214"/>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row>
    <row r="207" spans="1:46" ht="16.5" customHeight="1" x14ac:dyDescent="0.25">
      <c r="A207" s="3"/>
      <c r="B207" s="243"/>
      <c r="C207" s="1"/>
      <c r="D207" s="432"/>
      <c r="E207" s="432"/>
      <c r="F207" s="1"/>
      <c r="G207" s="1"/>
      <c r="H207" s="1"/>
      <c r="I207" s="1"/>
      <c r="J207" s="1"/>
      <c r="K207" s="1"/>
      <c r="L207" s="1"/>
      <c r="M207" s="1"/>
      <c r="N207" s="214"/>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row>
    <row r="208" spans="1:46" ht="16.5" customHeight="1" x14ac:dyDescent="0.25">
      <c r="A208" s="3"/>
      <c r="B208" s="243"/>
      <c r="C208" s="433" t="s">
        <v>625</v>
      </c>
      <c r="D208" s="432"/>
      <c r="E208" s="432"/>
      <c r="F208" s="1"/>
      <c r="G208" s="1"/>
      <c r="H208" s="1"/>
      <c r="I208" s="1"/>
      <c r="J208" s="1"/>
      <c r="K208" s="1"/>
      <c r="L208" s="1"/>
      <c r="M208" s="1"/>
      <c r="N208" s="214"/>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row>
    <row r="209" spans="1:46" ht="16.5" customHeight="1" x14ac:dyDescent="0.25">
      <c r="A209" s="3"/>
      <c r="B209" s="243"/>
      <c r="C209" s="433" t="s">
        <v>626</v>
      </c>
      <c r="D209" s="432"/>
      <c r="E209" s="432"/>
      <c r="F209" s="1"/>
      <c r="G209" s="1"/>
      <c r="H209" s="1"/>
      <c r="I209" s="1"/>
      <c r="J209" s="1"/>
      <c r="K209" s="1"/>
      <c r="L209" s="1"/>
      <c r="M209" s="1"/>
      <c r="N209" s="214"/>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row>
    <row r="210" spans="1:46" ht="16.5" customHeight="1" x14ac:dyDescent="0.25">
      <c r="A210" s="3"/>
      <c r="B210" s="243"/>
      <c r="C210" s="433"/>
      <c r="D210" s="432"/>
      <c r="E210" s="432"/>
      <c r="F210" s="1"/>
      <c r="G210" s="1"/>
      <c r="H210" s="1"/>
      <c r="I210" s="1"/>
      <c r="J210" s="1"/>
      <c r="K210" s="1"/>
      <c r="L210" s="1"/>
      <c r="M210" s="1"/>
      <c r="N210" s="214"/>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row>
    <row r="211" spans="1:46" ht="16.5" customHeight="1" x14ac:dyDescent="0.25">
      <c r="A211" s="3"/>
      <c r="B211" s="243"/>
      <c r="C211" s="463" t="s">
        <v>627</v>
      </c>
      <c r="D211" s="432"/>
      <c r="E211" s="432"/>
      <c r="F211" s="1"/>
      <c r="G211" s="1"/>
      <c r="H211" s="1"/>
      <c r="I211" s="1"/>
      <c r="J211" s="1"/>
      <c r="K211" s="1"/>
      <c r="L211" s="1"/>
      <c r="M211" s="1"/>
      <c r="N211" s="214"/>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row>
    <row r="212" spans="1:46" ht="16.5" customHeight="1" x14ac:dyDescent="0.2">
      <c r="A212" s="3"/>
      <c r="B212" s="243"/>
      <c r="C212" s="1" t="s">
        <v>628</v>
      </c>
      <c r="D212" s="1"/>
      <c r="E212" s="1"/>
      <c r="F212" s="1"/>
      <c r="G212" s="1"/>
      <c r="H212" s="1"/>
      <c r="I212" s="1"/>
      <c r="J212" s="1"/>
      <c r="K212" s="1"/>
      <c r="L212" s="1"/>
      <c r="M212" s="1"/>
      <c r="N212" s="214"/>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row>
    <row r="213" spans="1:46" ht="16.5" customHeight="1" x14ac:dyDescent="0.2">
      <c r="A213" s="3"/>
      <c r="B213" s="243"/>
      <c r="C213" s="1"/>
      <c r="D213" s="1"/>
      <c r="E213" s="1"/>
      <c r="F213" s="1"/>
      <c r="G213" s="1"/>
      <c r="H213" s="1"/>
      <c r="I213" s="1"/>
      <c r="J213" s="1"/>
      <c r="K213" s="1"/>
      <c r="L213" s="1"/>
      <c r="M213" s="1"/>
      <c r="N213" s="214"/>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row>
    <row r="214" spans="1:46" ht="16.5" customHeight="1" x14ac:dyDescent="0.25">
      <c r="A214" s="3"/>
      <c r="B214" s="243"/>
      <c r="C214" s="463" t="s">
        <v>629</v>
      </c>
      <c r="D214" s="432"/>
      <c r="E214" s="432"/>
      <c r="F214" s="1"/>
      <c r="G214" s="1"/>
      <c r="H214" s="1"/>
      <c r="I214" s="1"/>
      <c r="J214" s="1"/>
      <c r="K214" s="1"/>
      <c r="L214" s="1"/>
      <c r="M214" s="1"/>
      <c r="N214" s="214"/>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row>
    <row r="215" spans="1:46" ht="7.5" customHeight="1" x14ac:dyDescent="0.25">
      <c r="A215" s="3"/>
      <c r="B215" s="243"/>
      <c r="C215" s="1"/>
      <c r="D215" s="432"/>
      <c r="E215" s="432"/>
      <c r="F215" s="1"/>
      <c r="G215" s="1"/>
      <c r="H215" s="1"/>
      <c r="I215" s="1"/>
      <c r="J215" s="1"/>
      <c r="K215" s="1"/>
      <c r="L215" s="1"/>
      <c r="M215" s="1"/>
      <c r="N215" s="236"/>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row>
    <row r="216" spans="1:46" ht="16.5" customHeight="1" x14ac:dyDescent="0.2">
      <c r="A216" s="3"/>
      <c r="B216" s="243"/>
      <c r="C216" s="1" t="s">
        <v>630</v>
      </c>
      <c r="D216" s="1"/>
      <c r="E216" s="1"/>
      <c r="F216" s="1"/>
      <c r="G216" s="1"/>
      <c r="H216" s="1"/>
      <c r="I216" s="1"/>
      <c r="J216" s="1"/>
      <c r="K216" s="1"/>
      <c r="L216" s="1"/>
      <c r="M216" s="1"/>
      <c r="N216" s="214"/>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row>
    <row r="217" spans="1:46" ht="16.5" customHeight="1" x14ac:dyDescent="0.2">
      <c r="A217" s="3"/>
      <c r="B217" s="243"/>
      <c r="C217" s="1" t="s">
        <v>631</v>
      </c>
      <c r="D217" s="1"/>
      <c r="E217" s="1"/>
      <c r="F217" s="1"/>
      <c r="G217" s="1"/>
      <c r="H217" s="1"/>
      <c r="I217" s="1"/>
      <c r="J217" s="1"/>
      <c r="K217" s="1"/>
      <c r="L217" s="1"/>
      <c r="M217" s="1"/>
      <c r="N217" s="214"/>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row>
    <row r="218" spans="1:46" ht="16.5" customHeight="1" x14ac:dyDescent="0.2">
      <c r="A218" s="3"/>
      <c r="B218" s="243"/>
      <c r="C218" s="1" t="s">
        <v>632</v>
      </c>
      <c r="D218" s="1"/>
      <c r="E218" s="1"/>
      <c r="F218" s="1"/>
      <c r="G218" s="1"/>
      <c r="H218" s="1"/>
      <c r="I218" s="1"/>
      <c r="J218" s="1"/>
      <c r="K218" s="1"/>
      <c r="L218" s="1"/>
      <c r="M218" s="1"/>
      <c r="N218" s="214"/>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row>
    <row r="219" spans="1:46" ht="16.5" customHeight="1" x14ac:dyDescent="0.2">
      <c r="A219" s="3"/>
      <c r="B219" s="243"/>
      <c r="C219" s="1" t="s">
        <v>633</v>
      </c>
      <c r="D219" s="1"/>
      <c r="E219" s="1"/>
      <c r="F219" s="1"/>
      <c r="G219" s="1"/>
      <c r="H219" s="1"/>
      <c r="I219" s="1"/>
      <c r="J219" s="1"/>
      <c r="K219" s="1"/>
      <c r="L219" s="1"/>
      <c r="M219" s="1"/>
      <c r="N219" s="214"/>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row>
    <row r="220" spans="1:46" ht="16.5" customHeight="1" x14ac:dyDescent="0.25">
      <c r="A220" s="3"/>
      <c r="B220" s="243"/>
      <c r="C220" s="1"/>
      <c r="D220" s="432"/>
      <c r="E220" s="432"/>
      <c r="F220" s="1"/>
      <c r="G220" s="1"/>
      <c r="H220" s="1"/>
      <c r="I220" s="1"/>
      <c r="J220" s="1"/>
      <c r="K220" s="1"/>
      <c r="L220" s="1"/>
      <c r="M220" s="1"/>
      <c r="N220" s="236"/>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row>
    <row r="221" spans="1:46" ht="16.5" customHeight="1" x14ac:dyDescent="0.2">
      <c r="A221" s="3"/>
      <c r="B221" s="243"/>
      <c r="C221" s="1" t="s">
        <v>634</v>
      </c>
      <c r="D221" s="1"/>
      <c r="E221" s="1"/>
      <c r="F221" s="1"/>
      <c r="G221" s="1"/>
      <c r="H221" s="1"/>
      <c r="I221" s="1"/>
      <c r="J221" s="1"/>
      <c r="K221" s="1"/>
      <c r="L221" s="1"/>
      <c r="M221" s="1"/>
      <c r="N221" s="236"/>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row>
    <row r="222" spans="1:46" ht="16.5" customHeight="1" x14ac:dyDescent="0.2">
      <c r="A222" s="3"/>
      <c r="B222" s="243"/>
      <c r="C222" s="1" t="s">
        <v>635</v>
      </c>
      <c r="D222" s="1"/>
      <c r="E222" s="1"/>
      <c r="F222" s="1"/>
      <c r="G222" s="1"/>
      <c r="H222" s="1"/>
      <c r="I222" s="1"/>
      <c r="J222" s="1"/>
      <c r="K222" s="1"/>
      <c r="L222" s="1"/>
      <c r="M222" s="1"/>
      <c r="N222" s="236"/>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row>
    <row r="223" spans="1:46" ht="16.5" customHeight="1" x14ac:dyDescent="0.25">
      <c r="A223" s="3"/>
      <c r="B223" s="243"/>
      <c r="C223" s="1"/>
      <c r="D223" s="432"/>
      <c r="E223" s="432"/>
      <c r="F223" s="1"/>
      <c r="G223" s="1"/>
      <c r="H223" s="1"/>
      <c r="I223" s="1"/>
      <c r="J223" s="1"/>
      <c r="K223" s="1"/>
      <c r="L223" s="1"/>
      <c r="M223" s="1"/>
      <c r="N223" s="214"/>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row>
    <row r="224" spans="1:46" ht="16.5" customHeight="1" x14ac:dyDescent="0.25">
      <c r="A224" s="3"/>
      <c r="B224" s="243"/>
      <c r="C224" s="463" t="s">
        <v>636</v>
      </c>
      <c r="D224" s="432"/>
      <c r="E224" s="432"/>
      <c r="F224" s="1"/>
      <c r="G224" s="1"/>
      <c r="H224" s="1"/>
      <c r="I224" s="1"/>
      <c r="J224" s="1"/>
      <c r="K224" s="1"/>
      <c r="L224" s="1"/>
      <c r="M224" s="1"/>
      <c r="N224" s="214"/>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row>
    <row r="225" spans="1:46" ht="16.5" customHeight="1" x14ac:dyDescent="0.2">
      <c r="A225" s="3"/>
      <c r="B225" s="243"/>
      <c r="C225" s="1" t="s">
        <v>637</v>
      </c>
      <c r="D225" s="1"/>
      <c r="E225" s="1"/>
      <c r="F225" s="1"/>
      <c r="G225" s="1"/>
      <c r="H225" s="1"/>
      <c r="I225" s="1"/>
      <c r="J225" s="1"/>
      <c r="K225" s="1"/>
      <c r="L225" s="1"/>
      <c r="M225" s="1"/>
      <c r="N225" s="214"/>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row>
    <row r="226" spans="1:46" ht="16.5" customHeight="1" x14ac:dyDescent="0.2">
      <c r="A226" s="3"/>
      <c r="B226" s="243"/>
      <c r="C226" s="1" t="s">
        <v>638</v>
      </c>
      <c r="D226" s="1"/>
      <c r="E226" s="1"/>
      <c r="F226" s="1"/>
      <c r="G226" s="1"/>
      <c r="H226" s="1"/>
      <c r="I226" s="1"/>
      <c r="J226" s="1"/>
      <c r="K226" s="1"/>
      <c r="L226" s="1"/>
      <c r="M226" s="1"/>
      <c r="N226" s="214"/>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row>
    <row r="227" spans="1:46" ht="16.5" customHeight="1" x14ac:dyDescent="0.2">
      <c r="A227" s="3"/>
      <c r="B227" s="243"/>
      <c r="C227" s="1" t="s">
        <v>639</v>
      </c>
      <c r="D227" s="1"/>
      <c r="E227" s="1"/>
      <c r="F227" s="1"/>
      <c r="G227" s="1"/>
      <c r="H227" s="1"/>
      <c r="I227" s="1"/>
      <c r="J227" s="1"/>
      <c r="K227" s="1"/>
      <c r="L227" s="1"/>
      <c r="M227" s="1"/>
      <c r="N227" s="214"/>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row>
    <row r="228" spans="1:46" ht="16.5" customHeight="1" x14ac:dyDescent="0.2">
      <c r="A228" s="3"/>
      <c r="B228" s="243"/>
      <c r="C228" s="1" t="s">
        <v>640</v>
      </c>
      <c r="D228" s="1"/>
      <c r="E228" s="1"/>
      <c r="F228" s="1"/>
      <c r="G228" s="1"/>
      <c r="H228" s="1"/>
      <c r="I228" s="1"/>
      <c r="J228" s="1"/>
      <c r="K228" s="1"/>
      <c r="L228" s="1"/>
      <c r="M228" s="1"/>
      <c r="N228" s="214"/>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row>
    <row r="229" spans="1:46" ht="19.5" customHeight="1" thickBot="1" x14ac:dyDescent="0.25">
      <c r="A229" s="3"/>
      <c r="B229" s="472"/>
      <c r="C229" s="473"/>
      <c r="D229" s="473"/>
      <c r="E229" s="473"/>
      <c r="F229" s="473"/>
      <c r="G229" s="473"/>
      <c r="H229" s="473"/>
      <c r="I229" s="473"/>
      <c r="J229" s="485"/>
      <c r="K229" s="486"/>
      <c r="L229" s="487"/>
      <c r="M229" s="487"/>
      <c r="N229" s="474"/>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row>
    <row r="230" spans="1:46" x14ac:dyDescent="0.2">
      <c r="A230" s="3"/>
      <c r="B230" s="1"/>
      <c r="C230" s="1"/>
      <c r="D230" s="1"/>
      <c r="E230" s="1"/>
      <c r="F230" s="1"/>
      <c r="G230" s="1"/>
      <c r="H230" s="1"/>
      <c r="I230" s="1"/>
      <c r="J230" s="809"/>
      <c r="K230" s="1"/>
      <c r="L230" s="1"/>
      <c r="M230" s="1"/>
      <c r="N230" s="1"/>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row>
    <row r="231" spans="1:46" x14ac:dyDescent="0.2">
      <c r="A231" s="3"/>
      <c r="B231" s="1"/>
      <c r="C231" s="1"/>
      <c r="D231" s="1"/>
      <c r="E231" s="1"/>
      <c r="F231" s="1"/>
      <c r="G231" s="1"/>
      <c r="H231" s="1"/>
      <c r="I231" s="1"/>
      <c r="J231" s="1"/>
      <c r="K231" s="1"/>
      <c r="L231" s="1"/>
      <c r="M231" s="1"/>
      <c r="N231" s="1"/>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row>
    <row r="232" spans="1:46" x14ac:dyDescent="0.2">
      <c r="A232" s="3"/>
      <c r="B232" s="1"/>
      <c r="C232" s="1"/>
      <c r="D232" s="1"/>
      <c r="E232" s="1"/>
      <c r="F232" s="1"/>
      <c r="G232" s="1"/>
      <c r="H232" s="1"/>
      <c r="I232" s="1"/>
      <c r="J232" s="1"/>
      <c r="K232" s="1"/>
      <c r="L232" s="1"/>
      <c r="M232" s="1"/>
      <c r="N232" s="1"/>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row>
    <row r="233" spans="1:46" x14ac:dyDescent="0.2">
      <c r="A233" s="3"/>
      <c r="B233" s="1"/>
      <c r="C233" s="1"/>
      <c r="D233" s="1"/>
      <c r="E233" s="1"/>
      <c r="F233" s="1"/>
      <c r="G233" s="1"/>
      <c r="H233" s="1"/>
      <c r="I233" s="1"/>
      <c r="J233" s="1"/>
      <c r="K233" s="1"/>
      <c r="L233" s="1"/>
      <c r="M233" s="1"/>
      <c r="N233" s="1"/>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row>
    <row r="234" spans="1:46" x14ac:dyDescent="0.2">
      <c r="A234" s="3"/>
      <c r="B234" s="1"/>
      <c r="C234" s="1"/>
      <c r="D234" s="1"/>
      <c r="E234" s="1"/>
      <c r="F234" s="1"/>
      <c r="G234" s="1"/>
      <c r="H234" s="1"/>
      <c r="I234" s="1"/>
      <c r="J234" s="1"/>
      <c r="K234" s="1"/>
      <c r="L234" s="1"/>
      <c r="M234" s="1"/>
      <c r="N234" s="1"/>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row>
    <row r="235" spans="1:46" x14ac:dyDescent="0.2">
      <c r="A235" s="3"/>
      <c r="B235" s="1"/>
      <c r="C235" s="1"/>
      <c r="D235" s="1"/>
      <c r="E235" s="1"/>
      <c r="F235" s="1"/>
      <c r="G235" s="1"/>
      <c r="H235" s="1"/>
      <c r="I235" s="1"/>
      <c r="J235" s="1"/>
      <c r="K235" s="1"/>
      <c r="L235" s="1"/>
      <c r="M235" s="1"/>
      <c r="N235" s="1"/>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row>
    <row r="236" spans="1:46" x14ac:dyDescent="0.2">
      <c r="A236" s="3"/>
      <c r="B236" s="1"/>
      <c r="C236" s="1"/>
      <c r="D236" s="1"/>
      <c r="E236" s="1"/>
      <c r="F236" s="1"/>
      <c r="G236" s="1"/>
      <c r="H236" s="1"/>
      <c r="I236" s="1"/>
      <c r="J236" s="1"/>
      <c r="K236" s="1"/>
      <c r="L236" s="1"/>
      <c r="M236" s="1"/>
      <c r="N236" s="1"/>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row>
    <row r="237" spans="1:46" x14ac:dyDescent="0.2">
      <c r="A237" s="3"/>
      <c r="B237" s="1"/>
      <c r="C237" s="1"/>
      <c r="D237" s="1"/>
      <c r="E237" s="1"/>
      <c r="F237" s="1"/>
      <c r="G237" s="1"/>
      <c r="H237" s="1"/>
      <c r="I237" s="1"/>
      <c r="J237" s="1"/>
      <c r="K237" s="1"/>
      <c r="L237" s="1"/>
      <c r="M237" s="1"/>
      <c r="N237" s="1"/>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row>
    <row r="238" spans="1:46" x14ac:dyDescent="0.2">
      <c r="A238" s="3"/>
      <c r="B238" s="1"/>
      <c r="C238" s="1"/>
      <c r="D238" s="1"/>
      <c r="E238" s="1"/>
      <c r="F238" s="1"/>
      <c r="G238" s="1"/>
      <c r="H238" s="1"/>
      <c r="I238" s="1"/>
      <c r="J238" s="1"/>
      <c r="K238" s="1"/>
      <c r="L238" s="1"/>
      <c r="M238" s="1"/>
      <c r="N238" s="1"/>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row>
    <row r="239" spans="1:46" x14ac:dyDescent="0.2">
      <c r="A239" s="3"/>
      <c r="B239" s="1"/>
      <c r="C239" s="1"/>
      <c r="D239" s="1"/>
      <c r="E239" s="1"/>
      <c r="F239" s="1"/>
      <c r="G239" s="1"/>
      <c r="H239" s="1"/>
      <c r="I239" s="1"/>
      <c r="J239" s="1"/>
      <c r="K239" s="1"/>
      <c r="L239" s="1"/>
      <c r="M239" s="1"/>
      <c r="N239" s="1"/>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row>
    <row r="240" spans="1:46" x14ac:dyDescent="0.2">
      <c r="A240" s="3"/>
      <c r="B240" s="1"/>
      <c r="C240" s="1"/>
      <c r="D240" s="1"/>
      <c r="E240" s="1"/>
      <c r="F240" s="1"/>
      <c r="G240" s="1"/>
      <c r="H240" s="1"/>
      <c r="I240" s="1"/>
      <c r="J240" s="1"/>
      <c r="K240" s="1"/>
      <c r="L240" s="1"/>
      <c r="M240" s="1"/>
      <c r="N240" s="1"/>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row>
    <row r="241" spans="1:46" x14ac:dyDescent="0.2">
      <c r="A241" s="3"/>
      <c r="B241" s="1"/>
      <c r="C241" s="1"/>
      <c r="D241" s="1"/>
      <c r="E241" s="1"/>
      <c r="F241" s="1"/>
      <c r="G241" s="1"/>
      <c r="H241" s="1"/>
      <c r="I241" s="1"/>
      <c r="J241" s="1"/>
      <c r="K241" s="1"/>
      <c r="L241" s="1"/>
      <c r="M241" s="1"/>
      <c r="N241" s="1"/>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row>
    <row r="242" spans="1:46" x14ac:dyDescent="0.2">
      <c r="A242" s="3"/>
      <c r="B242" s="1"/>
      <c r="C242" s="1"/>
      <c r="D242" s="1"/>
      <c r="E242" s="1"/>
      <c r="F242" s="1"/>
      <c r="G242" s="1"/>
      <c r="H242" s="1"/>
      <c r="I242" s="1"/>
      <c r="J242" s="1"/>
      <c r="K242" s="1"/>
      <c r="L242" s="1"/>
      <c r="M242" s="1"/>
      <c r="N242" s="1"/>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row>
    <row r="243" spans="1:46" x14ac:dyDescent="0.2">
      <c r="A243" s="3"/>
      <c r="B243" s="1"/>
      <c r="C243" s="1"/>
      <c r="D243" s="1"/>
      <c r="E243" s="1"/>
      <c r="F243" s="1"/>
      <c r="G243" s="1"/>
      <c r="H243" s="1"/>
      <c r="I243" s="1"/>
      <c r="J243" s="1"/>
      <c r="K243" s="1"/>
      <c r="L243" s="1"/>
      <c r="M243" s="1"/>
      <c r="N243" s="1"/>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row>
    <row r="244" spans="1:46" x14ac:dyDescent="0.2">
      <c r="A244" s="3"/>
      <c r="B244" s="1"/>
      <c r="C244" s="1"/>
      <c r="D244" s="1"/>
      <c r="E244" s="1"/>
      <c r="F244" s="1"/>
      <c r="G244" s="1"/>
      <c r="H244" s="1"/>
      <c r="I244" s="1"/>
      <c r="J244" s="1"/>
      <c r="K244" s="1"/>
      <c r="L244" s="1"/>
      <c r="M244" s="1"/>
      <c r="N244" s="1"/>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row>
    <row r="245" spans="1:46" x14ac:dyDescent="0.2">
      <c r="A245" s="3"/>
      <c r="B245" s="1"/>
      <c r="C245" s="1"/>
      <c r="D245" s="1"/>
      <c r="E245" s="1"/>
      <c r="F245" s="1"/>
      <c r="G245" s="1"/>
      <c r="H245" s="1"/>
      <c r="I245" s="1"/>
      <c r="J245" s="1"/>
      <c r="K245" s="1"/>
      <c r="L245" s="1"/>
      <c r="M245" s="1"/>
      <c r="N245" s="1"/>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row>
    <row r="246" spans="1:46" x14ac:dyDescent="0.2">
      <c r="A246" s="3"/>
      <c r="B246" s="1"/>
      <c r="C246" s="1"/>
      <c r="D246" s="1"/>
      <c r="E246" s="1"/>
      <c r="F246" s="1"/>
      <c r="G246" s="1"/>
      <c r="H246" s="1"/>
      <c r="I246" s="1"/>
      <c r="J246" s="1"/>
      <c r="K246" s="1"/>
      <c r="L246" s="1"/>
      <c r="M246" s="1"/>
      <c r="N246" s="1"/>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row>
    <row r="247" spans="1:46" x14ac:dyDescent="0.2">
      <c r="A247" s="3"/>
      <c r="B247" s="1"/>
      <c r="C247" s="1"/>
      <c r="D247" s="1"/>
      <c r="E247" s="1"/>
      <c r="F247" s="1"/>
      <c r="G247" s="1"/>
      <c r="H247" s="1"/>
      <c r="I247" s="1"/>
      <c r="J247" s="1"/>
      <c r="K247" s="1"/>
      <c r="L247" s="1"/>
      <c r="M247" s="1"/>
      <c r="N247" s="1"/>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row>
    <row r="248" spans="1:46" x14ac:dyDescent="0.2">
      <c r="A248" s="3"/>
      <c r="B248" s="1"/>
      <c r="C248" s="1"/>
      <c r="D248" s="1"/>
      <c r="E248" s="1"/>
      <c r="F248" s="1"/>
      <c r="G248" s="1"/>
      <c r="H248" s="1"/>
      <c r="I248" s="1"/>
      <c r="J248" s="1"/>
      <c r="K248" s="1"/>
      <c r="L248" s="1"/>
      <c r="M248" s="1"/>
      <c r="N248" s="1"/>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row>
    <row r="249" spans="1:46" x14ac:dyDescent="0.2">
      <c r="A249" s="3"/>
      <c r="B249" s="1"/>
      <c r="C249" s="1"/>
      <c r="D249" s="1"/>
      <c r="E249" s="1"/>
      <c r="F249" s="1"/>
      <c r="G249" s="1"/>
      <c r="H249" s="1"/>
      <c r="I249" s="1"/>
      <c r="J249" s="1"/>
      <c r="K249" s="1"/>
      <c r="L249" s="1"/>
      <c r="M249" s="1"/>
      <c r="N249" s="1"/>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row>
    <row r="250" spans="1:46" x14ac:dyDescent="0.2">
      <c r="A250" s="3"/>
      <c r="B250" s="1"/>
      <c r="C250" s="1"/>
      <c r="D250" s="1"/>
      <c r="E250" s="1"/>
      <c r="F250" s="1"/>
      <c r="G250" s="1"/>
      <c r="H250" s="1"/>
      <c r="I250" s="1"/>
      <c r="J250" s="1"/>
      <c r="K250" s="1"/>
      <c r="L250" s="1"/>
      <c r="M250" s="1"/>
      <c r="N250" s="1"/>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row>
    <row r="251" spans="1:46" x14ac:dyDescent="0.2">
      <c r="A251" s="3"/>
      <c r="B251" s="1"/>
      <c r="C251" s="1"/>
      <c r="D251" s="1"/>
      <c r="E251" s="1"/>
      <c r="F251" s="1"/>
      <c r="G251" s="1"/>
      <c r="H251" s="1"/>
      <c r="I251" s="1"/>
      <c r="J251" s="1"/>
      <c r="K251" s="1"/>
      <c r="L251" s="1"/>
      <c r="M251" s="1"/>
      <c r="N251" s="1"/>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row>
    <row r="252" spans="1:46" x14ac:dyDescent="0.2">
      <c r="A252" s="3"/>
      <c r="B252" s="1"/>
      <c r="C252" s="1"/>
      <c r="D252" s="1"/>
      <c r="E252" s="1"/>
      <c r="F252" s="1"/>
      <c r="G252" s="1"/>
      <c r="H252" s="1"/>
      <c r="I252" s="1"/>
      <c r="J252" s="1"/>
      <c r="K252" s="1"/>
      <c r="L252" s="1"/>
      <c r="M252" s="1"/>
      <c r="N252" s="1"/>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row>
    <row r="253" spans="1:46" x14ac:dyDescent="0.2">
      <c r="A253" s="3"/>
      <c r="B253" s="1"/>
      <c r="C253" s="1"/>
      <c r="D253" s="1"/>
      <c r="E253" s="1"/>
      <c r="F253" s="1"/>
      <c r="G253" s="1"/>
      <c r="H253" s="1"/>
      <c r="I253" s="1"/>
      <c r="J253" s="1"/>
      <c r="K253" s="1"/>
      <c r="L253" s="1"/>
      <c r="M253" s="1"/>
      <c r="N253" s="1"/>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row>
    <row r="254" spans="1:46" x14ac:dyDescent="0.2">
      <c r="A254" s="3"/>
      <c r="B254" s="1"/>
      <c r="C254" s="1"/>
      <c r="D254" s="1"/>
      <c r="E254" s="1"/>
      <c r="F254" s="1"/>
      <c r="G254" s="1"/>
      <c r="H254" s="1"/>
      <c r="I254" s="1"/>
      <c r="J254" s="1"/>
      <c r="K254" s="1"/>
      <c r="L254" s="1"/>
      <c r="M254" s="1"/>
      <c r="N254" s="1"/>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row>
    <row r="255" spans="1:46" x14ac:dyDescent="0.2">
      <c r="A255" s="3"/>
      <c r="B255" s="1"/>
      <c r="C255" s="1"/>
      <c r="D255" s="1"/>
      <c r="E255" s="1"/>
      <c r="F255" s="1"/>
      <c r="G255" s="1"/>
      <c r="H255" s="1"/>
      <c r="I255" s="1"/>
      <c r="J255" s="1"/>
      <c r="K255" s="1"/>
      <c r="L255" s="1"/>
      <c r="M255" s="1"/>
      <c r="N255" s="1"/>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row>
    <row r="256" spans="1:46" x14ac:dyDescent="0.2">
      <c r="A256" s="3"/>
      <c r="B256" s="1"/>
      <c r="C256" s="1"/>
      <c r="D256" s="1"/>
      <c r="E256" s="1"/>
      <c r="F256" s="1"/>
      <c r="G256" s="1"/>
      <c r="H256" s="1"/>
      <c r="I256" s="1"/>
      <c r="J256" s="1"/>
      <c r="K256" s="1"/>
      <c r="L256" s="1"/>
      <c r="M256" s="1"/>
      <c r="N256" s="1"/>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row>
    <row r="257" spans="1:46" x14ac:dyDescent="0.2">
      <c r="A257" s="3"/>
      <c r="B257" s="1"/>
      <c r="C257" s="1"/>
      <c r="D257" s="1"/>
      <c r="E257" s="1"/>
      <c r="F257" s="1"/>
      <c r="G257" s="1"/>
      <c r="H257" s="1"/>
      <c r="I257" s="1"/>
      <c r="J257" s="1"/>
      <c r="K257" s="1"/>
      <c r="L257" s="1"/>
      <c r="M257" s="1"/>
      <c r="N257" s="1"/>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row>
    <row r="258" spans="1:46" x14ac:dyDescent="0.2">
      <c r="A258" s="3"/>
      <c r="B258" s="1"/>
      <c r="C258" s="1"/>
      <c r="D258" s="1"/>
      <c r="E258" s="1"/>
      <c r="F258" s="1"/>
      <c r="G258" s="1"/>
      <c r="H258" s="1"/>
      <c r="I258" s="1"/>
      <c r="J258" s="1"/>
      <c r="K258" s="1"/>
      <c r="L258" s="1"/>
      <c r="M258" s="1"/>
      <c r="N258" s="1"/>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row>
    <row r="259" spans="1:46" x14ac:dyDescent="0.2">
      <c r="A259" s="3"/>
      <c r="B259" s="1"/>
      <c r="C259" s="1"/>
      <c r="D259" s="1"/>
      <c r="E259" s="1"/>
      <c r="F259" s="1"/>
      <c r="G259" s="1"/>
      <c r="H259" s="1"/>
      <c r="I259" s="1"/>
      <c r="J259" s="1"/>
      <c r="K259" s="1"/>
      <c r="L259" s="1"/>
      <c r="M259" s="1"/>
      <c r="N259" s="1"/>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row>
    <row r="260" spans="1:46" x14ac:dyDescent="0.2">
      <c r="A260" s="3"/>
      <c r="B260" s="1"/>
      <c r="C260" s="1"/>
      <c r="D260" s="1"/>
      <c r="E260" s="1"/>
      <c r="F260" s="1"/>
      <c r="G260" s="1"/>
      <c r="H260" s="1"/>
      <c r="I260" s="1"/>
      <c r="J260" s="1"/>
      <c r="K260" s="1"/>
      <c r="L260" s="1"/>
      <c r="M260" s="1"/>
      <c r="N260" s="1"/>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row>
    <row r="261" spans="1:46" x14ac:dyDescent="0.2">
      <c r="A261" s="3"/>
      <c r="B261" s="1"/>
      <c r="C261" s="1"/>
      <c r="D261" s="1"/>
      <c r="E261" s="1"/>
      <c r="F261" s="1"/>
      <c r="G261" s="1"/>
      <c r="H261" s="1"/>
      <c r="I261" s="1"/>
      <c r="J261" s="1"/>
      <c r="K261" s="1"/>
      <c r="L261" s="1"/>
      <c r="M261" s="1"/>
      <c r="N261" s="1"/>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row>
    <row r="262" spans="1:46" x14ac:dyDescent="0.2">
      <c r="A262" s="3"/>
      <c r="B262" s="1"/>
      <c r="C262" s="1"/>
      <c r="D262" s="1"/>
      <c r="E262" s="1"/>
      <c r="F262" s="1"/>
      <c r="G262" s="1"/>
      <c r="H262" s="1"/>
      <c r="I262" s="1"/>
      <c r="J262" s="1"/>
      <c r="K262" s="1"/>
      <c r="L262" s="1"/>
      <c r="M262" s="1"/>
      <c r="N262" s="1"/>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row>
    <row r="263" spans="1:46" x14ac:dyDescent="0.2">
      <c r="A263" s="3"/>
      <c r="B263" s="1"/>
      <c r="C263" s="1"/>
      <c r="D263" s="1"/>
      <c r="E263" s="1"/>
      <c r="F263" s="1"/>
      <c r="G263" s="1"/>
      <c r="H263" s="1"/>
      <c r="I263" s="1"/>
      <c r="J263" s="1"/>
      <c r="K263" s="1"/>
      <c r="L263" s="1"/>
      <c r="M263" s="1"/>
      <c r="N263" s="1"/>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row>
    <row r="264" spans="1:46" x14ac:dyDescent="0.2">
      <c r="A264" s="3"/>
      <c r="B264" s="1"/>
      <c r="C264" s="1"/>
      <c r="D264" s="1"/>
      <c r="E264" s="1"/>
      <c r="F264" s="1"/>
      <c r="G264" s="1"/>
      <c r="H264" s="1"/>
      <c r="I264" s="1"/>
      <c r="J264" s="1"/>
      <c r="K264" s="1"/>
      <c r="L264" s="1"/>
      <c r="M264" s="1"/>
      <c r="N264" s="1"/>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row>
    <row r="265" spans="1:46" x14ac:dyDescent="0.2">
      <c r="A265" s="3"/>
      <c r="B265" s="1"/>
      <c r="C265" s="1"/>
      <c r="D265" s="1"/>
      <c r="E265" s="1"/>
      <c r="F265" s="1"/>
      <c r="G265" s="1"/>
      <c r="H265" s="1"/>
      <c r="I265" s="1"/>
      <c r="J265" s="1"/>
      <c r="K265" s="1"/>
      <c r="L265" s="1"/>
      <c r="M265" s="1"/>
      <c r="N265" s="1"/>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row>
    <row r="266" spans="1:46" x14ac:dyDescent="0.2">
      <c r="A266" s="3"/>
      <c r="B266" s="1"/>
      <c r="C266" s="1"/>
      <c r="D266" s="1"/>
      <c r="E266" s="1"/>
      <c r="F266" s="1"/>
      <c r="G266" s="1"/>
      <c r="H266" s="1"/>
      <c r="I266" s="1"/>
      <c r="J266" s="1"/>
      <c r="K266" s="1"/>
      <c r="L266" s="1"/>
      <c r="M266" s="1"/>
      <c r="N266" s="1"/>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row>
    <row r="267" spans="1:46" x14ac:dyDescent="0.2">
      <c r="A267" s="3"/>
      <c r="B267" s="1"/>
      <c r="C267" s="1"/>
      <c r="D267" s="1"/>
      <c r="E267" s="1"/>
      <c r="F267" s="1"/>
      <c r="G267" s="1"/>
      <c r="H267" s="1"/>
      <c r="I267" s="1"/>
      <c r="J267" s="1"/>
      <c r="K267" s="1"/>
      <c r="L267" s="1"/>
      <c r="M267" s="1"/>
      <c r="N267" s="1"/>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row>
    <row r="268" spans="1:46" x14ac:dyDescent="0.2">
      <c r="A268" s="3"/>
      <c r="B268" s="1"/>
      <c r="C268" s="1"/>
      <c r="D268" s="1"/>
      <c r="E268" s="1"/>
      <c r="F268" s="1"/>
      <c r="G268" s="1"/>
      <c r="H268" s="1"/>
      <c r="I268" s="1"/>
      <c r="J268" s="1"/>
      <c r="K268" s="1"/>
      <c r="L268" s="1"/>
      <c r="M268" s="1"/>
      <c r="N268" s="1"/>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row>
    <row r="269" spans="1:46" x14ac:dyDescent="0.2">
      <c r="A269" s="3"/>
      <c r="B269" s="1"/>
      <c r="C269" s="1"/>
      <c r="D269" s="1"/>
      <c r="E269" s="1"/>
      <c r="F269" s="1"/>
      <c r="G269" s="1"/>
      <c r="H269" s="1"/>
      <c r="I269" s="1"/>
      <c r="J269" s="1"/>
      <c r="K269" s="1"/>
      <c r="L269" s="1"/>
      <c r="M269" s="1"/>
      <c r="N269" s="1"/>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row>
    <row r="270" spans="1:46" x14ac:dyDescent="0.2">
      <c r="A270" s="3"/>
      <c r="B270" s="1"/>
      <c r="C270" s="1"/>
      <c r="D270" s="1"/>
      <c r="E270" s="1"/>
      <c r="F270" s="1"/>
      <c r="G270" s="1"/>
      <c r="H270" s="1"/>
      <c r="I270" s="1"/>
      <c r="J270" s="1"/>
      <c r="K270" s="1"/>
      <c r="L270" s="1"/>
      <c r="M270" s="1"/>
      <c r="N270" s="1"/>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row>
    <row r="271" spans="1:46" x14ac:dyDescent="0.2">
      <c r="A271" s="3"/>
      <c r="B271" s="1"/>
      <c r="C271" s="1"/>
      <c r="D271" s="1"/>
      <c r="E271" s="1"/>
      <c r="F271" s="1"/>
      <c r="G271" s="1"/>
      <c r="H271" s="1"/>
      <c r="I271" s="1"/>
      <c r="J271" s="1"/>
      <c r="K271" s="1"/>
      <c r="L271" s="1"/>
      <c r="M271" s="1"/>
      <c r="N271" s="1"/>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row>
    <row r="272" spans="1:46" x14ac:dyDescent="0.2">
      <c r="A272" s="3"/>
      <c r="B272" s="1"/>
      <c r="C272" s="1"/>
      <c r="D272" s="1"/>
      <c r="E272" s="1"/>
      <c r="F272" s="1"/>
      <c r="G272" s="1"/>
      <c r="H272" s="1"/>
      <c r="I272" s="1"/>
      <c r="J272" s="1"/>
      <c r="K272" s="1"/>
      <c r="L272" s="1"/>
      <c r="M272" s="1"/>
      <c r="N272" s="1"/>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row>
    <row r="273" spans="1:46" x14ac:dyDescent="0.2">
      <c r="A273" s="3"/>
      <c r="B273" s="1"/>
      <c r="C273" s="1"/>
      <c r="D273" s="1"/>
      <c r="E273" s="1"/>
      <c r="F273" s="1"/>
      <c r="G273" s="1"/>
      <c r="H273" s="1"/>
      <c r="I273" s="1"/>
      <c r="J273" s="1"/>
      <c r="K273" s="1"/>
      <c r="L273" s="1"/>
      <c r="M273" s="1"/>
      <c r="N273" s="1"/>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row>
    <row r="274" spans="1:46" x14ac:dyDescent="0.2">
      <c r="A274" s="3"/>
      <c r="B274" s="1"/>
      <c r="C274" s="1"/>
      <c r="D274" s="1"/>
      <c r="E274" s="1"/>
      <c r="F274" s="1"/>
      <c r="G274" s="1"/>
      <c r="H274" s="1"/>
      <c r="I274" s="1"/>
      <c r="J274" s="1"/>
      <c r="K274" s="1"/>
      <c r="L274" s="1"/>
      <c r="M274" s="1"/>
      <c r="N274" s="1"/>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row>
    <row r="275" spans="1:46" x14ac:dyDescent="0.2">
      <c r="A275" s="3"/>
      <c r="B275" s="1"/>
      <c r="C275" s="1"/>
      <c r="D275" s="1"/>
      <c r="E275" s="1"/>
      <c r="F275" s="1"/>
      <c r="G275" s="1"/>
      <c r="H275" s="1"/>
      <c r="I275" s="1"/>
      <c r="J275" s="1"/>
      <c r="K275" s="1"/>
      <c r="L275" s="1"/>
      <c r="M275" s="1"/>
      <c r="N275" s="1"/>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row>
    <row r="276" spans="1:46" x14ac:dyDescent="0.2">
      <c r="A276" s="3"/>
      <c r="B276" s="1"/>
      <c r="C276" s="1"/>
      <c r="D276" s="1"/>
      <c r="E276" s="1"/>
      <c r="F276" s="1"/>
      <c r="G276" s="1"/>
      <c r="H276" s="1"/>
      <c r="I276" s="1"/>
      <c r="J276" s="1"/>
      <c r="K276" s="1"/>
      <c r="L276" s="1"/>
      <c r="M276" s="1"/>
      <c r="N276" s="1"/>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row>
    <row r="277" spans="1:46" x14ac:dyDescent="0.2">
      <c r="A277" s="3"/>
      <c r="B277" s="1"/>
      <c r="C277" s="1"/>
      <c r="D277" s="1"/>
      <c r="E277" s="1"/>
      <c r="F277" s="1"/>
      <c r="G277" s="1"/>
      <c r="H277" s="1"/>
      <c r="I277" s="1"/>
      <c r="J277" s="1"/>
      <c r="K277" s="1"/>
      <c r="L277" s="1"/>
      <c r="M277" s="1"/>
      <c r="N277" s="1"/>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row>
    <row r="278" spans="1:46" x14ac:dyDescent="0.2">
      <c r="A278" s="3"/>
      <c r="B278" s="1"/>
      <c r="C278" s="1"/>
      <c r="D278" s="1"/>
      <c r="E278" s="1"/>
      <c r="F278" s="1"/>
      <c r="G278" s="1"/>
      <c r="H278" s="1"/>
      <c r="I278" s="1"/>
      <c r="J278" s="1"/>
      <c r="K278" s="1"/>
      <c r="L278" s="1"/>
      <c r="M278" s="1"/>
      <c r="N278" s="1"/>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row>
    <row r="279" spans="1:46" x14ac:dyDescent="0.2">
      <c r="A279" s="3"/>
      <c r="B279" s="1"/>
      <c r="C279" s="1"/>
      <c r="D279" s="1"/>
      <c r="E279" s="1"/>
      <c r="F279" s="1"/>
      <c r="G279" s="1"/>
      <c r="H279" s="1"/>
      <c r="I279" s="1"/>
      <c r="J279" s="1"/>
      <c r="K279" s="1"/>
      <c r="L279" s="1"/>
      <c r="M279" s="1"/>
      <c r="N279" s="1"/>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row>
    <row r="280" spans="1:46" x14ac:dyDescent="0.2">
      <c r="A280" s="3"/>
      <c r="B280" s="1"/>
      <c r="C280" s="1"/>
      <c r="D280" s="1"/>
      <c r="E280" s="1"/>
      <c r="F280" s="1"/>
      <c r="G280" s="1"/>
      <c r="H280" s="1"/>
      <c r="I280" s="1"/>
      <c r="J280" s="1"/>
      <c r="K280" s="1"/>
      <c r="L280" s="1"/>
      <c r="M280" s="1"/>
      <c r="N280" s="1"/>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row>
    <row r="281" spans="1:46" x14ac:dyDescent="0.2">
      <c r="A281" s="3"/>
      <c r="B281" s="1"/>
      <c r="C281" s="1"/>
      <c r="D281" s="1"/>
      <c r="E281" s="1"/>
      <c r="F281" s="1"/>
      <c r="G281" s="1"/>
      <c r="H281" s="1"/>
      <c r="I281" s="1"/>
      <c r="J281" s="1"/>
      <c r="K281" s="1"/>
      <c r="L281" s="1"/>
      <c r="M281" s="1"/>
      <c r="N281" s="1"/>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row>
    <row r="282" spans="1:46" x14ac:dyDescent="0.2">
      <c r="A282" s="3"/>
      <c r="B282" s="1"/>
      <c r="C282" s="1"/>
      <c r="D282" s="1"/>
      <c r="E282" s="1"/>
      <c r="F282" s="1"/>
      <c r="G282" s="1"/>
      <c r="H282" s="1"/>
      <c r="I282" s="1"/>
      <c r="J282" s="1"/>
      <c r="K282" s="1"/>
      <c r="L282" s="1"/>
      <c r="M282" s="1"/>
      <c r="N282" s="1"/>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row>
    <row r="283" spans="1:46" x14ac:dyDescent="0.2">
      <c r="A283" s="3"/>
      <c r="B283" s="1"/>
      <c r="C283" s="1"/>
      <c r="D283" s="1"/>
      <c r="E283" s="1"/>
      <c r="F283" s="1"/>
      <c r="G283" s="1"/>
      <c r="H283" s="1"/>
      <c r="I283" s="1"/>
      <c r="J283" s="1"/>
      <c r="K283" s="1"/>
      <c r="L283" s="1"/>
      <c r="M283" s="1"/>
      <c r="N283" s="1"/>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row>
    <row r="284" spans="1:46" x14ac:dyDescent="0.2">
      <c r="A284" s="3"/>
      <c r="B284" s="1"/>
      <c r="C284" s="1"/>
      <c r="D284" s="1"/>
      <c r="E284" s="1"/>
      <c r="F284" s="1"/>
      <c r="G284" s="1"/>
      <c r="H284" s="1"/>
      <c r="I284" s="1"/>
      <c r="J284" s="1"/>
      <c r="K284" s="1"/>
      <c r="L284" s="1"/>
      <c r="M284" s="1"/>
      <c r="N284" s="1"/>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row>
    <row r="285" spans="1:46" x14ac:dyDescent="0.2">
      <c r="A285" s="3"/>
      <c r="B285" s="1"/>
      <c r="C285" s="1"/>
      <c r="D285" s="1"/>
      <c r="E285" s="1"/>
      <c r="F285" s="1"/>
      <c r="G285" s="1"/>
      <c r="H285" s="1"/>
      <c r="I285" s="1"/>
      <c r="J285" s="1"/>
      <c r="K285" s="1"/>
      <c r="L285" s="1"/>
      <c r="M285" s="1"/>
      <c r="N285" s="1"/>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row>
    <row r="286" spans="1:46" x14ac:dyDescent="0.2">
      <c r="A286" s="3"/>
      <c r="B286" s="1"/>
      <c r="C286" s="1"/>
      <c r="D286" s="1"/>
      <c r="E286" s="1"/>
      <c r="F286" s="1"/>
      <c r="G286" s="1"/>
      <c r="H286" s="1"/>
      <c r="I286" s="1"/>
      <c r="J286" s="1"/>
      <c r="K286" s="1"/>
      <c r="L286" s="1"/>
      <c r="M286" s="1"/>
      <c r="N286" s="1"/>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row>
    <row r="287" spans="1:46" x14ac:dyDescent="0.2">
      <c r="A287" s="3"/>
      <c r="B287" s="1"/>
      <c r="C287" s="1"/>
      <c r="D287" s="1"/>
      <c r="E287" s="1"/>
      <c r="F287" s="1"/>
      <c r="G287" s="1"/>
      <c r="H287" s="1"/>
      <c r="I287" s="1"/>
      <c r="J287" s="1"/>
      <c r="K287" s="1"/>
      <c r="L287" s="1"/>
      <c r="M287" s="1"/>
      <c r="N287" s="1"/>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row>
    <row r="288" spans="1:46" x14ac:dyDescent="0.2">
      <c r="A288" s="3"/>
      <c r="B288" s="1"/>
      <c r="C288" s="1"/>
      <c r="D288" s="1"/>
      <c r="E288" s="1"/>
      <c r="F288" s="1"/>
      <c r="G288" s="1"/>
      <c r="H288" s="1"/>
      <c r="I288" s="1"/>
      <c r="J288" s="1"/>
      <c r="K288" s="1"/>
      <c r="L288" s="1"/>
      <c r="M288" s="1"/>
      <c r="N288" s="1"/>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row>
    <row r="289" spans="1:46" x14ac:dyDescent="0.2">
      <c r="A289" s="3"/>
      <c r="B289" s="1"/>
      <c r="C289" s="1"/>
      <c r="D289" s="1"/>
      <c r="E289" s="1"/>
      <c r="F289" s="1"/>
      <c r="G289" s="1"/>
      <c r="H289" s="1"/>
      <c r="I289" s="1"/>
      <c r="J289" s="1"/>
      <c r="K289" s="1"/>
      <c r="L289" s="1"/>
      <c r="M289" s="1"/>
      <c r="N289" s="1"/>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row>
    <row r="290" spans="1:46" x14ac:dyDescent="0.2">
      <c r="A290" s="3"/>
      <c r="B290" s="1"/>
      <c r="C290" s="1"/>
      <c r="D290" s="1"/>
      <c r="E290" s="1"/>
      <c r="F290" s="1"/>
      <c r="G290" s="1"/>
      <c r="H290" s="1"/>
      <c r="I290" s="1"/>
      <c r="J290" s="1"/>
      <c r="K290" s="1"/>
      <c r="L290" s="1"/>
      <c r="M290" s="1"/>
      <c r="N290" s="1"/>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row>
    <row r="291" spans="1:46" x14ac:dyDescent="0.2">
      <c r="A291" s="3"/>
      <c r="B291" s="1"/>
      <c r="C291" s="1"/>
      <c r="D291" s="1"/>
      <c r="E291" s="1"/>
      <c r="F291" s="1"/>
      <c r="G291" s="1"/>
      <c r="H291" s="1"/>
      <c r="I291" s="1"/>
      <c r="J291" s="1"/>
      <c r="K291" s="1"/>
      <c r="L291" s="1"/>
      <c r="M291" s="1"/>
      <c r="N291" s="1"/>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row>
    <row r="292" spans="1:46" x14ac:dyDescent="0.2">
      <c r="A292" s="3"/>
      <c r="B292" s="1"/>
      <c r="C292" s="1"/>
      <c r="D292" s="1"/>
      <c r="E292" s="1"/>
      <c r="F292" s="1"/>
      <c r="G292" s="1"/>
      <c r="H292" s="1"/>
      <c r="I292" s="1"/>
      <c r="J292" s="1"/>
      <c r="K292" s="1"/>
      <c r="L292" s="1"/>
      <c r="M292" s="1"/>
      <c r="N292" s="1"/>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row>
    <row r="293" spans="1:46" x14ac:dyDescent="0.2">
      <c r="A293" s="3"/>
      <c r="B293" s="1"/>
      <c r="C293" s="1"/>
      <c r="D293" s="1"/>
      <c r="E293" s="1"/>
      <c r="F293" s="1"/>
      <c r="G293" s="1"/>
      <c r="H293" s="1"/>
      <c r="I293" s="1"/>
      <c r="J293" s="1"/>
      <c r="K293" s="1"/>
      <c r="L293" s="1"/>
      <c r="M293" s="1"/>
      <c r="N293" s="1"/>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row>
    <row r="294" spans="1:46" x14ac:dyDescent="0.2">
      <c r="A294" s="3"/>
      <c r="B294" s="1"/>
      <c r="C294" s="1"/>
      <c r="D294" s="1"/>
      <c r="E294" s="1"/>
      <c r="F294" s="1"/>
      <c r="G294" s="1"/>
      <c r="H294" s="1"/>
      <c r="I294" s="1"/>
      <c r="J294" s="1"/>
      <c r="K294" s="1"/>
      <c r="L294" s="1"/>
      <c r="M294" s="1"/>
      <c r="N294" s="1"/>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row>
    <row r="295" spans="1:46" x14ac:dyDescent="0.2">
      <c r="A295" s="3"/>
      <c r="B295" s="1"/>
      <c r="C295" s="1"/>
      <c r="D295" s="1"/>
      <c r="E295" s="1"/>
      <c r="F295" s="1"/>
      <c r="G295" s="1"/>
      <c r="H295" s="1"/>
      <c r="I295" s="1"/>
      <c r="J295" s="1"/>
      <c r="K295" s="1"/>
      <c r="L295" s="1"/>
      <c r="M295" s="1"/>
      <c r="N295" s="1"/>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row>
    <row r="296" spans="1:46" x14ac:dyDescent="0.2">
      <c r="A296" s="3"/>
      <c r="B296" s="1"/>
      <c r="C296" s="1"/>
      <c r="D296" s="1"/>
      <c r="E296" s="1"/>
      <c r="F296" s="1"/>
      <c r="G296" s="1"/>
      <c r="H296" s="1"/>
      <c r="I296" s="1"/>
      <c r="J296" s="1"/>
      <c r="K296" s="1"/>
      <c r="L296" s="1"/>
      <c r="M296" s="1"/>
      <c r="N296" s="1"/>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row>
    <row r="297" spans="1:46" x14ac:dyDescent="0.2">
      <c r="A297" s="3"/>
      <c r="B297" s="1"/>
      <c r="C297" s="1"/>
      <c r="D297" s="1"/>
      <c r="E297" s="1"/>
      <c r="F297" s="1"/>
      <c r="G297" s="1"/>
      <c r="H297" s="1"/>
      <c r="I297" s="1"/>
      <c r="J297" s="1"/>
      <c r="K297" s="1"/>
      <c r="L297" s="1"/>
      <c r="M297" s="1"/>
      <c r="N297" s="1"/>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row>
    <row r="298" spans="1:46" x14ac:dyDescent="0.2">
      <c r="A298" s="3"/>
      <c r="B298" s="1"/>
      <c r="C298" s="1"/>
      <c r="D298" s="1"/>
      <c r="E298" s="1"/>
      <c r="F298" s="1"/>
      <c r="G298" s="1"/>
      <c r="H298" s="1"/>
      <c r="I298" s="1"/>
      <c r="J298" s="1"/>
      <c r="K298" s="1"/>
      <c r="L298" s="1"/>
      <c r="M298" s="1"/>
      <c r="N298" s="1"/>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row>
    <row r="299" spans="1:46" x14ac:dyDescent="0.2">
      <c r="A299" s="3"/>
      <c r="B299" s="1"/>
      <c r="C299" s="1"/>
      <c r="D299" s="1"/>
      <c r="E299" s="1"/>
      <c r="F299" s="1"/>
      <c r="G299" s="1"/>
      <c r="H299" s="1"/>
      <c r="I299" s="1"/>
      <c r="J299" s="1"/>
      <c r="K299" s="1"/>
      <c r="L299" s="1"/>
      <c r="M299" s="1"/>
      <c r="N299" s="1"/>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row>
    <row r="300" spans="1:46" x14ac:dyDescent="0.2">
      <c r="A300" s="3"/>
      <c r="B300" s="1"/>
      <c r="C300" s="1"/>
      <c r="D300" s="1"/>
      <c r="E300" s="1"/>
      <c r="F300" s="1"/>
      <c r="G300" s="1"/>
      <c r="H300" s="1"/>
      <c r="I300" s="1"/>
      <c r="J300" s="1"/>
      <c r="K300" s="1"/>
      <c r="L300" s="1"/>
      <c r="M300" s="1"/>
      <c r="N300" s="1"/>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row>
    <row r="301" spans="1:46" x14ac:dyDescent="0.2">
      <c r="A301" s="3"/>
      <c r="B301" s="1"/>
      <c r="C301" s="1"/>
      <c r="D301" s="1"/>
      <c r="E301" s="1"/>
      <c r="F301" s="1"/>
      <c r="G301" s="1"/>
      <c r="H301" s="1"/>
      <c r="I301" s="1"/>
      <c r="J301" s="1"/>
      <c r="K301" s="1"/>
      <c r="L301" s="1"/>
      <c r="M301" s="1"/>
      <c r="N301" s="1"/>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row>
    <row r="302" spans="1:46" x14ac:dyDescent="0.2">
      <c r="A302" s="3"/>
      <c r="B302" s="1"/>
      <c r="C302" s="1"/>
      <c r="D302" s="1"/>
      <c r="E302" s="1"/>
      <c r="F302" s="1"/>
      <c r="G302" s="1"/>
      <c r="H302" s="1"/>
      <c r="I302" s="1"/>
      <c r="J302" s="1"/>
      <c r="K302" s="1"/>
      <c r="L302" s="1"/>
      <c r="M302" s="1"/>
      <c r="N302" s="1"/>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row>
    <row r="303" spans="1:46" x14ac:dyDescent="0.2">
      <c r="A303" s="3"/>
      <c r="B303" s="1"/>
      <c r="C303" s="1"/>
      <c r="D303" s="1"/>
      <c r="E303" s="1"/>
      <c r="F303" s="1"/>
      <c r="G303" s="1"/>
      <c r="H303" s="1"/>
      <c r="I303" s="1"/>
      <c r="J303" s="1"/>
      <c r="K303" s="1"/>
      <c r="L303" s="1"/>
      <c r="M303" s="1"/>
      <c r="N303" s="1"/>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row>
    <row r="304" spans="1:46" x14ac:dyDescent="0.2">
      <c r="A304" s="3"/>
      <c r="B304" s="1"/>
      <c r="C304" s="1"/>
      <c r="D304" s="1"/>
      <c r="E304" s="1"/>
      <c r="F304" s="1"/>
      <c r="G304" s="1"/>
      <c r="H304" s="1"/>
      <c r="I304" s="1"/>
      <c r="J304" s="1"/>
      <c r="K304" s="1"/>
      <c r="L304" s="1"/>
      <c r="M304" s="1"/>
      <c r="N304" s="1"/>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row>
    <row r="305" spans="1:46" x14ac:dyDescent="0.2">
      <c r="A305" s="3"/>
      <c r="B305" s="1"/>
      <c r="C305" s="1"/>
      <c r="D305" s="1"/>
      <c r="E305" s="1"/>
      <c r="F305" s="1"/>
      <c r="G305" s="1"/>
      <c r="H305" s="1"/>
      <c r="I305" s="1"/>
      <c r="J305" s="1"/>
      <c r="K305" s="1"/>
      <c r="L305" s="1"/>
      <c r="M305" s="1"/>
      <c r="N305" s="1"/>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row>
    <row r="306" spans="1:46" x14ac:dyDescent="0.2">
      <c r="A306" s="3"/>
      <c r="B306" s="1"/>
      <c r="C306" s="1"/>
      <c r="D306" s="1"/>
      <c r="E306" s="1"/>
      <c r="F306" s="1"/>
      <c r="G306" s="1"/>
      <c r="H306" s="1"/>
      <c r="I306" s="1"/>
      <c r="J306" s="1"/>
      <c r="K306" s="1"/>
      <c r="L306" s="1"/>
      <c r="M306" s="1"/>
      <c r="N306" s="1"/>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row>
    <row r="307" spans="1:46" x14ac:dyDescent="0.2">
      <c r="A307" s="3"/>
      <c r="B307" s="1"/>
      <c r="C307" s="1"/>
      <c r="D307" s="1"/>
      <c r="E307" s="1"/>
      <c r="F307" s="1"/>
      <c r="G307" s="1"/>
      <c r="H307" s="1"/>
      <c r="I307" s="1"/>
      <c r="J307" s="1"/>
      <c r="K307" s="1"/>
      <c r="L307" s="1"/>
      <c r="M307" s="1"/>
      <c r="N307" s="1"/>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row>
    <row r="308" spans="1:46" x14ac:dyDescent="0.2">
      <c r="A308" s="3"/>
      <c r="B308" s="1"/>
      <c r="C308" s="1"/>
      <c r="D308" s="1"/>
      <c r="E308" s="1"/>
      <c r="F308" s="1"/>
      <c r="G308" s="1"/>
      <c r="H308" s="1"/>
      <c r="I308" s="1"/>
      <c r="J308" s="1"/>
      <c r="K308" s="1"/>
      <c r="L308" s="1"/>
      <c r="M308" s="1"/>
      <c r="N308" s="1"/>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row>
  </sheetData>
  <sheetProtection algorithmName="SHA-512" hashValue="FWNSY5kBoWX8Ub+eZiFApCs6oEVgAXe1ZTQ3WNzKziZpmG40N5vrJRvemSaZc6I9cvfJi3IngmKYwyWprJeLVg==" saltValue="tJyqgFPlsWsmK2oYnDCpiA==" spinCount="100000" sheet="1" formatColumns="0" formatRows="0"/>
  <phoneticPr fontId="16" type="noConversion"/>
  <dataValidations count="5">
    <dataValidation allowBlank="1" showInputMessage="1" showErrorMessage="1" errorTitle="Invalid number" error="The amount must be a negative whole number." sqref="Q150" xr:uid="{00000000-0002-0000-0300-000000000000}"/>
    <dataValidation type="whole" allowBlank="1" showErrorMessage="1" errorTitle="Invalid number" error="Please round your entry to the nearest whole number." promptTitle="Income Adjustment" prompt="Crown Land adjustment claimed plus income lost due to the 20% Farmland limit, recovered as an income adjustmenmt." sqref="Q167" xr:uid="{00000000-0002-0000-0300-000001000000}">
      <formula1>0</formula1>
      <formula2>100000000</formula2>
    </dataValidation>
    <dataValidation type="whole" allowBlank="1" showInputMessage="1" showErrorMessage="1" errorTitle="Invalid number" error="Please round your entry to the nearest whole number." sqref="Q164" xr:uid="{00000000-0002-0000-0300-000002000000}">
      <formula1>-10000000</formula1>
      <formula2>100000000</formula2>
    </dataValidation>
    <dataValidation type="whole" allowBlank="1" showInputMessage="1" showErrorMessage="1" errorTitle="Invalid number" error="This amount must be a negative whole number." sqref="Q165" xr:uid="{00000000-0002-0000-0300-000003000000}">
      <formula1>-10000000</formula1>
      <formula2>0</formula2>
    </dataValidation>
    <dataValidation type="whole" allowBlank="1" showInputMessage="1" showErrorMessage="1" errorTitle="Invalid number" error="The amount must be a negative whole number." sqref="Q151" xr:uid="{00000000-0002-0000-0300-000004000000}">
      <formula1>-100000000</formula1>
      <formula2>0</formula2>
    </dataValidation>
  </dataValidations>
  <hyperlinks>
    <hyperlink ref="H73" r:id="rId1" display="tony_camenzuli@ipart.nsw.gov.au" xr:uid="{00000000-0004-0000-0300-000000000000}"/>
    <hyperlink ref="C44" r:id="rId2" xr:uid="{00000000-0004-0000-0300-000001000000}"/>
  </hyperlinks>
  <printOptions horizontalCentered="1"/>
  <pageMargins left="0.23622047244094491" right="0.35433070866141736" top="0.19685039370078741" bottom="0.15748031496062992" header="0.15748031496062992" footer="0.19685039370078741"/>
  <pageSetup paperSize="8" fitToHeight="0" orientation="portrait" r:id="rId3"/>
  <headerFooter alignWithMargins="0"/>
  <rowBreaks count="3" manualBreakCount="3">
    <brk id="52" min="1" max="13" man="1"/>
    <brk id="93" min="1" max="13" man="1"/>
    <brk id="194" min="1" max="1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F97"/>
  <sheetViews>
    <sheetView showGridLines="0" topLeftCell="A50" zoomScaleNormal="100" workbookViewId="0">
      <selection activeCell="AA50" sqref="AA50"/>
    </sheetView>
  </sheetViews>
  <sheetFormatPr defaultColWidth="9.125" defaultRowHeight="11.4" outlineLevelRow="1" outlineLevelCol="1" x14ac:dyDescent="0.2"/>
  <cols>
    <col min="1" max="2" width="2.75" customWidth="1"/>
    <col min="3" max="3" width="7.375" customWidth="1"/>
    <col min="4" max="4" width="24.25" customWidth="1"/>
    <col min="5" max="5" width="30" customWidth="1"/>
    <col min="6" max="7" width="11" customWidth="1"/>
    <col min="8" max="8" width="15.125" customWidth="1"/>
    <col min="9" max="9" width="14.125" customWidth="1"/>
    <col min="10" max="10" width="11" customWidth="1"/>
    <col min="11" max="11" width="16.375" customWidth="1"/>
    <col min="12" max="13" width="11" customWidth="1"/>
    <col min="14" max="14" width="2.375" customWidth="1"/>
    <col min="15" max="15" width="11" customWidth="1"/>
    <col min="16" max="16" width="14.625" customWidth="1"/>
    <col min="17" max="17" width="14.25" customWidth="1"/>
    <col min="18" max="18" width="15.875" hidden="1" customWidth="1" outlineLevel="1"/>
    <col min="19" max="19" width="15.125" hidden="1" customWidth="1" outlineLevel="1"/>
    <col min="20" max="20" width="15.375" bestFit="1" customWidth="1" collapsed="1"/>
    <col min="21" max="27" width="15.375" bestFit="1" customWidth="1"/>
    <col min="28" max="28" width="9.125" style="160" customWidth="1"/>
    <col min="29" max="30" width="9.625" style="160" bestFit="1" customWidth="1"/>
    <col min="31" max="32" width="9.125" style="160" customWidth="1"/>
  </cols>
  <sheetData>
    <row r="1" spans="1:32" ht="12" thickBot="1" x14ac:dyDescent="0.25">
      <c r="A1" s="3"/>
      <c r="B1" s="3"/>
      <c r="C1" s="3"/>
      <c r="D1" s="3"/>
      <c r="E1" s="3"/>
      <c r="F1" s="3"/>
      <c r="G1" s="3"/>
      <c r="H1" s="3"/>
      <c r="I1" s="3"/>
      <c r="J1" s="3"/>
      <c r="K1" s="3"/>
      <c r="L1" s="3"/>
      <c r="M1" s="3"/>
      <c r="N1" s="3"/>
      <c r="O1" s="3"/>
      <c r="P1" s="3"/>
      <c r="Q1" s="3"/>
      <c r="R1" s="3"/>
      <c r="S1" s="3"/>
      <c r="T1" s="3"/>
      <c r="U1" s="3"/>
      <c r="AB1" s="1115"/>
      <c r="AC1" s="1115"/>
      <c r="AD1" s="1115"/>
      <c r="AE1" s="1115"/>
      <c r="AF1" s="1115"/>
    </row>
    <row r="2" spans="1:32" ht="6" customHeight="1" x14ac:dyDescent="0.2">
      <c r="A2" s="3"/>
      <c r="B2" s="209"/>
      <c r="C2" s="210"/>
      <c r="D2" s="210"/>
      <c r="E2" s="210"/>
      <c r="F2" s="210"/>
      <c r="G2" s="210"/>
      <c r="H2" s="210"/>
      <c r="I2" s="210"/>
      <c r="J2" s="210"/>
      <c r="K2" s="210"/>
      <c r="L2" s="210"/>
      <c r="M2" s="210"/>
      <c r="N2" s="211"/>
      <c r="O2" s="3"/>
      <c r="P2" s="3"/>
      <c r="Q2" s="3"/>
      <c r="R2" s="3"/>
      <c r="S2" s="3"/>
      <c r="T2" s="3"/>
      <c r="U2" s="3"/>
      <c r="V2" s="3"/>
      <c r="W2" s="3"/>
      <c r="X2" s="3"/>
      <c r="Y2" s="3"/>
      <c r="Z2" s="3"/>
      <c r="AA2" s="3"/>
      <c r="AB2" s="1115"/>
      <c r="AC2" s="1115"/>
      <c r="AD2" s="1115"/>
      <c r="AE2" s="1115"/>
      <c r="AF2" s="1115"/>
    </row>
    <row r="3" spans="1:32" ht="22.5" customHeight="1" x14ac:dyDescent="0.3">
      <c r="A3" s="3"/>
      <c r="B3" s="212"/>
      <c r="C3" s="129"/>
      <c r="D3" s="3"/>
      <c r="E3" s="137" t="s">
        <v>641</v>
      </c>
      <c r="F3" s="3"/>
      <c r="G3" s="137"/>
      <c r="H3" s="137"/>
      <c r="I3" s="3"/>
      <c r="J3" s="134"/>
      <c r="K3" s="134"/>
      <c r="L3" s="134"/>
      <c r="M3" s="798" t="str">
        <f>'WK0 - Input data'!$D$45</f>
        <v>2023-24</v>
      </c>
      <c r="N3" s="441"/>
      <c r="O3" s="134"/>
      <c r="P3" s="129"/>
      <c r="Q3" s="134"/>
      <c r="R3" s="3"/>
      <c r="S3" s="3"/>
      <c r="T3" s="3"/>
      <c r="U3" s="3"/>
      <c r="V3" s="3"/>
      <c r="W3" s="3"/>
      <c r="X3" s="3"/>
      <c r="Y3" s="3"/>
      <c r="Z3" s="3"/>
      <c r="AA3" s="3"/>
      <c r="AB3" s="1115"/>
      <c r="AC3" s="1115"/>
      <c r="AD3" s="1115"/>
      <c r="AE3" s="1115"/>
      <c r="AF3" s="1115"/>
    </row>
    <row r="4" spans="1:32" ht="27.75" customHeight="1" x14ac:dyDescent="0.3">
      <c r="A4" s="3"/>
      <c r="B4" s="212"/>
      <c r="C4" s="129"/>
      <c r="D4" s="3"/>
      <c r="E4" s="134"/>
      <c r="F4" s="134"/>
      <c r="G4" s="129"/>
      <c r="H4" s="4"/>
      <c r="I4" s="129"/>
      <c r="J4" s="129"/>
      <c r="K4" s="129"/>
      <c r="L4" s="129"/>
      <c r="M4" s="129"/>
      <c r="N4" s="217"/>
      <c r="O4" s="129"/>
      <c r="P4" s="129"/>
      <c r="Q4" s="3"/>
      <c r="R4" s="3"/>
      <c r="S4" s="3"/>
      <c r="T4" s="3"/>
      <c r="U4" s="3"/>
      <c r="V4" s="3"/>
      <c r="W4" s="3"/>
      <c r="X4" s="3"/>
      <c r="Y4" s="3"/>
      <c r="Z4" s="3"/>
      <c r="AA4" s="3"/>
      <c r="AB4" s="1115"/>
      <c r="AC4" s="1115"/>
      <c r="AD4" s="1115"/>
      <c r="AE4" s="1115"/>
      <c r="AF4" s="1115"/>
    </row>
    <row r="5" spans="1:32" s="75" customFormat="1" ht="23.25" customHeight="1" x14ac:dyDescent="0.3">
      <c r="A5" s="77"/>
      <c r="B5" s="799"/>
      <c r="C5" s="77"/>
      <c r="D5" s="77"/>
      <c r="E5" s="77"/>
      <c r="F5" s="103" t="s">
        <v>642</v>
      </c>
      <c r="G5" s="77"/>
      <c r="H5" s="77"/>
      <c r="I5" s="404"/>
      <c r="J5" s="404"/>
      <c r="K5" s="404"/>
      <c r="L5" s="77"/>
      <c r="M5" s="77"/>
      <c r="N5" s="342"/>
      <c r="O5" s="77"/>
      <c r="P5" s="404"/>
      <c r="Q5" s="404"/>
      <c r="R5" s="3"/>
      <c r="S5" s="3"/>
      <c r="T5" s="3"/>
      <c r="U5" s="3"/>
      <c r="V5" s="3"/>
      <c r="W5" s="3"/>
      <c r="X5" s="3"/>
      <c r="Y5" s="3"/>
      <c r="Z5" s="3"/>
      <c r="AA5" s="3"/>
    </row>
    <row r="6" spans="1:32" s="75" customFormat="1" ht="6.75" customHeight="1" x14ac:dyDescent="0.3">
      <c r="A6" s="77"/>
      <c r="B6" s="799"/>
      <c r="C6" s="77"/>
      <c r="D6" s="77"/>
      <c r="E6" s="77"/>
      <c r="F6" s="103"/>
      <c r="G6" s="77"/>
      <c r="H6" s="77"/>
      <c r="I6" s="404"/>
      <c r="J6" s="404"/>
      <c r="K6" s="404"/>
      <c r="L6" s="77"/>
      <c r="M6" s="77"/>
      <c r="N6" s="342"/>
      <c r="O6" s="77"/>
      <c r="P6" s="404"/>
      <c r="Q6" s="404"/>
      <c r="R6" s="3"/>
      <c r="S6" s="3"/>
      <c r="T6" s="3"/>
      <c r="U6" s="3"/>
      <c r="V6" s="3"/>
      <c r="W6" s="3"/>
      <c r="X6" s="3"/>
      <c r="Y6" s="3"/>
      <c r="Z6" s="3"/>
      <c r="AA6" s="3"/>
    </row>
    <row r="7" spans="1:32" s="9" customFormat="1" ht="20.7" customHeight="1" x14ac:dyDescent="0.25">
      <c r="A7" s="1"/>
      <c r="B7" s="243"/>
      <c r="C7" s="1"/>
      <c r="D7" s="1213" t="s">
        <v>643</v>
      </c>
      <c r="E7" s="727"/>
      <c r="F7" s="727"/>
      <c r="G7" s="1154"/>
      <c r="H7" s="727"/>
      <c r="I7" s="727"/>
      <c r="J7" s="727"/>
      <c r="K7" s="1149"/>
      <c r="L7" s="1"/>
      <c r="M7" s="1"/>
      <c r="N7" s="236"/>
      <c r="O7" s="1"/>
      <c r="P7" s="1"/>
      <c r="Q7" s="1"/>
      <c r="R7" s="3"/>
      <c r="S7" s="3"/>
      <c r="T7" s="3"/>
      <c r="U7" s="3"/>
      <c r="V7" s="3"/>
      <c r="W7" s="3"/>
      <c r="X7" s="3"/>
      <c r="Y7" s="3"/>
      <c r="Z7" s="3"/>
      <c r="AA7" s="3"/>
    </row>
    <row r="8" spans="1:32" s="9" customFormat="1" ht="20.7" customHeight="1" x14ac:dyDescent="0.25">
      <c r="A8" s="1"/>
      <c r="B8" s="243"/>
      <c r="C8" s="1"/>
      <c r="D8" s="405" t="s">
        <v>644</v>
      </c>
      <c r="E8" s="1"/>
      <c r="F8" s="1"/>
      <c r="G8" s="111"/>
      <c r="H8" s="1"/>
      <c r="I8" s="1"/>
      <c r="J8" s="1"/>
      <c r="K8" s="161"/>
      <c r="L8" s="1"/>
      <c r="M8" s="1"/>
      <c r="N8" s="236"/>
      <c r="O8" s="1"/>
      <c r="P8" s="362"/>
      <c r="Q8" s="1"/>
      <c r="R8" s="3"/>
      <c r="S8" s="3"/>
      <c r="T8" s="3"/>
      <c r="U8" s="3"/>
      <c r="V8" s="3"/>
      <c r="W8" s="3"/>
      <c r="X8" s="3"/>
      <c r="Y8" s="3"/>
      <c r="Z8" s="3"/>
      <c r="AA8" s="3"/>
    </row>
    <row r="9" spans="1:32" s="9" customFormat="1" ht="20.7" customHeight="1" x14ac:dyDescent="0.25">
      <c r="A9" s="1"/>
      <c r="B9" s="243"/>
      <c r="C9" s="1"/>
      <c r="D9" s="405" t="s">
        <v>645</v>
      </c>
      <c r="E9" s="1"/>
      <c r="F9" s="1"/>
      <c r="G9" s="111"/>
      <c r="H9" s="1"/>
      <c r="I9" s="1"/>
      <c r="J9" s="1"/>
      <c r="K9" s="161"/>
      <c r="L9" s="1"/>
      <c r="M9" s="1"/>
      <c r="N9" s="236"/>
      <c r="O9" s="1"/>
      <c r="P9" s="362"/>
      <c r="Q9" s="1"/>
      <c r="R9" s="3"/>
      <c r="S9" s="3"/>
      <c r="T9" s="3"/>
      <c r="U9" s="3"/>
      <c r="V9" s="3"/>
      <c r="W9" s="3"/>
      <c r="X9" s="3"/>
      <c r="Y9" s="3"/>
      <c r="Z9" s="3"/>
      <c r="AA9" s="3"/>
    </row>
    <row r="10" spans="1:32" s="9" customFormat="1" ht="20.7" customHeight="1" x14ac:dyDescent="0.25">
      <c r="A10" s="1"/>
      <c r="B10" s="243"/>
      <c r="C10" s="1"/>
      <c r="D10" s="328" t="s">
        <v>646</v>
      </c>
      <c r="E10" s="406"/>
      <c r="F10" s="406"/>
      <c r="G10" s="312"/>
      <c r="H10" s="406"/>
      <c r="I10" s="406"/>
      <c r="J10" s="406"/>
      <c r="K10" s="162"/>
      <c r="L10" s="1"/>
      <c r="M10" s="1"/>
      <c r="N10" s="236"/>
      <c r="O10" s="1"/>
      <c r="P10" s="362"/>
      <c r="Q10" s="1"/>
      <c r="R10" s="3"/>
      <c r="S10" s="3"/>
      <c r="T10" s="3"/>
      <c r="U10" s="3"/>
      <c r="V10" s="3"/>
      <c r="W10" s="3"/>
      <c r="X10" s="3"/>
      <c r="Y10" s="3"/>
      <c r="Z10" s="3"/>
      <c r="AA10" s="3"/>
    </row>
    <row r="11" spans="1:32" s="9" customFormat="1" ht="18" customHeight="1" x14ac:dyDescent="0.25">
      <c r="A11" s="1"/>
      <c r="B11" s="243"/>
      <c r="C11" s="111" t="s">
        <v>647</v>
      </c>
      <c r="D11" s="1"/>
      <c r="E11" s="1"/>
      <c r="F11" s="1"/>
      <c r="G11" s="1"/>
      <c r="H11" s="1"/>
      <c r="I11" s="1"/>
      <c r="J11" s="1"/>
      <c r="K11" s="1"/>
      <c r="L11" s="1"/>
      <c r="M11" s="1"/>
      <c r="N11" s="236"/>
      <c r="O11" s="1"/>
      <c r="P11" s="362"/>
      <c r="Q11" s="1"/>
      <c r="R11" s="3"/>
      <c r="S11" s="3"/>
      <c r="T11" s="3"/>
      <c r="U11" s="3"/>
      <c r="V11" s="3"/>
      <c r="W11" s="3"/>
      <c r="X11" s="3"/>
      <c r="Y11" s="3"/>
      <c r="Z11" s="3"/>
      <c r="AA11" s="3"/>
    </row>
    <row r="12" spans="1:32" ht="19.5" customHeight="1" x14ac:dyDescent="0.25">
      <c r="A12" s="3"/>
      <c r="B12" s="212"/>
      <c r="C12" s="3"/>
      <c r="D12" s="3"/>
      <c r="E12" s="151"/>
      <c r="F12" s="151"/>
      <c r="G12" s="120"/>
      <c r="H12" s="120"/>
      <c r="I12" s="3"/>
      <c r="J12" s="3"/>
      <c r="K12" s="407"/>
      <c r="L12" s="407"/>
      <c r="M12" s="407"/>
      <c r="N12" s="442"/>
      <c r="O12" s="80"/>
      <c r="P12" s="80"/>
      <c r="Q12" s="151"/>
      <c r="R12" s="3"/>
      <c r="S12" s="3"/>
      <c r="T12" s="3"/>
      <c r="U12" s="3"/>
      <c r="V12" s="3"/>
      <c r="W12" s="3"/>
      <c r="X12" s="3"/>
      <c r="Y12" s="3"/>
      <c r="Z12" s="3"/>
      <c r="AA12" s="3"/>
      <c r="AB12"/>
      <c r="AC12"/>
      <c r="AD12"/>
      <c r="AE12"/>
      <c r="AF12"/>
    </row>
    <row r="13" spans="1:32" ht="12" x14ac:dyDescent="0.25">
      <c r="A13" s="3"/>
      <c r="B13" s="212"/>
      <c r="C13" s="2" t="s">
        <v>648</v>
      </c>
      <c r="D13" s="3"/>
      <c r="E13" s="617" t="s">
        <v>246</v>
      </c>
      <c r="F13" s="151"/>
      <c r="G13" s="120"/>
      <c r="H13" s="120"/>
      <c r="I13" s="431" t="str">
        <f>"If your councils' name is not in the list, please enter it in cell E"&amp;ROW(C14)</f>
        <v>If your councils' name is not in the list, please enter it in cell E14</v>
      </c>
      <c r="J13" s="407"/>
      <c r="K13" s="407"/>
      <c r="L13" s="407"/>
      <c r="M13" s="407"/>
      <c r="N13" s="442"/>
      <c r="O13" s="80"/>
      <c r="P13" s="80"/>
      <c r="Q13" s="151"/>
      <c r="R13" s="3"/>
      <c r="S13" s="3"/>
      <c r="T13" s="3"/>
      <c r="U13" s="3"/>
      <c r="V13" s="3"/>
      <c r="W13" s="3"/>
      <c r="X13" s="3"/>
      <c r="Y13" s="3"/>
      <c r="Z13" s="3"/>
      <c r="AA13" s="3"/>
      <c r="AB13"/>
      <c r="AC13"/>
      <c r="AD13"/>
      <c r="AE13"/>
      <c r="AF13"/>
    </row>
    <row r="14" spans="1:32" ht="12" x14ac:dyDescent="0.25">
      <c r="A14" s="3"/>
      <c r="B14" s="212"/>
      <c r="C14" s="3" t="s">
        <v>649</v>
      </c>
      <c r="D14" s="3"/>
      <c r="E14" s="617" t="s">
        <v>650</v>
      </c>
      <c r="F14" s="151"/>
      <c r="G14" s="120"/>
      <c r="H14" s="120"/>
      <c r="J14" s="407"/>
      <c r="K14" s="407"/>
      <c r="L14" s="407"/>
      <c r="M14" s="407"/>
      <c r="N14" s="442"/>
      <c r="O14" s="80"/>
      <c r="Q14" s="151"/>
      <c r="R14" s="3"/>
      <c r="S14" s="3"/>
      <c r="T14" s="3"/>
      <c r="U14" s="3"/>
      <c r="V14" s="3"/>
      <c r="W14" s="3"/>
      <c r="X14" s="3"/>
      <c r="Y14" s="3"/>
      <c r="Z14" s="3"/>
      <c r="AA14" s="3"/>
      <c r="AB14"/>
      <c r="AC14"/>
      <c r="AD14"/>
      <c r="AE14"/>
      <c r="AF14"/>
    </row>
    <row r="15" spans="1:32" ht="3.75" customHeight="1" x14ac:dyDescent="0.25">
      <c r="A15" s="3"/>
      <c r="B15" s="212"/>
      <c r="C15" s="3"/>
      <c r="D15" s="3"/>
      <c r="E15" s="3"/>
      <c r="F15" s="151"/>
      <c r="G15" s="120"/>
      <c r="H15" s="120"/>
      <c r="I15" s="407"/>
      <c r="J15" s="3"/>
      <c r="K15" s="3"/>
      <c r="L15" s="3"/>
      <c r="M15" s="3"/>
      <c r="N15" s="214"/>
      <c r="O15" s="3"/>
      <c r="P15" s="3"/>
      <c r="Q15" s="3"/>
      <c r="R15" s="3"/>
      <c r="S15" s="3"/>
      <c r="T15" s="3"/>
      <c r="U15" s="3"/>
      <c r="V15" s="3"/>
      <c r="W15" s="3"/>
      <c r="X15" s="3"/>
      <c r="Y15" s="3"/>
      <c r="Z15" s="3"/>
      <c r="AA15" s="3"/>
      <c r="AB15"/>
      <c r="AC15"/>
      <c r="AD15"/>
      <c r="AE15"/>
      <c r="AF15"/>
    </row>
    <row r="16" spans="1:32" ht="13.5" customHeight="1" x14ac:dyDescent="0.25">
      <c r="A16" s="3"/>
      <c r="B16" s="212"/>
      <c r="C16" s="2" t="s">
        <v>651</v>
      </c>
      <c r="D16" s="3"/>
      <c r="E16" s="3"/>
      <c r="F16" s="151"/>
      <c r="G16" s="120"/>
      <c r="H16" s="120"/>
      <c r="I16" s="407"/>
      <c r="J16" s="3"/>
      <c r="K16" s="3"/>
      <c r="L16" s="3"/>
      <c r="M16" s="3"/>
      <c r="N16" s="214"/>
      <c r="O16" s="3"/>
      <c r="P16" s="3"/>
      <c r="Q16" s="3"/>
      <c r="R16" s="3"/>
      <c r="S16" s="3"/>
      <c r="T16" s="3"/>
      <c r="U16" s="3"/>
      <c r="V16" s="3"/>
      <c r="W16" s="3"/>
      <c r="X16" s="3"/>
      <c r="Y16" s="3"/>
      <c r="Z16" s="3"/>
      <c r="AA16" s="3"/>
      <c r="AB16"/>
      <c r="AC16"/>
      <c r="AD16"/>
      <c r="AE16"/>
      <c r="AF16"/>
    </row>
    <row r="17" spans="1:27" customFormat="1" ht="12" x14ac:dyDescent="0.25">
      <c r="A17" s="3"/>
      <c r="B17" s="212"/>
      <c r="C17" s="2" t="s">
        <v>652</v>
      </c>
      <c r="D17" s="3"/>
      <c r="E17" s="618" t="s">
        <v>650</v>
      </c>
      <c r="F17" s="3"/>
      <c r="G17" s="3"/>
      <c r="H17" s="3"/>
      <c r="I17" s="407"/>
      <c r="J17" s="3"/>
      <c r="K17" s="3"/>
      <c r="L17" s="3"/>
      <c r="M17" s="3"/>
      <c r="N17" s="214"/>
      <c r="O17" s="3"/>
      <c r="P17" s="3"/>
      <c r="Q17" s="3"/>
      <c r="R17" s="3"/>
      <c r="S17" s="3"/>
      <c r="T17" s="3"/>
      <c r="U17" s="3"/>
      <c r="V17" s="3"/>
      <c r="W17" s="3"/>
      <c r="X17" s="3"/>
      <c r="Y17" s="3"/>
      <c r="Z17" s="3"/>
      <c r="AA17" s="3"/>
    </row>
    <row r="18" spans="1:27" customFormat="1" ht="12" x14ac:dyDescent="0.25">
      <c r="A18" s="3"/>
      <c r="B18" s="212"/>
      <c r="C18" s="2" t="s">
        <v>653</v>
      </c>
      <c r="D18" s="3"/>
      <c r="E18" s="618" t="s">
        <v>654</v>
      </c>
      <c r="F18" s="3"/>
      <c r="G18" s="3"/>
      <c r="H18" s="3"/>
      <c r="I18" s="407"/>
      <c r="J18" s="3"/>
      <c r="K18" s="3"/>
      <c r="L18" s="3"/>
      <c r="M18" s="3"/>
      <c r="N18" s="214"/>
      <c r="O18" s="3"/>
      <c r="P18" s="3"/>
      <c r="Q18" s="3"/>
      <c r="R18" s="3"/>
      <c r="S18" s="3"/>
      <c r="T18" s="3"/>
      <c r="U18" s="3"/>
      <c r="V18" s="3"/>
      <c r="W18" s="3"/>
      <c r="X18" s="3"/>
      <c r="Y18" s="3"/>
      <c r="Z18" s="3"/>
      <c r="AA18" s="3"/>
    </row>
    <row r="19" spans="1:27" customFormat="1" ht="12" x14ac:dyDescent="0.25">
      <c r="A19" s="3"/>
      <c r="B19" s="212"/>
      <c r="C19" s="2" t="s">
        <v>655</v>
      </c>
      <c r="D19" s="3"/>
      <c r="E19" s="831" t="s">
        <v>656</v>
      </c>
      <c r="F19" s="3"/>
      <c r="G19" s="3"/>
      <c r="H19" s="3"/>
      <c r="I19" s="407"/>
      <c r="J19" s="3"/>
      <c r="K19" s="3"/>
      <c r="L19" s="3"/>
      <c r="M19" s="3"/>
      <c r="N19" s="214"/>
      <c r="O19" s="3"/>
      <c r="P19" s="3"/>
      <c r="Q19" s="3"/>
      <c r="R19" s="3"/>
      <c r="S19" s="3"/>
      <c r="T19" s="3"/>
      <c r="U19" s="3"/>
      <c r="V19" s="3"/>
      <c r="W19" s="3"/>
      <c r="X19" s="3"/>
      <c r="Y19" s="3"/>
      <c r="Z19" s="3"/>
      <c r="AA19" s="3"/>
    </row>
    <row r="20" spans="1:27" customFormat="1" ht="12.75" customHeight="1" x14ac:dyDescent="0.25">
      <c r="A20" s="3"/>
      <c r="B20" s="212"/>
      <c r="C20" s="2" t="s">
        <v>657</v>
      </c>
      <c r="D20" s="3"/>
      <c r="E20" s="618" t="s">
        <v>658</v>
      </c>
      <c r="F20" s="3"/>
      <c r="G20" s="3"/>
      <c r="H20" s="3"/>
      <c r="I20" s="407"/>
      <c r="J20" s="3"/>
      <c r="K20" s="3"/>
      <c r="L20" s="3"/>
      <c r="M20" s="3"/>
      <c r="N20" s="214"/>
      <c r="O20" s="3"/>
      <c r="P20" s="3"/>
      <c r="Q20" s="3"/>
      <c r="R20" s="3"/>
      <c r="S20" s="3"/>
      <c r="T20" s="3"/>
      <c r="U20" s="3"/>
      <c r="V20" s="3"/>
      <c r="W20" s="3"/>
      <c r="X20" s="3"/>
      <c r="Y20" s="3"/>
      <c r="Z20" s="3"/>
      <c r="AA20" s="3"/>
    </row>
    <row r="21" spans="1:27" customFormat="1" ht="12" x14ac:dyDescent="0.25">
      <c r="A21" s="3"/>
      <c r="B21" s="212"/>
      <c r="C21" s="76" t="s">
        <v>659</v>
      </c>
      <c r="D21" s="3"/>
      <c r="E21" s="3"/>
      <c r="F21" s="2"/>
      <c r="G21" s="3"/>
      <c r="H21" s="2"/>
      <c r="I21" s="2"/>
      <c r="J21" s="77"/>
      <c r="K21" s="800"/>
      <c r="L21" s="3"/>
      <c r="M21" s="2"/>
      <c r="N21" s="214"/>
      <c r="O21" s="3"/>
      <c r="P21" s="3"/>
      <c r="Q21" s="3"/>
      <c r="R21" s="3"/>
      <c r="S21" s="3"/>
      <c r="T21" s="3"/>
      <c r="U21" s="3"/>
      <c r="V21" s="3"/>
      <c r="W21" s="3"/>
      <c r="X21" s="3"/>
      <c r="Y21" s="3"/>
      <c r="Z21" s="3"/>
      <c r="AA21" s="3"/>
    </row>
    <row r="22" spans="1:27" customFormat="1" ht="12" x14ac:dyDescent="0.25">
      <c r="A22" s="3"/>
      <c r="B22" s="212"/>
      <c r="C22" s="1"/>
      <c r="D22" s="3"/>
      <c r="E22" s="3"/>
      <c r="F22" s="2"/>
      <c r="G22" s="3"/>
      <c r="H22" s="2"/>
      <c r="I22" s="2"/>
      <c r="J22" s="77"/>
      <c r="K22" s="800"/>
      <c r="L22" s="3"/>
      <c r="M22" s="2"/>
      <c r="N22" s="214"/>
      <c r="O22" s="3"/>
      <c r="P22" s="3"/>
      <c r="Q22" s="3"/>
      <c r="R22" s="3"/>
      <c r="S22" s="3"/>
      <c r="T22" s="3"/>
      <c r="U22" s="3"/>
      <c r="V22" s="3"/>
      <c r="W22" s="3"/>
      <c r="X22" s="3"/>
      <c r="Y22" s="3"/>
      <c r="Z22" s="3"/>
      <c r="AA22" s="3"/>
    </row>
    <row r="23" spans="1:27" customFormat="1" ht="13.8" x14ac:dyDescent="0.25">
      <c r="A23" s="3"/>
      <c r="B23" s="212"/>
      <c r="C23" s="408" t="s">
        <v>660</v>
      </c>
      <c r="D23" s="3"/>
      <c r="E23" s="3"/>
      <c r="F23" s="2"/>
      <c r="G23" s="3"/>
      <c r="H23" s="2"/>
      <c r="I23" s="2"/>
      <c r="J23" s="77"/>
      <c r="K23" s="77"/>
      <c r="L23" s="3"/>
      <c r="M23" s="2"/>
      <c r="N23" s="214"/>
      <c r="O23" s="3"/>
      <c r="P23" s="3"/>
      <c r="Q23" s="3"/>
      <c r="R23" s="3"/>
      <c r="S23" s="524" t="s">
        <v>95</v>
      </c>
      <c r="T23" s="3"/>
      <c r="U23" s="3"/>
      <c r="V23" s="3"/>
      <c r="W23" s="3"/>
      <c r="X23" s="3"/>
      <c r="Y23" s="3"/>
      <c r="Z23" s="3"/>
      <c r="AA23" s="3"/>
    </row>
    <row r="24" spans="1:27" customFormat="1" ht="12" x14ac:dyDescent="0.25">
      <c r="A24" s="3"/>
      <c r="B24" s="212"/>
      <c r="C24" s="3" t="str">
        <f>"1. Does the council have any existing SV(s) that means it has an increase above the rate peg for any year from "&amp;G56&amp;" ("&amp;G55&amp;") onwards?"</f>
        <v>1. Does the council have any existing SV(s) that means it has an increase above the rate peg for any year from 2023-24 (Year 1) onwards?</v>
      </c>
      <c r="D24" s="3"/>
      <c r="E24" s="3"/>
      <c r="F24" s="2"/>
      <c r="G24" s="3"/>
      <c r="H24" s="2"/>
      <c r="I24" s="2"/>
      <c r="J24" s="77"/>
      <c r="K24" s="734" t="s">
        <v>328</v>
      </c>
      <c r="L24" s="3"/>
      <c r="M24" s="2"/>
      <c r="N24" s="214"/>
      <c r="O24" s="3"/>
      <c r="P24" s="3"/>
      <c r="Q24" s="3"/>
      <c r="R24" s="3"/>
      <c r="S24" s="822">
        <f>IF(K24='WK0 - Input data'!B248,1,2)</f>
        <v>2</v>
      </c>
      <c r="T24" s="3"/>
      <c r="U24" s="3"/>
      <c r="V24" s="3"/>
      <c r="W24" s="3"/>
      <c r="X24" s="3"/>
      <c r="Y24" s="3"/>
      <c r="Z24" s="3"/>
      <c r="AA24" s="3"/>
    </row>
    <row r="25" spans="1:27" customFormat="1" ht="11.7" customHeight="1" x14ac:dyDescent="0.25">
      <c r="A25" s="3"/>
      <c r="B25" s="212"/>
      <c r="C25" s="3"/>
      <c r="D25" s="3"/>
      <c r="E25" s="3"/>
      <c r="F25" s="2"/>
      <c r="G25" s="3"/>
      <c r="H25" s="2"/>
      <c r="I25" s="2"/>
      <c r="J25" s="77"/>
      <c r="K25" s="77"/>
      <c r="L25" s="3"/>
      <c r="M25" s="2"/>
      <c r="N25" s="214"/>
      <c r="O25" s="3"/>
      <c r="P25" s="3"/>
      <c r="Q25" s="3"/>
      <c r="R25" s="3"/>
      <c r="S25" s="823"/>
      <c r="T25" s="3"/>
      <c r="U25" s="3"/>
      <c r="V25" s="3"/>
      <c r="W25" s="3"/>
      <c r="X25" s="3"/>
      <c r="Y25" s="3"/>
      <c r="Z25" s="3"/>
      <c r="AA25" s="3"/>
    </row>
    <row r="26" spans="1:27" customFormat="1" ht="21" customHeight="1" x14ac:dyDescent="0.25">
      <c r="A26" s="3"/>
      <c r="B26" s="212"/>
      <c r="C26" s="408" t="s">
        <v>661</v>
      </c>
      <c r="D26" s="3"/>
      <c r="E26" s="3"/>
      <c r="F26" s="3"/>
      <c r="G26" s="3"/>
      <c r="H26" s="3"/>
      <c r="I26" s="3"/>
      <c r="J26" s="3"/>
      <c r="K26" s="3"/>
      <c r="L26" s="3"/>
      <c r="M26" s="3"/>
      <c r="N26" s="214"/>
      <c r="O26" s="3"/>
      <c r="P26" s="3"/>
      <c r="Q26" s="3"/>
      <c r="R26" s="3"/>
      <c r="S26" s="823"/>
      <c r="T26" s="3"/>
      <c r="U26" s="3"/>
      <c r="V26" s="3"/>
      <c r="W26" s="3"/>
      <c r="X26" s="3"/>
      <c r="Y26" s="3"/>
      <c r="Z26" s="3"/>
      <c r="AA26" s="3"/>
    </row>
    <row r="27" spans="1:27" customFormat="1" ht="1.5" customHeight="1" x14ac:dyDescent="0.2">
      <c r="A27" s="3"/>
      <c r="B27" s="212"/>
      <c r="C27" s="80"/>
      <c r="D27" s="3"/>
      <c r="E27" s="3"/>
      <c r="F27" s="3"/>
      <c r="G27" s="3"/>
      <c r="H27" s="3"/>
      <c r="I27" s="3"/>
      <c r="J27" s="3"/>
      <c r="L27" s="3"/>
      <c r="M27" s="3"/>
      <c r="N27" s="214"/>
      <c r="O27" s="3"/>
      <c r="P27" s="3"/>
      <c r="Q27" s="3"/>
      <c r="R27" s="3"/>
      <c r="S27" s="823"/>
      <c r="T27" s="3"/>
      <c r="U27" s="3"/>
      <c r="V27" s="3"/>
      <c r="W27" s="3"/>
      <c r="X27" s="3"/>
      <c r="Y27" s="3"/>
      <c r="Z27" s="3"/>
      <c r="AA27" s="3"/>
    </row>
    <row r="28" spans="1:27" customFormat="1" x14ac:dyDescent="0.2">
      <c r="A28" s="3"/>
      <c r="B28" s="212"/>
      <c r="C28" s="1" t="s">
        <v>662</v>
      </c>
      <c r="D28" s="3"/>
      <c r="E28" s="3"/>
      <c r="F28" s="3"/>
      <c r="G28" s="3"/>
      <c r="H28" s="3"/>
      <c r="I28" s="3"/>
      <c r="J28" s="77" t="s">
        <v>663</v>
      </c>
      <c r="K28" s="514" t="s">
        <v>319</v>
      </c>
      <c r="L28" s="3"/>
      <c r="M28" s="3"/>
      <c r="N28" s="214"/>
      <c r="O28" s="3"/>
      <c r="P28" s="3"/>
      <c r="Q28" s="3"/>
      <c r="R28" s="3"/>
      <c r="S28" s="824">
        <f>IF(K28="",0,MATCH(K28,'WK0 - Input data'!B228:B229,0))</f>
        <v>2</v>
      </c>
      <c r="T28" s="3"/>
      <c r="U28" s="3"/>
      <c r="V28" s="3"/>
      <c r="W28" s="3"/>
      <c r="X28" s="3"/>
      <c r="Y28" s="3"/>
      <c r="Z28" s="3"/>
      <c r="AA28" s="3"/>
    </row>
    <row r="29" spans="1:27" customFormat="1" ht="12" x14ac:dyDescent="0.25">
      <c r="A29" s="3"/>
      <c r="B29" s="212"/>
      <c r="C29" s="1" t="s">
        <v>664</v>
      </c>
      <c r="D29" s="3"/>
      <c r="E29" s="3"/>
      <c r="F29" s="2"/>
      <c r="G29" s="3"/>
      <c r="H29" s="2"/>
      <c r="I29" s="2"/>
      <c r="J29" s="77" t="s">
        <v>663</v>
      </c>
      <c r="K29" s="514" t="s">
        <v>665</v>
      </c>
      <c r="L29" s="869" t="str">
        <f>IF(AND(S28=1,S29&gt;1),"Error, s508(2) is for one year",IF(AND(S28=2,S29=1),"Please select number of years","ok"))</f>
        <v>ok</v>
      </c>
      <c r="M29" s="2"/>
      <c r="N29" s="214"/>
      <c r="O29" s="3"/>
      <c r="Q29" s="3"/>
      <c r="R29" s="3"/>
      <c r="S29" s="824">
        <f>IF(K29="",0,MATCH(K29,'WK0 - Input data'!E234:E240,0))</f>
        <v>4</v>
      </c>
      <c r="T29" s="3"/>
      <c r="U29" s="3"/>
      <c r="V29" s="3"/>
      <c r="W29" s="3"/>
      <c r="X29" s="3"/>
      <c r="Y29" s="3"/>
      <c r="Z29" s="3"/>
      <c r="AA29" s="3"/>
    </row>
    <row r="30" spans="1:27" customFormat="1" ht="12" x14ac:dyDescent="0.25">
      <c r="A30" s="3"/>
      <c r="B30" s="212"/>
      <c r="C30" s="1" t="s">
        <v>666</v>
      </c>
      <c r="D30" s="3"/>
      <c r="E30" s="3"/>
      <c r="F30" s="2"/>
      <c r="G30" s="3"/>
      <c r="H30" s="2"/>
      <c r="I30" s="2"/>
      <c r="J30" s="77" t="s">
        <v>663</v>
      </c>
      <c r="K30" s="514" t="s">
        <v>324</v>
      </c>
      <c r="L30" s="812"/>
      <c r="M30" s="2"/>
      <c r="N30" s="214"/>
      <c r="O30" s="3"/>
      <c r="P30" s="3"/>
      <c r="Q30" s="3"/>
      <c r="R30" s="3"/>
      <c r="S30" s="823"/>
      <c r="T30" s="3"/>
      <c r="U30" s="3"/>
      <c r="V30" s="3"/>
      <c r="W30" s="3"/>
      <c r="X30" s="3"/>
      <c r="Y30" s="3"/>
      <c r="Z30" s="3"/>
      <c r="AA30" s="3"/>
    </row>
    <row r="31" spans="1:27" customFormat="1" ht="11.25" customHeight="1" x14ac:dyDescent="0.25">
      <c r="A31" s="3"/>
      <c r="B31" s="212"/>
      <c r="C31" s="1" t="s">
        <v>667</v>
      </c>
      <c r="D31" s="3"/>
      <c r="E31" s="3"/>
      <c r="F31" s="2"/>
      <c r="G31" s="3"/>
      <c r="H31" s="2"/>
      <c r="I31" s="2"/>
      <c r="J31" s="77" t="s">
        <v>668</v>
      </c>
      <c r="K31" s="515"/>
      <c r="L31" s="3"/>
      <c r="M31" s="2"/>
      <c r="N31" s="214"/>
      <c r="O31" s="3"/>
      <c r="P31" s="3"/>
      <c r="Q31" s="3"/>
      <c r="R31" s="3"/>
      <c r="S31" s="977">
        <f>IF(S28+S29=0,0,IF(S28=1,1,S29))</f>
        <v>4</v>
      </c>
      <c r="T31" s="3"/>
      <c r="U31" s="3"/>
      <c r="V31" s="3"/>
      <c r="W31" s="3"/>
      <c r="X31" s="3"/>
      <c r="Y31" s="3"/>
      <c r="Z31" s="3"/>
      <c r="AA31" s="3"/>
    </row>
    <row r="32" spans="1:27" customFormat="1" ht="11.25" customHeight="1" x14ac:dyDescent="0.25">
      <c r="A32" s="3"/>
      <c r="B32" s="212"/>
      <c r="C32" s="1" t="str">
        <f>"5. Percentage rate peg for the first year of the SV period ("&amp;$M$3&amp;").  This will autofill with the selection of Council."</f>
        <v>5. Percentage rate peg for the first year of the SV period (2023-24).  This will autofill with the selection of Council.</v>
      </c>
      <c r="D32" s="3"/>
      <c r="E32" s="3"/>
      <c r="F32" s="2"/>
      <c r="G32" s="3"/>
      <c r="H32" s="2"/>
      <c r="I32" s="2"/>
      <c r="J32" s="77"/>
      <c r="K32" s="1054">
        <f>IF(ISBLANK(E13),'WK0 - Input data'!D48,INDEX('WK0 - Input data'!D271:D398,MATCH('WK1 - Identification'!E13,'WK0 - Input data'!B271:B398,0)))</f>
        <v>3.6999999999999998E-2</v>
      </c>
      <c r="L32" s="3"/>
      <c r="M32" s="2"/>
      <c r="N32" s="214"/>
      <c r="O32" s="3"/>
      <c r="P32" s="3"/>
      <c r="Q32" s="3"/>
      <c r="R32" s="3"/>
      <c r="S32" s="1038"/>
      <c r="T32" s="3"/>
      <c r="U32" s="3"/>
      <c r="V32" s="3"/>
      <c r="W32" s="3"/>
      <c r="X32" s="3"/>
      <c r="Y32" s="3"/>
      <c r="Z32" s="3"/>
      <c r="AA32" s="3"/>
    </row>
    <row r="33" spans="1:27" customFormat="1" ht="12" x14ac:dyDescent="0.25">
      <c r="A33" s="3"/>
      <c r="B33" s="212"/>
      <c r="C33" s="1" t="str">
        <f>CHOOSE($S$24,"6. Enter the percentage above the existing full SV (ie, incl rate peg) the council is applying for in the first year ","6. Enter the percentage above the rate peg the council is applying for in the first year")</f>
        <v>6. Enter the percentage above the rate peg the council is applying for in the first year</v>
      </c>
      <c r="D33" s="3"/>
      <c r="E33" s="3"/>
      <c r="F33" s="2"/>
      <c r="G33" s="3"/>
      <c r="H33" s="2"/>
      <c r="I33" s="2"/>
      <c r="J33" s="77" t="s">
        <v>669</v>
      </c>
      <c r="K33" s="810">
        <v>4.8000000000000001E-2</v>
      </c>
      <c r="L33" s="3"/>
      <c r="M33" s="2"/>
      <c r="N33" s="214"/>
      <c r="O33" s="3"/>
      <c r="P33" s="3"/>
      <c r="Q33" s="3"/>
      <c r="R33" s="3"/>
      <c r="S33" s="3"/>
      <c r="T33" s="3"/>
      <c r="U33" s="3"/>
      <c r="V33" s="3"/>
      <c r="W33" s="3"/>
      <c r="X33" s="3"/>
      <c r="Y33" s="3"/>
      <c r="Z33" s="3"/>
      <c r="AA33" s="3"/>
    </row>
    <row r="34" spans="1:27" customFormat="1" ht="12" x14ac:dyDescent="0.25">
      <c r="A34" s="3"/>
      <c r="B34" s="212"/>
      <c r="C34" s="958" t="str">
        <f>IF($S$35=1,"        - percentage of the Combined SV that this temporary","       na - ignore this row")</f>
        <v xml:space="preserve">       na - ignore this row</v>
      </c>
      <c r="D34" s="3"/>
      <c r="E34" s="3"/>
      <c r="F34" s="2"/>
      <c r="G34" s="3"/>
      <c r="H34" s="2"/>
      <c r="I34" s="2"/>
      <c r="J34" s="77" t="str">
        <f>IF($K$30='WK0 - Input data'!$B$245,"enter %","na - ignore")</f>
        <v>na - ignore</v>
      </c>
      <c r="K34" s="810"/>
      <c r="L34" s="3"/>
      <c r="M34" s="2"/>
      <c r="N34" s="214"/>
      <c r="O34" s="3"/>
      <c r="P34" s="3"/>
      <c r="Q34" s="3"/>
      <c r="R34" s="3"/>
      <c r="S34" s="524" t="s">
        <v>95</v>
      </c>
      <c r="T34" s="3"/>
      <c r="U34" s="3"/>
      <c r="V34" s="3"/>
      <c r="W34" s="3"/>
      <c r="X34" s="3"/>
      <c r="Y34" s="3"/>
      <c r="Z34" s="3"/>
      <c r="AA34" s="3"/>
    </row>
    <row r="35" spans="1:27" customFormat="1" ht="12" x14ac:dyDescent="0.25">
      <c r="A35" s="3"/>
      <c r="B35" s="212"/>
      <c r="C35" s="958" t="str">
        <f>IF($S$35=1,"        - percentage of the Combined SV that this permanent","       na - ignore this row")</f>
        <v xml:space="preserve">       na - ignore this row</v>
      </c>
      <c r="D35" s="3"/>
      <c r="E35" s="3"/>
      <c r="F35" s="2"/>
      <c r="G35" s="3"/>
      <c r="H35" s="2"/>
      <c r="I35" s="2"/>
      <c r="J35" s="77" t="s">
        <v>7</v>
      </c>
      <c r="K35" s="957">
        <f>IF(K30='WK0 - Input data'!$B$245,K33-K34,0)</f>
        <v>0</v>
      </c>
      <c r="L35" s="3"/>
      <c r="M35" s="2"/>
      <c r="N35" s="214"/>
      <c r="O35" s="3"/>
      <c r="P35" s="3"/>
      <c r="R35" s="3"/>
      <c r="S35" s="978">
        <f>IF(K30='WK0 - Input data'!$B$245,1,2)</f>
        <v>2</v>
      </c>
      <c r="T35" s="3"/>
      <c r="U35" s="3"/>
      <c r="V35" s="3"/>
      <c r="W35" s="3"/>
      <c r="X35" s="3"/>
      <c r="Y35" s="3"/>
      <c r="Z35" s="3"/>
      <c r="AA35" s="3"/>
    </row>
    <row r="36" spans="1:27" customFormat="1" ht="12" x14ac:dyDescent="0.25">
      <c r="A36" s="3"/>
      <c r="B36" s="212"/>
      <c r="C36" s="3"/>
      <c r="D36" s="3"/>
      <c r="E36" s="3"/>
      <c r="F36" s="2"/>
      <c r="G36" s="3"/>
      <c r="H36" s="2"/>
      <c r="I36" s="2"/>
      <c r="J36" s="77"/>
      <c r="K36" s="77"/>
      <c r="L36" s="3"/>
      <c r="M36" s="2"/>
      <c r="N36" s="214"/>
      <c r="O36" s="3"/>
      <c r="P36" s="3"/>
      <c r="Q36" s="3"/>
      <c r="R36" s="3"/>
      <c r="S36" s="3"/>
      <c r="T36" s="3"/>
      <c r="U36" s="3"/>
      <c r="V36" s="3"/>
      <c r="W36" s="3"/>
      <c r="X36" s="3"/>
      <c r="Y36" s="3"/>
      <c r="Z36" s="3"/>
      <c r="AA36" s="3"/>
    </row>
    <row r="37" spans="1:27" customFormat="1" ht="27" customHeight="1" x14ac:dyDescent="0.25">
      <c r="A37" s="3"/>
      <c r="B37" s="212"/>
      <c r="C37" s="408" t="s">
        <v>670</v>
      </c>
      <c r="D37" s="3"/>
      <c r="E37" s="3"/>
      <c r="F37" s="2"/>
      <c r="G37" s="3"/>
      <c r="H37" s="2"/>
      <c r="I37" s="2"/>
      <c r="J37" s="2"/>
      <c r="K37" s="2"/>
      <c r="L37" s="2"/>
      <c r="M37" s="2"/>
      <c r="N37" s="229"/>
      <c r="O37" s="3"/>
      <c r="P37" s="2"/>
      <c r="Q37" s="2"/>
      <c r="R37" s="3"/>
      <c r="S37" s="3"/>
      <c r="T37" s="3"/>
      <c r="U37" s="3"/>
      <c r="V37" s="3"/>
      <c r="W37" s="3"/>
      <c r="X37" s="3"/>
      <c r="Y37" s="3"/>
      <c r="Z37" s="3"/>
      <c r="AA37" s="3"/>
    </row>
    <row r="38" spans="1:27" customFormat="1" ht="15" customHeight="1" x14ac:dyDescent="0.25">
      <c r="A38" s="3"/>
      <c r="B38" s="212"/>
      <c r="C38" s="3" t="s">
        <v>671</v>
      </c>
      <c r="D38" s="3"/>
      <c r="E38" s="3"/>
      <c r="F38" s="2"/>
      <c r="G38" s="3"/>
      <c r="H38" s="1199"/>
      <c r="I38" s="816" t="s">
        <v>672</v>
      </c>
      <c r="J38" s="816" t="s">
        <v>663</v>
      </c>
      <c r="K38" s="1214" t="s">
        <v>129</v>
      </c>
      <c r="L38" s="2"/>
      <c r="M38" s="2"/>
      <c r="N38" s="214"/>
      <c r="O38" s="3"/>
      <c r="P38" s="3"/>
      <c r="Q38" s="377"/>
      <c r="R38" s="3"/>
      <c r="S38" s="3"/>
      <c r="T38" s="3"/>
      <c r="U38" s="3"/>
      <c r="V38" s="3"/>
      <c r="W38" s="3"/>
      <c r="X38" s="3"/>
      <c r="Y38" s="3"/>
      <c r="Z38" s="3"/>
      <c r="AA38" s="3"/>
    </row>
    <row r="39" spans="1:27" customFormat="1" ht="15" customHeight="1" x14ac:dyDescent="0.25">
      <c r="A39" s="3"/>
      <c r="B39" s="212"/>
      <c r="C39" s="3"/>
      <c r="D39" s="3"/>
      <c r="E39" s="3"/>
      <c r="F39" s="2"/>
      <c r="G39" s="3"/>
      <c r="H39" s="97"/>
      <c r="I39" s="414" t="s">
        <v>673</v>
      </c>
      <c r="J39" s="414" t="s">
        <v>663</v>
      </c>
      <c r="K39" s="163" t="s">
        <v>129</v>
      </c>
      <c r="L39" s="2"/>
      <c r="M39" s="2"/>
      <c r="N39" s="214"/>
      <c r="O39" s="3"/>
      <c r="P39" s="3"/>
      <c r="Q39" s="377"/>
      <c r="R39" s="3"/>
      <c r="S39" s="3"/>
      <c r="T39" s="3"/>
      <c r="U39" s="3"/>
      <c r="V39" s="3"/>
      <c r="W39" s="3"/>
      <c r="X39" s="3"/>
      <c r="Y39" s="3"/>
      <c r="Z39" s="3"/>
      <c r="AA39" s="3"/>
    </row>
    <row r="40" spans="1:27" x14ac:dyDescent="0.2">
      <c r="A40" s="3"/>
      <c r="B40" s="212"/>
      <c r="C40" s="3"/>
      <c r="D40" s="3"/>
      <c r="E40" s="3"/>
      <c r="F40" s="3"/>
      <c r="G40" s="3"/>
      <c r="H40" s="3"/>
      <c r="I40" s="3"/>
      <c r="J40" s="3"/>
      <c r="L40" s="3"/>
      <c r="M40" s="3"/>
      <c r="N40" s="214"/>
      <c r="O40" s="3"/>
      <c r="P40" s="3"/>
      <c r="Q40" s="3"/>
      <c r="R40" s="3"/>
      <c r="S40" s="3"/>
      <c r="T40" s="3"/>
      <c r="U40" s="3"/>
      <c r="V40" s="3"/>
      <c r="W40" s="3"/>
      <c r="X40" s="3"/>
      <c r="Y40" s="3"/>
      <c r="Z40" s="3"/>
      <c r="AA40" s="3"/>
    </row>
    <row r="41" spans="1:27" customFormat="1" ht="15" customHeight="1" x14ac:dyDescent="0.25">
      <c r="A41" s="3"/>
      <c r="B41" s="212"/>
      <c r="C41" s="3" t="str">
        <f>"8. If the council has an expiring variation, enter the $ amount expiring in row "&amp;ROW(C73)&amp;" below."</f>
        <v>8. If the council has an expiring variation, enter the $ amount expiring in row 73 below.</v>
      </c>
      <c r="D41" s="3"/>
      <c r="E41" s="3"/>
      <c r="F41" s="2"/>
      <c r="G41" s="2"/>
      <c r="H41" s="2"/>
      <c r="I41" s="2"/>
      <c r="J41" s="2"/>
      <c r="K41" s="2"/>
      <c r="L41" s="2"/>
      <c r="M41" s="2"/>
      <c r="N41" s="214"/>
      <c r="O41" s="3"/>
      <c r="P41" s="3"/>
      <c r="Q41" s="3"/>
      <c r="R41" s="3"/>
      <c r="S41" s="3"/>
      <c r="T41" s="3"/>
      <c r="U41" s="3"/>
      <c r="V41" s="3"/>
      <c r="W41" s="3"/>
      <c r="X41" s="3"/>
      <c r="Y41" s="3"/>
      <c r="Z41" s="3"/>
      <c r="AA41" s="3"/>
    </row>
    <row r="42" spans="1:27" customFormat="1" ht="15.75" customHeight="1" x14ac:dyDescent="0.25">
      <c r="A42" s="3"/>
      <c r="B42" s="212"/>
      <c r="C42" s="3"/>
      <c r="D42" s="3"/>
      <c r="E42" s="3"/>
      <c r="F42" s="2"/>
      <c r="G42" s="2"/>
      <c r="H42" s="2"/>
      <c r="I42" s="2"/>
      <c r="J42" s="2"/>
      <c r="K42" s="2"/>
      <c r="L42" s="2"/>
      <c r="M42" s="2"/>
      <c r="N42" s="214"/>
      <c r="O42" s="3"/>
      <c r="P42" s="3"/>
      <c r="Q42" s="3"/>
      <c r="R42" s="3"/>
      <c r="S42" s="3"/>
      <c r="T42" s="3"/>
      <c r="U42" s="3"/>
      <c r="V42" s="3"/>
      <c r="W42" s="3"/>
      <c r="X42" s="3"/>
      <c r="Y42" s="3"/>
      <c r="Z42" s="3"/>
      <c r="AA42" s="3"/>
    </row>
    <row r="43" spans="1:27" customFormat="1" ht="30" customHeight="1" x14ac:dyDescent="0.25">
      <c r="A43" s="3"/>
      <c r="B43" s="212"/>
      <c r="C43" s="408" t="s">
        <v>674</v>
      </c>
      <c r="D43" s="3"/>
      <c r="E43" s="3"/>
      <c r="F43" s="3"/>
      <c r="G43" s="3"/>
      <c r="H43" s="3"/>
      <c r="I43" s="3"/>
      <c r="J43" s="3"/>
      <c r="K43" s="168" t="s">
        <v>573</v>
      </c>
      <c r="L43" s="820" t="s">
        <v>675</v>
      </c>
      <c r="M43" s="3"/>
      <c r="N43" s="214"/>
      <c r="O43" s="3"/>
      <c r="P43" s="3"/>
      <c r="Q43" s="3"/>
      <c r="R43" s="3"/>
      <c r="S43" s="3"/>
      <c r="T43" s="3"/>
      <c r="U43" s="3"/>
      <c r="V43" s="3"/>
      <c r="W43" s="3"/>
      <c r="X43" s="3"/>
      <c r="Y43" s="3"/>
      <c r="Z43" s="3"/>
      <c r="AA43" s="3"/>
    </row>
    <row r="44" spans="1:27" customFormat="1" ht="12" x14ac:dyDescent="0.25">
      <c r="A44" s="3"/>
      <c r="B44" s="212"/>
      <c r="C44" s="1" t="s">
        <v>676</v>
      </c>
      <c r="D44" s="3"/>
      <c r="E44" s="3"/>
      <c r="F44" s="2"/>
      <c r="G44" s="2"/>
      <c r="H44" s="2"/>
      <c r="I44" s="3"/>
      <c r="J44" s="77" t="s">
        <v>677</v>
      </c>
      <c r="K44" s="156">
        <v>0</v>
      </c>
      <c r="L44" s="157">
        <f>IF('WK2 - Notional General Income'!$M$161-$F$74=0,0,K44/('WK2 - Notional General Income'!$M$161-$F$74))</f>
        <v>0</v>
      </c>
      <c r="N44" s="214"/>
      <c r="O44" s="3"/>
      <c r="P44" s="3"/>
      <c r="Q44" s="3"/>
      <c r="R44" s="3"/>
      <c r="S44" s="3"/>
      <c r="T44" s="3"/>
      <c r="U44" s="3"/>
      <c r="V44" s="3"/>
      <c r="W44" s="3"/>
      <c r="X44" s="3"/>
      <c r="Y44" s="3"/>
      <c r="Z44" s="3"/>
      <c r="AA44" s="3"/>
    </row>
    <row r="45" spans="1:27" customFormat="1" ht="12" x14ac:dyDescent="0.25">
      <c r="A45" s="3"/>
      <c r="B45" s="212"/>
      <c r="C45" s="1" t="s">
        <v>678</v>
      </c>
      <c r="D45" s="3"/>
      <c r="E45" s="3"/>
      <c r="F45" s="2"/>
      <c r="G45" s="2"/>
      <c r="H45" s="2"/>
      <c r="I45" s="3"/>
      <c r="J45" s="77" t="str">
        <f>J44</f>
        <v xml:space="preserve">enter $ </v>
      </c>
      <c r="K45" s="156"/>
      <c r="L45" s="157">
        <f>IF('WK2 - Notional General Income'!$M$161-$F$74=0,0,K45/('WK2 - Notional General Income'!$M$161-$F$74))</f>
        <v>0</v>
      </c>
      <c r="M45" s="2"/>
      <c r="N45" s="214"/>
      <c r="O45" s="3"/>
      <c r="P45" s="3"/>
      <c r="Q45" s="3"/>
      <c r="R45" s="3"/>
      <c r="S45" s="3"/>
      <c r="T45" s="3"/>
      <c r="U45" s="3"/>
      <c r="V45" s="3"/>
      <c r="W45" s="3"/>
      <c r="X45" s="3"/>
      <c r="Y45" s="3"/>
      <c r="Z45" s="3"/>
      <c r="AA45" s="3"/>
    </row>
    <row r="46" spans="1:27" customFormat="1" ht="12" x14ac:dyDescent="0.25">
      <c r="A46" s="3"/>
      <c r="B46" s="212"/>
      <c r="C46" s="3" t="s">
        <v>679</v>
      </c>
      <c r="D46" s="3"/>
      <c r="E46" s="3"/>
      <c r="F46" s="2"/>
      <c r="G46" s="2"/>
      <c r="H46" s="2"/>
      <c r="I46" s="3"/>
      <c r="J46" s="77" t="str">
        <f>J45</f>
        <v xml:space="preserve">enter $ </v>
      </c>
      <c r="K46" s="156"/>
      <c r="L46" s="157">
        <f>IF('WK2 - Notional General Income'!$M$161-$F$74=0,0,K46/('WK2 - Notional General Income'!$M$161-$F$74))</f>
        <v>0</v>
      </c>
      <c r="M46" s="2"/>
      <c r="N46" s="214"/>
      <c r="O46" s="3"/>
      <c r="P46" s="3"/>
      <c r="Q46" s="3"/>
      <c r="R46" s="3"/>
      <c r="S46" s="3"/>
      <c r="T46" s="3"/>
      <c r="U46" s="3"/>
      <c r="V46" s="3"/>
      <c r="W46" s="3"/>
      <c r="X46" s="3"/>
      <c r="Y46" s="3"/>
      <c r="Z46" s="3"/>
      <c r="AA46" s="3"/>
    </row>
    <row r="47" spans="1:27" customFormat="1" ht="12" x14ac:dyDescent="0.25">
      <c r="A47" s="3"/>
      <c r="B47" s="212"/>
      <c r="C47" s="1"/>
      <c r="D47" s="3"/>
      <c r="E47" s="3"/>
      <c r="F47" s="2"/>
      <c r="G47" s="415"/>
      <c r="H47" s="2"/>
      <c r="I47" s="2"/>
      <c r="J47" s="2"/>
      <c r="K47" s="3"/>
      <c r="L47" s="2"/>
      <c r="M47" s="2"/>
      <c r="N47" s="214"/>
      <c r="O47" s="2"/>
      <c r="P47" s="3"/>
      <c r="Q47" s="3"/>
      <c r="R47" s="3"/>
      <c r="S47" s="3"/>
      <c r="T47" s="3"/>
      <c r="U47" s="3"/>
      <c r="V47" s="3"/>
      <c r="W47" s="3"/>
      <c r="X47" s="3"/>
      <c r="Y47" s="3"/>
      <c r="Z47" s="3"/>
      <c r="AA47" s="3"/>
    </row>
    <row r="48" spans="1:27" customFormat="1" ht="12" x14ac:dyDescent="0.25">
      <c r="A48" s="3"/>
      <c r="B48" s="212"/>
      <c r="C48" s="1"/>
      <c r="D48" s="3"/>
      <c r="E48" s="3"/>
      <c r="F48" s="2"/>
      <c r="G48" s="2"/>
      <c r="H48" s="2"/>
      <c r="I48" s="2"/>
      <c r="J48" s="2"/>
      <c r="K48" s="3"/>
      <c r="L48" s="2"/>
      <c r="M48" s="2"/>
      <c r="N48" s="229"/>
      <c r="O48" s="2"/>
      <c r="P48" s="3"/>
      <c r="Q48" s="3"/>
      <c r="R48" s="3"/>
      <c r="S48" s="3"/>
      <c r="T48" s="3"/>
      <c r="U48" s="3"/>
      <c r="V48" s="3"/>
      <c r="W48" s="3"/>
      <c r="X48" s="3"/>
      <c r="Y48" s="3"/>
      <c r="Z48" s="3"/>
      <c r="AA48" s="3"/>
    </row>
    <row r="49" spans="1:27" customFormat="1" ht="15.75" customHeight="1" x14ac:dyDescent="0.25">
      <c r="A49" s="3"/>
      <c r="B49" s="212"/>
      <c r="C49" s="408" t="s">
        <v>680</v>
      </c>
      <c r="D49" s="3"/>
      <c r="E49" s="3"/>
      <c r="F49" s="3"/>
      <c r="G49" s="3"/>
      <c r="H49" s="3"/>
      <c r="I49" s="3"/>
      <c r="J49" s="3"/>
      <c r="K49" s="3"/>
      <c r="L49" s="3"/>
      <c r="M49" s="3"/>
      <c r="N49" s="214"/>
      <c r="O49" s="416"/>
      <c r="P49" s="3"/>
      <c r="Q49" s="3"/>
      <c r="R49" s="3"/>
      <c r="S49" s="3"/>
      <c r="T49" s="3"/>
      <c r="U49" s="3"/>
      <c r="V49" s="3"/>
      <c r="W49" s="3"/>
      <c r="X49" s="3"/>
      <c r="Y49" s="3"/>
      <c r="Z49" s="3"/>
      <c r="AA49" s="3"/>
    </row>
    <row r="50" spans="1:27" customFormat="1" ht="13.5" customHeight="1" x14ac:dyDescent="0.25">
      <c r="A50" s="3"/>
      <c r="B50" s="212"/>
      <c r="C50" s="3" t="s">
        <v>681</v>
      </c>
      <c r="D50" s="3"/>
      <c r="E50" s="2"/>
      <c r="F50" s="3"/>
      <c r="G50" s="3"/>
      <c r="H50" s="3"/>
      <c r="I50" s="3"/>
      <c r="J50" s="3"/>
      <c r="K50" s="3"/>
      <c r="L50" s="3"/>
      <c r="M50" s="3"/>
      <c r="N50" s="214"/>
      <c r="O50" s="9"/>
      <c r="P50" s="3"/>
      <c r="Q50" s="3"/>
      <c r="R50" s="3"/>
      <c r="S50" s="3"/>
      <c r="T50" s="3"/>
      <c r="U50" s="3"/>
      <c r="V50" s="3"/>
      <c r="W50" s="3"/>
      <c r="X50" s="3"/>
      <c r="Y50" s="3"/>
      <c r="Z50" s="3"/>
      <c r="AA50" s="3"/>
    </row>
    <row r="51" spans="1:27" customFormat="1" ht="13.5" customHeight="1" x14ac:dyDescent="0.25">
      <c r="A51" s="3"/>
      <c r="B51" s="212"/>
      <c r="C51" s="3" t="s">
        <v>682</v>
      </c>
      <c r="D51" s="3"/>
      <c r="E51" s="2"/>
      <c r="F51" s="3"/>
      <c r="G51" s="372"/>
      <c r="H51" s="150"/>
      <c r="I51" s="150"/>
      <c r="J51" s="3"/>
      <c r="K51" s="3"/>
      <c r="L51" s="3"/>
      <c r="M51" s="3"/>
      <c r="N51" s="214"/>
      <c r="O51" s="3"/>
      <c r="P51" s="3"/>
      <c r="Q51" s="3"/>
      <c r="R51" s="3"/>
      <c r="S51" s="3"/>
      <c r="T51" s="3"/>
      <c r="U51" s="3"/>
      <c r="V51" s="3"/>
      <c r="W51" s="3"/>
      <c r="X51" s="3"/>
      <c r="Y51" s="3"/>
      <c r="Z51" s="3"/>
      <c r="AA51" s="3"/>
    </row>
    <row r="52" spans="1:27" customFormat="1" ht="13.5" customHeight="1" x14ac:dyDescent="0.25">
      <c r="A52" s="3"/>
      <c r="B52" s="212"/>
      <c r="C52" s="424" t="s">
        <v>683</v>
      </c>
      <c r="D52" s="3"/>
      <c r="E52" s="2"/>
      <c r="F52" s="3"/>
      <c r="G52" s="3"/>
      <c r="H52" s="372"/>
      <c r="I52" s="3"/>
      <c r="J52" s="3"/>
      <c r="K52" s="3"/>
      <c r="L52" s="3"/>
      <c r="M52" s="3"/>
      <c r="N52" s="214"/>
      <c r="O52" s="3"/>
      <c r="P52" s="3"/>
      <c r="Q52" s="3"/>
      <c r="R52" s="3"/>
      <c r="S52" s="3"/>
      <c r="T52" s="3"/>
      <c r="U52" s="3"/>
      <c r="V52" s="3"/>
      <c r="W52" s="3"/>
      <c r="X52" s="3"/>
      <c r="Y52" s="3"/>
      <c r="Z52" s="3"/>
      <c r="AA52" s="3"/>
    </row>
    <row r="53" spans="1:27" customFormat="1" ht="5.25" customHeight="1" x14ac:dyDescent="0.25">
      <c r="A53" s="3"/>
      <c r="B53" s="212"/>
      <c r="C53" s="409"/>
      <c r="D53" s="3"/>
      <c r="E53" s="2"/>
      <c r="F53" s="3"/>
      <c r="G53" s="3"/>
      <c r="H53" s="372"/>
      <c r="I53" s="3"/>
      <c r="J53" s="3"/>
      <c r="K53" s="3"/>
      <c r="L53" s="3"/>
      <c r="M53" s="3"/>
      <c r="N53" s="214"/>
      <c r="O53" s="3"/>
      <c r="P53" s="3"/>
      <c r="Q53" s="3"/>
      <c r="R53" s="3"/>
      <c r="S53" s="3"/>
      <c r="T53" s="3"/>
      <c r="U53" s="3"/>
      <c r="V53" s="3"/>
      <c r="W53" s="3"/>
      <c r="X53" s="3"/>
      <c r="Y53" s="3"/>
      <c r="Z53" s="3"/>
      <c r="AA53" s="3"/>
    </row>
    <row r="54" spans="1:27" customFormat="1" ht="13.5" customHeight="1" thickBot="1" x14ac:dyDescent="0.3">
      <c r="A54" s="3"/>
      <c r="B54" s="212"/>
      <c r="C54" s="2" t="s">
        <v>684</v>
      </c>
      <c r="D54" s="2" t="s">
        <v>685</v>
      </c>
      <c r="E54" s="2"/>
      <c r="F54" s="3"/>
      <c r="G54" s="3"/>
      <c r="H54" s="372"/>
      <c r="I54" s="3"/>
      <c r="J54" s="3"/>
      <c r="K54" s="3"/>
      <c r="L54" s="3"/>
      <c r="M54" s="3"/>
      <c r="N54" s="214"/>
      <c r="O54" s="3"/>
      <c r="P54" s="3"/>
      <c r="Q54" s="3"/>
      <c r="R54" s="3"/>
      <c r="S54" s="3"/>
      <c r="T54" s="3"/>
      <c r="U54" s="3"/>
      <c r="V54" s="3"/>
      <c r="W54" s="3"/>
      <c r="X54" s="3"/>
      <c r="Y54" s="3"/>
      <c r="Z54" s="3"/>
      <c r="AA54" s="3"/>
    </row>
    <row r="55" spans="1:27" customFormat="1" ht="15" customHeight="1" x14ac:dyDescent="0.25">
      <c r="A55" s="3"/>
      <c r="B55" s="212"/>
      <c r="C55" s="425"/>
      <c r="D55" s="425"/>
      <c r="E55" s="425"/>
      <c r="F55" s="426" t="str">
        <f>'WK0 - Input data'!H$55</f>
        <v>Year 0</v>
      </c>
      <c r="G55" s="426" t="str">
        <f>'WK0 - Input data'!I$55</f>
        <v>Year 1</v>
      </c>
      <c r="H55" s="426" t="str">
        <f>'WK0 - Input data'!J$55</f>
        <v>Year 2</v>
      </c>
      <c r="I55" s="426" t="str">
        <f>'WK0 - Input data'!K$55</f>
        <v>Year 3</v>
      </c>
      <c r="J55" s="426" t="str">
        <f>'WK0 - Input data'!L$55</f>
        <v>Year 4</v>
      </c>
      <c r="K55" s="426" t="str">
        <f>'WK0 - Input data'!M$55</f>
        <v>Year 5</v>
      </c>
      <c r="L55" s="426" t="str">
        <f>'WK0 - Input data'!N$55</f>
        <v>Year 6</v>
      </c>
      <c r="M55" s="426" t="str">
        <f>'WK0 - Input data'!O$55</f>
        <v>Year 7</v>
      </c>
      <c r="N55" s="214"/>
      <c r="P55" s="3"/>
      <c r="Q55" s="3"/>
      <c r="R55" s="3"/>
      <c r="S55" s="3"/>
      <c r="T55" s="3"/>
      <c r="U55" s="3"/>
      <c r="V55" s="3"/>
      <c r="W55" s="3"/>
      <c r="X55" s="3"/>
      <c r="Y55" s="3"/>
      <c r="Z55" s="3"/>
      <c r="AA55" s="3"/>
    </row>
    <row r="56" spans="1:27" customFormat="1" ht="15" customHeight="1" x14ac:dyDescent="0.25">
      <c r="A56" s="3"/>
      <c r="B56" s="212"/>
      <c r="C56" s="382" t="str">
        <f>'WK0 - Input data'!B$58</f>
        <v>Financial year</v>
      </c>
      <c r="D56" s="382"/>
      <c r="E56" s="382"/>
      <c r="F56" s="383" t="str">
        <f>'WK0 - Input data'!H$58</f>
        <v>2022-23</v>
      </c>
      <c r="G56" s="383" t="str">
        <f>'WK0 - Input data'!I$58</f>
        <v>2023-24</v>
      </c>
      <c r="H56" s="383" t="str">
        <f>'WK0 - Input data'!J$58</f>
        <v>2024-25</v>
      </c>
      <c r="I56" s="383" t="str">
        <f>'WK0 - Input data'!K$58</f>
        <v>2025-26</v>
      </c>
      <c r="J56" s="383" t="str">
        <f>'WK0 - Input data'!L$58</f>
        <v>2026-27</v>
      </c>
      <c r="K56" s="383" t="str">
        <f>'WK0 - Input data'!M$58</f>
        <v>2027-28</v>
      </c>
      <c r="L56" s="383" t="str">
        <f>'WK0 - Input data'!N$58</f>
        <v>2028-29</v>
      </c>
      <c r="M56" s="383" t="str">
        <f>'WK0 - Input data'!O$58</f>
        <v>2029-30</v>
      </c>
      <c r="N56" s="214"/>
      <c r="O56" s="3"/>
      <c r="P56" s="3"/>
      <c r="Q56" s="3"/>
      <c r="R56" s="3"/>
      <c r="S56" s="3"/>
      <c r="T56" s="3"/>
      <c r="U56" s="3"/>
      <c r="V56" s="3"/>
      <c r="W56" s="3"/>
      <c r="X56" s="3"/>
      <c r="Y56" s="3"/>
      <c r="Z56" s="3"/>
      <c r="AA56" s="3"/>
    </row>
    <row r="57" spans="1:27" customFormat="1" ht="11.25" hidden="1" customHeight="1" outlineLevel="1" x14ac:dyDescent="0.2">
      <c r="A57" s="3"/>
      <c r="B57" s="212"/>
      <c r="C57" s="866" t="s">
        <v>686</v>
      </c>
      <c r="D57" s="3"/>
      <c r="E57" s="3"/>
      <c r="F57" s="875">
        <f t="shared" ref="F57:M57" si="0">IF(VALUE(RIGHT(F55,1))&gt;$S$31,0,1)</f>
        <v>1</v>
      </c>
      <c r="G57" s="875">
        <f t="shared" si="0"/>
        <v>1</v>
      </c>
      <c r="H57" s="875">
        <f t="shared" si="0"/>
        <v>1</v>
      </c>
      <c r="I57" s="875">
        <f t="shared" si="0"/>
        <v>1</v>
      </c>
      <c r="J57" s="875">
        <f t="shared" si="0"/>
        <v>1</v>
      </c>
      <c r="K57" s="875">
        <f t="shared" si="0"/>
        <v>0</v>
      </c>
      <c r="L57" s="875">
        <f t="shared" si="0"/>
        <v>0</v>
      </c>
      <c r="M57" s="875">
        <f t="shared" si="0"/>
        <v>0</v>
      </c>
      <c r="N57" s="214"/>
      <c r="O57" s="3"/>
      <c r="P57" s="3"/>
      <c r="Q57" s="3"/>
      <c r="R57" s="3"/>
      <c r="S57" s="3"/>
      <c r="T57" s="3"/>
      <c r="U57" s="3"/>
      <c r="V57" s="3"/>
      <c r="W57" s="3"/>
      <c r="X57" s="3"/>
      <c r="Y57" s="3"/>
      <c r="Z57" s="3"/>
      <c r="AA57" s="3"/>
    </row>
    <row r="58" spans="1:27" customFormat="1" ht="11.25" hidden="1" customHeight="1" outlineLevel="1" x14ac:dyDescent="0.2">
      <c r="A58" s="3"/>
      <c r="B58" s="212"/>
      <c r="C58" s="410" t="s">
        <v>687</v>
      </c>
      <c r="D58" s="411"/>
      <c r="E58" s="411"/>
      <c r="F58" s="877">
        <f>IF($K$30='WK0 - Input data'!$B$243,1,IF($K$31&lt;VALUE(RIGHT(F55,1)),0,1))</f>
        <v>1</v>
      </c>
      <c r="G58" s="877">
        <f>IF($K$30='WK0 - Input data'!$B$243,1,IF($K$31&lt;VALUE(RIGHT(G55,1)),0,1))</f>
        <v>1</v>
      </c>
      <c r="H58" s="877">
        <f>IF($K$30='WK0 - Input data'!$B$243,1,IF($K$31&lt;VALUE(RIGHT(H55,1)),0,1))</f>
        <v>1</v>
      </c>
      <c r="I58" s="877">
        <f>IF($K$30='WK0 - Input data'!$B$243,1,IF($K$31&lt;VALUE(RIGHT(I55,1)),0,1))</f>
        <v>1</v>
      </c>
      <c r="J58" s="877">
        <f>IF($K$30='WK0 - Input data'!$B$243,1,IF($K$31&lt;VALUE(RIGHT(J55,1)),0,1))</f>
        <v>1</v>
      </c>
      <c r="K58" s="877">
        <f>IF($K$30='WK0 - Input data'!$B$243,1,IF($K$31&lt;VALUE(RIGHT(K55,1)),0,1))</f>
        <v>1</v>
      </c>
      <c r="L58" s="877">
        <f>IF($K$30='WK0 - Input data'!$B$243,1,IF($K$31&lt;VALUE(RIGHT(L55,1)),0,1))</f>
        <v>1</v>
      </c>
      <c r="M58" s="877">
        <f>IF($K$30='WK0 - Input data'!$B$243,1,IF($K$31&lt;VALUE(RIGHT(M55,1)),0,1))</f>
        <v>1</v>
      </c>
      <c r="N58" s="214"/>
      <c r="O58" s="3"/>
      <c r="P58" s="3"/>
      <c r="Q58" s="3"/>
      <c r="R58" s="3"/>
      <c r="S58" s="3"/>
      <c r="T58" s="3"/>
      <c r="U58" s="3"/>
      <c r="V58" s="3"/>
      <c r="W58" s="3"/>
      <c r="X58" s="3"/>
      <c r="Y58" s="3"/>
      <c r="Z58" s="3"/>
      <c r="AA58" s="3"/>
    </row>
    <row r="59" spans="1:27" customFormat="1" ht="15" customHeight="1" collapsed="1" x14ac:dyDescent="0.25">
      <c r="A59" s="3"/>
      <c r="B59" s="212"/>
      <c r="C59" s="412" t="s">
        <v>688</v>
      </c>
      <c r="D59" s="413"/>
      <c r="E59" s="413"/>
      <c r="F59" s="417"/>
      <c r="G59" s="417"/>
      <c r="H59" s="417"/>
      <c r="I59" s="417"/>
      <c r="J59" s="417"/>
      <c r="K59" s="417"/>
      <c r="L59" s="417"/>
      <c r="M59" s="417"/>
      <c r="N59" s="214"/>
      <c r="O59" s="3"/>
      <c r="P59" s="3"/>
      <c r="Q59" s="3"/>
      <c r="R59" s="3"/>
      <c r="S59" s="3"/>
      <c r="T59" s="3"/>
      <c r="U59" s="3"/>
      <c r="V59" s="3"/>
      <c r="W59" s="3"/>
      <c r="X59" s="3"/>
      <c r="Y59" s="3"/>
      <c r="Z59" s="3"/>
      <c r="AA59" s="3"/>
    </row>
    <row r="60" spans="1:27" customFormat="1" ht="15" customHeight="1" x14ac:dyDescent="0.2">
      <c r="A60" s="3"/>
      <c r="B60" s="212"/>
      <c r="C60" s="1" t="str">
        <f>CHOOSE($S$24,"   Enter existing full SV (ie, incl the rate peg) in the years in which it applies","na - leave blank")</f>
        <v>na - leave blank</v>
      </c>
      <c r="D60" s="3"/>
      <c r="E60" s="3"/>
      <c r="F60" s="3"/>
      <c r="G60" s="902">
        <v>8.5000000000000006E-2</v>
      </c>
      <c r="H60" s="902">
        <v>7.4999999999999997E-2</v>
      </c>
      <c r="I60" s="902">
        <v>6.5000000000000002E-2</v>
      </c>
      <c r="J60" s="902">
        <v>5.5E-2</v>
      </c>
      <c r="K60" s="902"/>
      <c r="L60" s="902"/>
      <c r="M60" s="902"/>
      <c r="N60" s="214"/>
      <c r="O60" s="3"/>
      <c r="P60" s="3"/>
      <c r="Q60" s="3"/>
      <c r="R60" s="3"/>
      <c r="S60" s="3"/>
      <c r="T60" s="3"/>
      <c r="U60" s="3"/>
      <c r="V60" s="3"/>
      <c r="W60" s="3"/>
      <c r="X60" s="3"/>
      <c r="Y60" s="3"/>
      <c r="Z60" s="3"/>
      <c r="AA60" s="3"/>
    </row>
    <row r="61" spans="1:27" customFormat="1" ht="9.75" customHeight="1" x14ac:dyDescent="0.25">
      <c r="A61" s="3"/>
      <c r="B61" s="212"/>
      <c r="C61" s="1"/>
      <c r="D61" s="3"/>
      <c r="E61" s="3"/>
      <c r="F61" s="3"/>
      <c r="G61" s="112"/>
      <c r="H61" s="112"/>
      <c r="I61" s="112"/>
      <c r="J61" s="112"/>
      <c r="K61" s="112"/>
      <c r="L61" s="112"/>
      <c r="M61" s="112"/>
      <c r="N61" s="214"/>
      <c r="O61" s="3"/>
      <c r="P61" s="3"/>
      <c r="Q61" s="3"/>
      <c r="R61" s="3"/>
      <c r="S61" s="3"/>
      <c r="T61" s="3"/>
      <c r="U61" s="3"/>
      <c r="V61" s="3"/>
      <c r="W61" s="3"/>
      <c r="X61" s="3"/>
      <c r="Y61" s="3"/>
      <c r="Z61" s="3"/>
      <c r="AA61" s="3"/>
    </row>
    <row r="62" spans="1:27" customFormat="1" ht="15" customHeight="1" x14ac:dyDescent="0.25">
      <c r="A62" s="3"/>
      <c r="B62" s="212"/>
      <c r="C62" s="1" t="s">
        <v>689</v>
      </c>
      <c r="D62" s="3"/>
      <c r="E62" s="3"/>
      <c r="F62" s="112"/>
      <c r="G62" s="979">
        <f>IF(G58=0,0,'WK0 - Input data'!I60)</f>
        <v>3.6999999999999998E-2</v>
      </c>
      <c r="H62" s="252">
        <f>IF(H58=0,0,'WK0 - Input data'!J60)</f>
        <v>2.5000000000000001E-2</v>
      </c>
      <c r="I62" s="252">
        <f>IF(I58=0,0,'WK0 - Input data'!K60)</f>
        <v>2.5000000000000001E-2</v>
      </c>
      <c r="J62" s="252">
        <f>IF(J58=0,0,'WK0 - Input data'!L60)</f>
        <v>2.5000000000000001E-2</v>
      </c>
      <c r="K62" s="252">
        <f>IF(K58=0,0,'WK0 - Input data'!M60)</f>
        <v>2.5000000000000001E-2</v>
      </c>
      <c r="L62" s="252">
        <f>IF(L58=0,0,'WK0 - Input data'!N60)</f>
        <v>2.5000000000000001E-2</v>
      </c>
      <c r="M62" s="252">
        <f>IF(M58=0,0,'WK0 - Input data'!O60)</f>
        <v>2.5000000000000001E-2</v>
      </c>
      <c r="N62" s="214"/>
      <c r="O62" s="3"/>
      <c r="P62" s="3"/>
      <c r="Q62" s="3"/>
      <c r="R62" s="3"/>
      <c r="S62" s="3"/>
      <c r="T62" s="3"/>
      <c r="U62" s="3"/>
      <c r="V62" s="3"/>
      <c r="W62" s="3"/>
      <c r="X62" s="3"/>
      <c r="Y62" s="3"/>
      <c r="Z62" s="3"/>
      <c r="AA62" s="3"/>
    </row>
    <row r="63" spans="1:27" customFormat="1" ht="15.6" customHeight="1" x14ac:dyDescent="0.25">
      <c r="A63" s="3"/>
      <c r="B63" s="212"/>
      <c r="C63" s="76" t="s">
        <v>690</v>
      </c>
      <c r="D63" s="3" t="str">
        <f>CHOOSE($S$24,"existing SV above rate peg"," na")</f>
        <v xml:space="preserve"> na</v>
      </c>
      <c r="E63" s="3"/>
      <c r="F63" s="112"/>
      <c r="G63" s="979">
        <f t="shared" ref="G63:M63" si="1">IF(OR($S$24=2,G60=""),0,G60-G62)</f>
        <v>0</v>
      </c>
      <c r="H63" s="252">
        <f t="shared" si="1"/>
        <v>0</v>
      </c>
      <c r="I63" s="252">
        <f t="shared" si="1"/>
        <v>0</v>
      </c>
      <c r="J63" s="252">
        <f t="shared" si="1"/>
        <v>0</v>
      </c>
      <c r="K63" s="252">
        <f>IF(OR($S$24=2,K60=""),0,K60-K62)</f>
        <v>0</v>
      </c>
      <c r="L63" s="252">
        <f t="shared" si="1"/>
        <v>0</v>
      </c>
      <c r="M63" s="252">
        <f t="shared" si="1"/>
        <v>0</v>
      </c>
      <c r="N63" s="214"/>
      <c r="O63" s="3"/>
      <c r="P63" s="3"/>
      <c r="Q63" s="3"/>
      <c r="R63" s="3"/>
      <c r="S63" s="524" t="s">
        <v>95</v>
      </c>
      <c r="T63" s="3"/>
      <c r="U63" s="3"/>
      <c r="V63" s="3"/>
      <c r="W63" s="3"/>
      <c r="X63" s="3"/>
      <c r="Y63" s="3"/>
      <c r="Z63" s="3"/>
      <c r="AA63" s="3"/>
    </row>
    <row r="64" spans="1:27" customFormat="1" ht="15" customHeight="1" x14ac:dyDescent="0.25">
      <c r="A64" s="3"/>
      <c r="B64" s="212"/>
      <c r="C64" s="76" t="s">
        <v>690</v>
      </c>
      <c r="D64" s="3" t="str">
        <f>$S$64&amp;S65</f>
        <v>percentage above the rate peg</v>
      </c>
      <c r="E64" s="3"/>
      <c r="F64" s="112"/>
      <c r="G64" s="460">
        <f>CHOOSE($S$35,K34,K33)</f>
        <v>4.8000000000000001E-2</v>
      </c>
      <c r="H64" s="252">
        <f>IF(H57=0,0,MAX(0,H67-H62-H63-CHOOSE($S$35,H65,0)))</f>
        <v>4.9999999999999996E-2</v>
      </c>
      <c r="I64" s="252">
        <f t="shared" ref="I64:M64" si="2">IF(I57=0,0,MAX(0,I67-I62-I63-CHOOSE($S$35,I65,0)))</f>
        <v>0.04</v>
      </c>
      <c r="J64" s="252">
        <f t="shared" si="2"/>
        <v>0.03</v>
      </c>
      <c r="K64" s="252">
        <f t="shared" si="2"/>
        <v>0</v>
      </c>
      <c r="L64" s="252">
        <f t="shared" si="2"/>
        <v>0</v>
      </c>
      <c r="M64" s="252">
        <f t="shared" si="2"/>
        <v>0</v>
      </c>
      <c r="N64" s="214"/>
      <c r="O64" s="3"/>
      <c r="P64" s="3"/>
      <c r="Q64" s="3"/>
      <c r="R64" s="3"/>
      <c r="S64" s="980" t="str">
        <f>CHOOSE($S$24,"percentage above the existing full SV (incl rate peg)","percentage above the rate peg")</f>
        <v>percentage above the rate peg</v>
      </c>
      <c r="T64" s="3"/>
      <c r="U64" s="3"/>
      <c r="V64" s="3"/>
      <c r="W64" s="3"/>
      <c r="X64" s="3"/>
      <c r="Y64" s="3"/>
      <c r="Z64" s="3"/>
      <c r="AA64" s="3"/>
    </row>
    <row r="65" spans="1:27" customFormat="1" ht="15" customHeight="1" x14ac:dyDescent="0.25">
      <c r="A65" s="3"/>
      <c r="B65" s="212"/>
      <c r="C65" s="76" t="s">
        <v>690</v>
      </c>
      <c r="D65" s="3" t="str">
        <f>CHOOSE($S$35,$S$64&amp;S66,"na - ignore this row")</f>
        <v>na - ignore this row</v>
      </c>
      <c r="E65" s="3"/>
      <c r="F65" s="112"/>
      <c r="G65" s="960">
        <f>K35</f>
        <v>0</v>
      </c>
      <c r="H65" s="959"/>
      <c r="I65" s="956"/>
      <c r="J65" s="956"/>
      <c r="K65" s="956"/>
      <c r="L65" s="956"/>
      <c r="M65" s="956"/>
      <c r="N65" s="214"/>
      <c r="O65" s="3"/>
      <c r="P65" s="3"/>
      <c r="Q65" s="3"/>
      <c r="R65" s="3"/>
      <c r="S65" s="981" t="str">
        <f>CHOOSE($S$35," that is temporary","")</f>
        <v/>
      </c>
      <c r="T65" s="3"/>
      <c r="U65" s="3"/>
      <c r="V65" s="3"/>
      <c r="W65" s="3"/>
      <c r="X65" s="3"/>
      <c r="Y65" s="3"/>
      <c r="Z65" s="3"/>
      <c r="AA65" s="3"/>
    </row>
    <row r="66" spans="1:27" customFormat="1" ht="15" customHeight="1" x14ac:dyDescent="0.25">
      <c r="A66" s="3"/>
      <c r="B66" s="212"/>
      <c r="C66" s="76" t="str">
        <f>$C$64</f>
        <v xml:space="preserve">     plus</v>
      </c>
      <c r="D66" s="3" t="s">
        <v>691</v>
      </c>
      <c r="E66" s="3"/>
      <c r="F66" s="112"/>
      <c r="G66" s="460">
        <f>L44</f>
        <v>0</v>
      </c>
      <c r="H66" s="832">
        <v>0</v>
      </c>
      <c r="I66" s="832">
        <v>0</v>
      </c>
      <c r="J66" s="832">
        <v>0</v>
      </c>
      <c r="K66" s="832">
        <v>0</v>
      </c>
      <c r="L66" s="832">
        <v>0</v>
      </c>
      <c r="M66" s="832">
        <v>0</v>
      </c>
      <c r="N66" s="214"/>
      <c r="O66" s="3"/>
      <c r="P66" s="3"/>
      <c r="Q66" s="3"/>
      <c r="R66" s="3"/>
      <c r="S66" s="982" t="str">
        <f>CHOOSE($S$35," that is permanent","")</f>
        <v/>
      </c>
      <c r="T66" s="3"/>
      <c r="U66" s="3"/>
      <c r="V66" s="3"/>
      <c r="W66" s="3"/>
      <c r="X66" s="3"/>
      <c r="Y66" s="3"/>
      <c r="Z66" s="3"/>
      <c r="AA66" s="3"/>
    </row>
    <row r="67" spans="1:27" customFormat="1" ht="15" customHeight="1" x14ac:dyDescent="0.25">
      <c r="A67" s="3"/>
      <c r="B67" s="212"/>
      <c r="C67" s="111" t="str">
        <f>CHOOSE($S$24,"   Proposed SV (total proposed and existing SV)","   Proposed SV ")</f>
        <v xml:space="preserve">   Proposed SV </v>
      </c>
      <c r="D67" s="3"/>
      <c r="E67" s="3"/>
      <c r="F67" s="418" t="s">
        <v>129</v>
      </c>
      <c r="G67" s="419">
        <f>SUM(G62:G66)</f>
        <v>8.4999999999999992E-2</v>
      </c>
      <c r="H67" s="811">
        <v>7.4999999999999997E-2</v>
      </c>
      <c r="I67" s="811">
        <v>6.5000000000000002E-2</v>
      </c>
      <c r="J67" s="811">
        <v>5.5E-2</v>
      </c>
      <c r="K67" s="811"/>
      <c r="L67" s="811"/>
      <c r="M67" s="811"/>
      <c r="N67" s="214"/>
      <c r="O67" s="3"/>
      <c r="P67" s="3"/>
      <c r="R67" s="3"/>
      <c r="S67" s="3"/>
      <c r="T67" s="3"/>
      <c r="U67" s="3"/>
      <c r="V67" s="3"/>
      <c r="W67" s="3"/>
      <c r="X67" s="3"/>
      <c r="Y67" s="3"/>
      <c r="Z67" s="3"/>
      <c r="AA67" s="3"/>
    </row>
    <row r="68" spans="1:27" customFormat="1" ht="15" customHeight="1" x14ac:dyDescent="0.25">
      <c r="A68" s="3"/>
      <c r="B68" s="212"/>
      <c r="C68" s="2" t="s">
        <v>692</v>
      </c>
      <c r="D68" s="111"/>
      <c r="E68" s="3"/>
      <c r="F68" s="418"/>
      <c r="G68" s="419"/>
      <c r="H68" s="419"/>
      <c r="I68" s="419"/>
      <c r="J68" s="419"/>
      <c r="K68" s="419"/>
      <c r="L68" s="419"/>
      <c r="M68" s="419"/>
      <c r="N68" s="214"/>
      <c r="O68" s="3"/>
      <c r="P68" s="3"/>
      <c r="Q68" s="3"/>
      <c r="R68" s="3"/>
      <c r="S68" s="3"/>
      <c r="T68" s="3"/>
      <c r="U68" s="3"/>
      <c r="V68" s="3"/>
      <c r="W68" s="3"/>
      <c r="X68" s="3"/>
      <c r="Y68" s="3"/>
      <c r="Z68" s="3"/>
      <c r="AA68" s="3"/>
    </row>
    <row r="69" spans="1:27" customFormat="1" ht="15" customHeight="1" x14ac:dyDescent="0.25">
      <c r="A69" s="3"/>
      <c r="B69" s="212"/>
      <c r="C69" s="3" t="str">
        <f>CHOOSE($S$24,"Exising full SV (including rate peg) followed by rate peg only","Rate peg only")</f>
        <v>Rate peg only</v>
      </c>
      <c r="D69" s="111"/>
      <c r="E69" s="3"/>
      <c r="F69" s="418"/>
      <c r="G69" s="420">
        <f>SUM(G62:G63)</f>
        <v>3.6999999999999998E-2</v>
      </c>
      <c r="H69" s="252">
        <f>IF(H58=0,0,(1+G69)*(1+H62+H63)-1)</f>
        <v>6.2924999999999898E-2</v>
      </c>
      <c r="I69" s="252">
        <f t="shared" ref="I69:M69" si="3">IF(I58=0,0,(1+H69)*(1+I62+I63)-1)</f>
        <v>8.9498124999999762E-2</v>
      </c>
      <c r="J69" s="252">
        <f t="shared" si="3"/>
        <v>0.11673557812499968</v>
      </c>
      <c r="K69" s="252">
        <f t="shared" si="3"/>
        <v>0.14465396757812465</v>
      </c>
      <c r="L69" s="252">
        <f t="shared" si="3"/>
        <v>0.17327031676757776</v>
      </c>
      <c r="M69" s="252">
        <f t="shared" si="3"/>
        <v>0.20260207468676716</v>
      </c>
      <c r="N69" s="214"/>
      <c r="O69" s="3"/>
      <c r="P69" s="3"/>
      <c r="Q69" s="3"/>
      <c r="R69" s="3"/>
      <c r="S69" s="3"/>
      <c r="T69" s="3"/>
      <c r="U69" s="3"/>
      <c r="V69" s="3"/>
      <c r="W69" s="3"/>
      <c r="X69" s="3"/>
      <c r="Y69" s="3"/>
      <c r="Z69" s="3"/>
      <c r="AA69" s="3"/>
    </row>
    <row r="70" spans="1:27" customFormat="1" ht="15" customHeight="1" x14ac:dyDescent="0.2">
      <c r="A70" s="3"/>
      <c r="B70" s="212"/>
      <c r="C70" s="76" t="str">
        <f t="shared" ref="C70" si="4">C64</f>
        <v xml:space="preserve">     plus</v>
      </c>
      <c r="D70" s="3" t="s">
        <v>693</v>
      </c>
      <c r="E70" s="3"/>
      <c r="F70" s="418"/>
      <c r="G70" s="420">
        <f>IF(G64=0,".",G64+CHOOSE($S$35,G65,0))</f>
        <v>4.8000000000000001E-2</v>
      </c>
      <c r="H70" s="252">
        <f>IF(OR(H57=0,H58=0),0,MAX(0,H71-H69))</f>
        <v>0.10345000000000004</v>
      </c>
      <c r="I70" s="252">
        <f t="shared" ref="I70:M70" si="5">IF(I58=0,0,IF(I57=0,0,MAX(0,I71-I69)))</f>
        <v>0.15269125000000017</v>
      </c>
      <c r="J70" s="252">
        <f t="shared" si="5"/>
        <v>0.19377421250000015</v>
      </c>
      <c r="K70" s="252">
        <f t="shared" si="5"/>
        <v>0</v>
      </c>
      <c r="L70" s="252">
        <f t="shared" si="5"/>
        <v>0</v>
      </c>
      <c r="M70" s="252">
        <f t="shared" si="5"/>
        <v>0</v>
      </c>
      <c r="N70" s="214"/>
      <c r="O70" s="3"/>
      <c r="P70" s="3"/>
      <c r="Q70" s="3"/>
      <c r="R70" s="3"/>
      <c r="S70" s="3"/>
      <c r="T70" s="3"/>
      <c r="U70" s="3"/>
      <c r="V70" s="3"/>
      <c r="W70" s="3"/>
      <c r="X70" s="3"/>
      <c r="Y70" s="3"/>
      <c r="Z70" s="3"/>
      <c r="AA70" s="3"/>
    </row>
    <row r="71" spans="1:27" customFormat="1" ht="15" customHeight="1" x14ac:dyDescent="0.25">
      <c r="A71" s="3"/>
      <c r="B71" s="212"/>
      <c r="C71" s="2" t="str">
        <f>C67</f>
        <v xml:space="preserve">   Proposed SV </v>
      </c>
      <c r="D71" s="111"/>
      <c r="E71" s="3"/>
      <c r="F71" s="418" t="s">
        <v>129</v>
      </c>
      <c r="G71" s="421">
        <f>IF(G67=0,".",G67)</f>
        <v>8.4999999999999992E-2</v>
      </c>
      <c r="H71" s="252">
        <f>IF(H58=0,0,IF(H57=0,(1+G71)*(1+H62+H63)-1,(1+G71)*(1+H67)-1))</f>
        <v>0.16637499999999994</v>
      </c>
      <c r="I71" s="252">
        <f>IF(I58=0,0,IF(I57=0,(1+H71)*(1+I62+I63)-1,(1+H71)*(1+I67)-1))</f>
        <v>0.24218937499999993</v>
      </c>
      <c r="J71" s="252">
        <f t="shared" ref="J71:M71" si="6">IF(J58=0,0,IF(J57=0,(1+I71)*(1+J62+J63)-1,(1+I71)*(1+J67)-1))</f>
        <v>0.31050979062499984</v>
      </c>
      <c r="K71" s="252">
        <f t="shared" si="6"/>
        <v>0.34327253539062474</v>
      </c>
      <c r="L71" s="252">
        <f t="shared" si="6"/>
        <v>0.37685434877539015</v>
      </c>
      <c r="M71" s="252">
        <f t="shared" si="6"/>
        <v>0.41127570749477482</v>
      </c>
      <c r="N71" s="214"/>
      <c r="O71" s="3"/>
      <c r="P71" s="3"/>
      <c r="Q71" s="3"/>
      <c r="R71" s="3"/>
      <c r="S71" s="3"/>
      <c r="T71" s="3"/>
      <c r="U71" s="3"/>
      <c r="V71" s="3"/>
      <c r="W71" s="3"/>
      <c r="X71" s="3"/>
      <c r="Y71" s="3"/>
      <c r="Z71" s="3"/>
      <c r="AA71" s="3"/>
    </row>
    <row r="72" spans="1:27" customFormat="1" ht="5.25" customHeight="1" x14ac:dyDescent="0.25">
      <c r="A72" s="3"/>
      <c r="B72" s="212"/>
      <c r="C72" s="427"/>
      <c r="D72" s="411"/>
      <c r="E72" s="411"/>
      <c r="F72" s="411"/>
      <c r="G72" s="459"/>
      <c r="H72" s="459"/>
      <c r="I72" s="459"/>
      <c r="J72" s="459"/>
      <c r="K72" s="459"/>
      <c r="L72" s="459"/>
      <c r="M72" s="459"/>
      <c r="N72" s="214"/>
      <c r="O72" s="3"/>
      <c r="P72" s="3"/>
      <c r="Q72" s="3"/>
      <c r="R72" s="3"/>
      <c r="S72" s="3"/>
      <c r="T72" s="3"/>
      <c r="U72" s="3"/>
      <c r="V72" s="3"/>
      <c r="W72" s="3"/>
      <c r="X72" s="3"/>
      <c r="Y72" s="3"/>
      <c r="Z72" s="3"/>
      <c r="AA72" s="3"/>
    </row>
    <row r="73" spans="1:27" customFormat="1" ht="14.7" customHeight="1" x14ac:dyDescent="0.25">
      <c r="A73" s="3"/>
      <c r="B73" s="212"/>
      <c r="C73" s="111" t="s">
        <v>694</v>
      </c>
      <c r="D73" s="3"/>
      <c r="E73" s="3"/>
      <c r="F73" s="422"/>
      <c r="G73" s="422"/>
      <c r="H73" s="422"/>
      <c r="I73" s="422"/>
      <c r="J73" s="422"/>
      <c r="K73" s="422"/>
      <c r="L73" s="422"/>
      <c r="M73" s="422"/>
      <c r="N73" s="214"/>
      <c r="O73" s="3"/>
      <c r="P73" s="3"/>
      <c r="Q73" s="3"/>
      <c r="R73" s="3"/>
      <c r="S73" s="3"/>
      <c r="T73" s="3"/>
      <c r="U73" s="3"/>
      <c r="V73" s="3"/>
      <c r="W73" s="3"/>
      <c r="X73" s="3"/>
      <c r="Y73" s="3"/>
      <c r="Z73" s="3"/>
      <c r="AA73" s="3"/>
    </row>
    <row r="74" spans="1:27" customFormat="1" ht="15" customHeight="1" x14ac:dyDescent="0.2">
      <c r="A74" s="3"/>
      <c r="B74" s="212"/>
      <c r="C74" s="3" t="s">
        <v>695</v>
      </c>
      <c r="D74" s="3"/>
      <c r="E74" s="3" t="s">
        <v>696</v>
      </c>
      <c r="F74" s="167"/>
      <c r="G74" s="167"/>
      <c r="H74" s="206"/>
      <c r="I74" s="206"/>
      <c r="J74" s="206"/>
      <c r="K74" s="206"/>
      <c r="L74" s="206"/>
      <c r="M74" s="167"/>
      <c r="N74" s="214"/>
      <c r="O74" s="3"/>
      <c r="P74" s="3"/>
      <c r="Q74" s="3"/>
      <c r="R74" s="3"/>
      <c r="S74" s="3"/>
      <c r="T74" s="3"/>
      <c r="U74" s="3"/>
      <c r="V74" s="3"/>
      <c r="W74" s="3"/>
      <c r="X74" s="3"/>
      <c r="Y74" s="3"/>
      <c r="Z74" s="3"/>
      <c r="AA74" s="3"/>
    </row>
    <row r="75" spans="1:27" customFormat="1" ht="15" customHeight="1" x14ac:dyDescent="0.2">
      <c r="A75" s="3"/>
      <c r="B75" s="212"/>
      <c r="C75" s="3" t="s">
        <v>697</v>
      </c>
      <c r="D75" s="3"/>
      <c r="E75" s="3" t="s">
        <v>698</v>
      </c>
      <c r="F75" s="252">
        <f>IF('WK4 - PGI summary'!F58=0,".",F74/'WK4 - PGI summary'!F58)</f>
        <v>0</v>
      </c>
      <c r="G75" s="252">
        <f>IF('WK4 - PGI summary'!G58=0,".",G74/'WK4 - PGI summary'!G58)</f>
        <v>0</v>
      </c>
      <c r="H75" s="252">
        <f>IF('WK4 - PGI summary'!H58=0,".",H74/'WK4 - PGI summary'!H58)</f>
        <v>0</v>
      </c>
      <c r="I75" s="252">
        <f>IF('WK4 - PGI summary'!I58=0,".",I74/'WK4 - PGI summary'!I58)</f>
        <v>0</v>
      </c>
      <c r="J75" s="252">
        <f>IF('WK4 - PGI summary'!J58=0,".",J74/'WK4 - PGI summary'!J58)</f>
        <v>0</v>
      </c>
      <c r="K75" s="252">
        <f>IF('WK4 - PGI summary'!K58=0,".",K74/'WK4 - PGI summary'!K58)</f>
        <v>0</v>
      </c>
      <c r="L75" s="252">
        <f>IF('WK4 - PGI summary'!L58=0,".",L74/'WK4 - PGI summary'!L58)</f>
        <v>0</v>
      </c>
      <c r="M75" s="252">
        <f>IF('WK4 - PGI summary'!M58=0,".",M74/'WK4 - PGI summary'!M58)</f>
        <v>0</v>
      </c>
      <c r="N75" s="214"/>
      <c r="O75" s="3"/>
      <c r="P75" s="3"/>
      <c r="Q75" s="3"/>
      <c r="R75" s="3"/>
      <c r="S75" s="3"/>
      <c r="T75" s="3"/>
      <c r="U75" s="3"/>
      <c r="V75" s="3"/>
      <c r="W75" s="3"/>
      <c r="X75" s="3"/>
      <c r="Y75" s="3"/>
      <c r="Z75" s="3"/>
      <c r="AA75" s="3"/>
    </row>
    <row r="76" spans="1:27" ht="18" customHeight="1" thickBot="1" x14ac:dyDescent="0.25">
      <c r="A76" s="3"/>
      <c r="B76" s="222"/>
      <c r="C76" s="245"/>
      <c r="D76" s="245"/>
      <c r="E76" s="245"/>
      <c r="F76" s="245"/>
      <c r="G76" s="245"/>
      <c r="H76" s="245"/>
      <c r="I76" s="245"/>
      <c r="J76" s="245"/>
      <c r="K76" s="245"/>
      <c r="L76" s="245"/>
      <c r="M76" s="245"/>
      <c r="N76" s="230"/>
      <c r="O76" s="3"/>
      <c r="P76" s="3"/>
      <c r="Q76" s="3"/>
      <c r="R76" s="3"/>
      <c r="S76" s="3"/>
      <c r="T76" s="3"/>
      <c r="U76" s="3"/>
      <c r="V76" s="3"/>
      <c r="W76" s="3"/>
      <c r="X76" s="3"/>
      <c r="Y76" s="3"/>
      <c r="Z76" s="3"/>
      <c r="AA76" s="3"/>
    </row>
    <row r="77" spans="1:27" customFormat="1" x14ac:dyDescent="0.2">
      <c r="A77" s="3"/>
      <c r="B77" s="3"/>
      <c r="C77" s="844"/>
      <c r="D77" s="844"/>
      <c r="E77" s="844"/>
      <c r="F77" s="844"/>
      <c r="G77" s="844"/>
      <c r="H77" s="962"/>
      <c r="I77" s="962"/>
      <c r="J77" s="962"/>
      <c r="K77" s="962"/>
      <c r="L77" s="962"/>
      <c r="M77" s="962"/>
      <c r="N77" s="3"/>
      <c r="O77" s="3"/>
      <c r="P77" s="3"/>
      <c r="Q77" s="3"/>
      <c r="R77" s="3"/>
      <c r="S77" s="3"/>
      <c r="T77" s="3"/>
      <c r="U77" s="3"/>
      <c r="V77" s="3"/>
      <c r="W77" s="3"/>
      <c r="X77" s="3"/>
      <c r="Y77" s="3"/>
      <c r="Z77" s="3"/>
      <c r="AA77" s="3"/>
    </row>
    <row r="78" spans="1:27" customForma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customForma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x14ac:dyDescent="0.2">
      <c r="A80" s="3"/>
      <c r="B80" s="3"/>
      <c r="C80" s="3"/>
      <c r="D80" s="3"/>
      <c r="E80" s="3"/>
      <c r="F80" s="3"/>
      <c r="G80" s="372"/>
      <c r="H80" s="843"/>
      <c r="I80" s="843"/>
      <c r="J80" s="843"/>
      <c r="K80" s="843"/>
      <c r="L80" s="843"/>
      <c r="M80" s="843"/>
      <c r="N80" s="3"/>
      <c r="O80" s="3"/>
      <c r="P80" s="3"/>
      <c r="Q80" s="3"/>
      <c r="R80" s="3"/>
      <c r="S80" s="3"/>
      <c r="T80" s="3"/>
      <c r="U80" s="3"/>
      <c r="V80" s="3"/>
      <c r="W80" s="3"/>
      <c r="X80" s="3"/>
      <c r="Y80" s="3"/>
      <c r="Z80" s="3"/>
      <c r="AA80" s="3"/>
    </row>
    <row r="81" spans="1:27"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row>
  </sheetData>
  <sheetProtection algorithmName="SHA-512" hashValue="hLGVUcJ9fxUmnZWGBf4abTpZsAVV5AXmfz24nETwRIU8EoMsrsWPjUPVI6m1ir8YdMJxOt8sOLB6BhX6F6WT+Q==" saltValue="C4XIW0uJ7KU52CKnTv0Vgg==" spinCount="100000" sheet="1" formatColumns="0" formatRows="0"/>
  <protectedRanges>
    <protectedRange sqref="K38:K39 K21:K22 K28:K34" name="Range4"/>
    <protectedRange sqref="F74:M74" name="Range3"/>
    <protectedRange sqref="K28" name="Range1"/>
    <protectedRange sqref="K29" name="Range2"/>
  </protectedRanges>
  <phoneticPr fontId="3" type="noConversion"/>
  <conditionalFormatting sqref="I69:M69 H70:M70">
    <cfRule type="expression" dxfId="35" priority="23">
      <formula>H$57+H$60=0</formula>
    </cfRule>
  </conditionalFormatting>
  <conditionalFormatting sqref="L29">
    <cfRule type="cellIs" dxfId="34" priority="21" operator="equal">
      <formula>"ok"</formula>
    </cfRule>
  </conditionalFormatting>
  <conditionalFormatting sqref="G62">
    <cfRule type="expression" dxfId="33" priority="20">
      <formula>G$58=0</formula>
    </cfRule>
  </conditionalFormatting>
  <conditionalFormatting sqref="H69">
    <cfRule type="expression" dxfId="32" priority="17">
      <formula>H$57+H$60=0</formula>
    </cfRule>
  </conditionalFormatting>
  <conditionalFormatting sqref="I71:M71">
    <cfRule type="expression" dxfId="31" priority="15">
      <formula>I$57+I$60=0</formula>
    </cfRule>
  </conditionalFormatting>
  <conditionalFormatting sqref="H71">
    <cfRule type="expression" dxfId="30" priority="14">
      <formula>H$57+H$60=0</formula>
    </cfRule>
  </conditionalFormatting>
  <conditionalFormatting sqref="H75:M75">
    <cfRule type="expression" dxfId="29" priority="13">
      <formula>H$57+H$60=0</formula>
    </cfRule>
  </conditionalFormatting>
  <conditionalFormatting sqref="K34">
    <cfRule type="expression" dxfId="28" priority="12">
      <formula>$S$35=2</formula>
    </cfRule>
  </conditionalFormatting>
  <conditionalFormatting sqref="K35">
    <cfRule type="expression" dxfId="27" priority="9">
      <formula>$S$35=2</formula>
    </cfRule>
  </conditionalFormatting>
  <conditionalFormatting sqref="C34:C35">
    <cfRule type="expression" dxfId="26" priority="8">
      <formula>$S$35=2</formula>
    </cfRule>
  </conditionalFormatting>
  <conditionalFormatting sqref="H65:M65">
    <cfRule type="expression" dxfId="25" priority="5">
      <formula>$S$35=2</formula>
    </cfRule>
  </conditionalFormatting>
  <conditionalFormatting sqref="G65">
    <cfRule type="expression" dxfId="24" priority="4">
      <formula>$S$35=2</formula>
    </cfRule>
  </conditionalFormatting>
  <conditionalFormatting sqref="I62:M64">
    <cfRule type="expression" dxfId="23" priority="2">
      <formula>I$57+I$60=0</formula>
    </cfRule>
  </conditionalFormatting>
  <conditionalFormatting sqref="H62:H64">
    <cfRule type="expression" dxfId="22" priority="1">
      <formula>H$57+H$60=0</formula>
    </cfRule>
  </conditionalFormatting>
  <conditionalFormatting sqref="H67:M67">
    <cfRule type="expression" dxfId="21" priority="46">
      <formula>OR(H$57=0,$S$28=1)</formula>
    </cfRule>
  </conditionalFormatting>
  <dataValidations xWindow="987" yWindow="511" count="11">
    <dataValidation errorStyle="warning" allowBlank="1" showInputMessage="1" showErrorMessage="1" errorTitle="Expiring variation amount" error="The expiring variation amount must be entered as a whole negative number." sqref="C73 C59:C61 E75 G62:M65 G69:M71" xr:uid="{00000000-0002-0000-0400-000000000000}"/>
    <dataValidation allowBlank="1" showErrorMessage="1" error="You must select the date from the drop down list." promptTitle="Application Start Date          " prompt="Select the date of the first rating year for which this application applies" sqref="M3" xr:uid="{00000000-0002-0000-0400-000001000000}"/>
    <dataValidation errorStyle="warning" allowBlank="1" showErrorMessage="1" errorTitle="Expiring variation amount" error="The expiring variation amount must be entered as a whole negative number." promptTitle="Percentage value of expiring SV" prompt="This cell calculates the percentage value of the expiring variation relative to the current year's general income" sqref="F75:M75" xr:uid="{00000000-0002-0000-0400-000002000000}"/>
    <dataValidation allowBlank="1" showInputMessage="1" showErrorMessage="1" promptTitle="Prior year catch up/excess" sqref="K45" xr:uid="{00000000-0002-0000-0400-000003000000}"/>
    <dataValidation allowBlank="1" showInputMessage="1" showErrorMessage="1" promptTitle="Crown land adjustment" sqref="K44" xr:uid="{00000000-0002-0000-0400-000004000000}"/>
    <dataValidation errorStyle="warning" operator="greaterThanOrEqual" allowBlank="1" showInputMessage="1" showErrorMessage="1" errorTitle="Expiring variation amount" error="The expiring variation amount must be entered as a whole negative number." promptTitle="Expiring SV" sqref="F74:M74" xr:uid="{00000000-0002-0000-0400-000005000000}"/>
    <dataValidation errorStyle="warning" allowBlank="1" showInputMessage="1" showErrorMessage="1" errorTitle="Expiring variation amount" error="The expiring variation amount must be entered as a whole negative number." promptTitle="Number of years before expiry" sqref="K31:K32" xr:uid="{00000000-0002-0000-0400-000006000000}"/>
    <dataValidation allowBlank="1" showErrorMessage="1" promptTitle="Valuation Objections" sqref="K46" xr:uid="{00000000-0002-0000-0400-000007000000}"/>
    <dataValidation allowBlank="1" showErrorMessage="1" sqref="G67:M68" xr:uid="{00000000-0002-0000-0400-000008000000}"/>
    <dataValidation errorStyle="warning" allowBlank="1" showInputMessage="1" showErrorMessage="1" errorTitle="Expiring variation amount" error="The expiring variation amount must be entered as a whole negative number." promptTitle="Forward yr SV % increase" sqref="K21:K22 K33:K34" xr:uid="{00000000-0002-0000-0400-000009000000}"/>
    <dataValidation type="list" allowBlank="1" showInputMessage="1" showErrorMessage="1" sqref="Q13:Q14" xr:uid="{00000000-0002-0000-0400-00000A000000}">
      <formula1>$D$63:$D$126</formula1>
    </dataValidation>
  </dataValidations>
  <printOptions horizontalCentered="1"/>
  <pageMargins left="0.23622047244094491" right="0.23622047244094491" top="0.74803149606299213" bottom="0.74803149606299213" header="0.31496062992125984" footer="0.31496062992125984"/>
  <pageSetup paperSize="9" scale="83" fitToWidth="7" fitToHeight="3" orientation="landscape" r:id="rId1"/>
  <headerFooter alignWithMargins="0"/>
  <rowBreaks count="1" manualBreakCount="1">
    <brk id="36" min="2" max="1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7" id="{E815E005-026F-43D7-AA5C-0D8387500329}">
            <xm:f>$K$24='WK0 - Input data'!$B$249</xm:f>
            <x14:dxf>
              <font>
                <strike val="0"/>
                <color theme="0" tint="-0.499984740745262"/>
              </font>
              <fill>
                <patternFill>
                  <bgColor theme="1"/>
                </patternFill>
              </fill>
            </x14:dxf>
          </x14:cfRule>
          <xm:sqref>G60:M60</xm:sqref>
        </x14:conditionalFormatting>
      </x14:conditionalFormattings>
    </ext>
    <ext xmlns:x14="http://schemas.microsoft.com/office/spreadsheetml/2009/9/main" uri="{CCE6A557-97BC-4b89-ADB6-D9C93CAAB3DF}">
      <x14:dataValidations xmlns:xm="http://schemas.microsoft.com/office/excel/2006/main" xWindow="987" yWindow="511" count="7">
        <x14:dataValidation type="list" allowBlank="1" showInputMessage="1" showErrorMessage="1" xr:uid="{00000000-0002-0000-0400-00000B000000}">
          <x14:formula1>
            <xm:f>'WK0 - Input data'!$C$68:$C$202</xm:f>
          </x14:formula1>
          <xm:sqref>E13</xm:sqref>
        </x14:dataValidation>
        <x14:dataValidation type="list" allowBlank="1" showInputMessage="1" showErrorMessage="1" xr:uid="{00000000-0002-0000-0400-00000C000000}">
          <x14:formula1>
            <xm:f>'WK0 - Input data'!$B$228:$B$229</xm:f>
          </x14:formula1>
          <xm:sqref>K28</xm:sqref>
        </x14:dataValidation>
        <x14:dataValidation type="list" allowBlank="1" showInputMessage="1" showErrorMessage="1" xr:uid="{00000000-0002-0000-0400-00000D000000}">
          <x14:formula1>
            <xm:f>'WK0 - Input data'!$E$234:$E$240</xm:f>
          </x14:formula1>
          <xm:sqref>K29</xm:sqref>
        </x14:dataValidation>
        <x14:dataValidation type="list" allowBlank="1" showInputMessage="1" showErrorMessage="1" xr:uid="{00000000-0002-0000-0400-00000E000000}">
          <x14:formula1>
            <xm:f>'WK0 - Input data'!$E$257:$E$265</xm:f>
          </x14:formula1>
          <xm:sqref>K38</xm:sqref>
        </x14:dataValidation>
        <x14:dataValidation type="list" allowBlank="1" showInputMessage="1" showErrorMessage="1" xr:uid="{00000000-0002-0000-0400-00000F000000}">
          <x14:formula1>
            <xm:f>'WK0 - Input data'!$H$257:$H$265</xm:f>
          </x14:formula1>
          <xm:sqref>K39</xm:sqref>
        </x14:dataValidation>
        <x14:dataValidation type="list" allowBlank="1" showInputMessage="1" showErrorMessage="1" xr:uid="{00000000-0002-0000-0400-000010000000}">
          <x14:formula1>
            <xm:f>'WK0 - Input data'!$B$243:$B$245</xm:f>
          </x14:formula1>
          <xm:sqref>K30</xm:sqref>
        </x14:dataValidation>
        <x14:dataValidation type="list" allowBlank="1" showInputMessage="1" showErrorMessage="1" xr:uid="{00000000-0002-0000-0400-000011000000}">
          <x14:formula1>
            <xm:f>'WK0 - Input data'!$B$248:$B$249</xm:f>
          </x14:formula1>
          <xm:sqref>K24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AL351"/>
  <sheetViews>
    <sheetView showGridLines="0" zoomScaleNormal="100" workbookViewId="0"/>
  </sheetViews>
  <sheetFormatPr defaultColWidth="9.125" defaultRowHeight="13.2" x14ac:dyDescent="0.25"/>
  <cols>
    <col min="1" max="1" width="2.875" customWidth="1"/>
    <col min="2" max="2" width="2" style="3" customWidth="1"/>
    <col min="3" max="3" width="13.625" style="3" customWidth="1"/>
    <col min="4" max="4" width="20.125" customWidth="1"/>
    <col min="5" max="5" width="16.25" customWidth="1"/>
    <col min="6" max="6" width="10.375" customWidth="1"/>
    <col min="7" max="8" width="9.375" customWidth="1"/>
    <col min="9" max="10" width="10.625" customWidth="1"/>
    <col min="11" max="11" width="21.625" customWidth="1"/>
    <col min="12" max="12" width="20.875" style="100" customWidth="1"/>
    <col min="13" max="13" width="23.75" style="99" customWidth="1"/>
    <col min="14" max="14" width="2.75" style="3" customWidth="1"/>
    <col min="15" max="15" width="5.25" customWidth="1"/>
    <col min="16" max="17" width="9.125" customWidth="1"/>
    <col min="18" max="18" width="11.75" customWidth="1"/>
    <col min="19" max="19" width="5.25" customWidth="1"/>
    <col min="20" max="20" width="7.875" customWidth="1"/>
    <col min="21" max="21" width="8.875" customWidth="1"/>
    <col min="22" max="22" width="7.75" customWidth="1"/>
    <col min="23" max="23" width="8.125" customWidth="1"/>
  </cols>
  <sheetData>
    <row r="1" spans="1:38" ht="13.8" thickBot="1" x14ac:dyDescent="0.3">
      <c r="A1" s="3"/>
      <c r="D1" s="3"/>
      <c r="E1" s="3"/>
      <c r="F1" s="3"/>
      <c r="G1" s="3"/>
      <c r="H1" s="3"/>
      <c r="I1" s="3"/>
      <c r="J1" s="3"/>
      <c r="K1" s="3"/>
      <c r="L1" s="99"/>
      <c r="O1" s="3"/>
      <c r="P1" s="3"/>
      <c r="Q1" s="3"/>
      <c r="R1" s="3"/>
      <c r="S1" s="3"/>
      <c r="T1" s="3"/>
      <c r="U1" s="3"/>
      <c r="V1" s="3"/>
      <c r="W1" s="3"/>
      <c r="X1" s="3"/>
      <c r="Y1" s="3"/>
      <c r="Z1" s="3"/>
      <c r="AA1" s="3"/>
      <c r="AB1" s="3"/>
      <c r="AC1" s="3"/>
      <c r="AD1" s="3"/>
      <c r="AE1" s="3"/>
      <c r="AF1" s="3"/>
      <c r="AG1" s="3"/>
      <c r="AH1" s="3"/>
      <c r="AI1" s="3"/>
      <c r="AJ1" s="3"/>
      <c r="AK1" s="3"/>
      <c r="AL1" s="3"/>
    </row>
    <row r="2" spans="1:38" ht="12" x14ac:dyDescent="0.25">
      <c r="A2" s="3"/>
      <c r="B2" s="209"/>
      <c r="C2" s="210"/>
      <c r="D2" s="210"/>
      <c r="E2" s="210"/>
      <c r="F2" s="210"/>
      <c r="G2" s="210"/>
      <c r="H2" s="210"/>
      <c r="I2" s="210"/>
      <c r="J2" s="210"/>
      <c r="K2" s="210"/>
      <c r="L2" s="232"/>
      <c r="M2" s="233"/>
      <c r="N2" s="234"/>
      <c r="O2" s="3"/>
      <c r="P2" s="3"/>
      <c r="Q2" s="3"/>
      <c r="R2" s="3"/>
      <c r="S2" s="3"/>
      <c r="T2" s="3"/>
      <c r="U2" s="3"/>
      <c r="V2" s="3"/>
      <c r="W2" s="3"/>
      <c r="X2" s="3"/>
      <c r="Y2" s="3"/>
      <c r="Z2" s="3"/>
      <c r="AA2" s="3"/>
      <c r="AB2" s="3"/>
      <c r="AC2" s="3"/>
      <c r="AD2" s="3"/>
      <c r="AE2" s="3"/>
      <c r="AF2" s="3"/>
      <c r="AG2" s="3"/>
      <c r="AH2" s="3"/>
      <c r="AI2" s="3"/>
      <c r="AJ2" s="3"/>
      <c r="AK2" s="3"/>
      <c r="AL2" s="3"/>
    </row>
    <row r="3" spans="1:38" ht="12" x14ac:dyDescent="0.25">
      <c r="A3" s="3"/>
      <c r="B3" s="212"/>
      <c r="C3" s="695" t="str">
        <f>IF(ISBLANK('WK1 - Identification'!$E$13),'WK1 - Identification'!$E$14,'WK1 - Identification'!$E$13)</f>
        <v>Hornsby, The Council of the Shire of</v>
      </c>
      <c r="D3" s="226"/>
      <c r="E3" s="226"/>
      <c r="F3" s="226"/>
      <c r="G3" s="227"/>
      <c r="H3" s="3"/>
      <c r="I3" s="3"/>
      <c r="J3" s="3"/>
      <c r="K3" s="3"/>
      <c r="L3" s="118"/>
      <c r="M3" s="151"/>
      <c r="N3" s="235"/>
      <c r="O3" s="3"/>
      <c r="P3" s="3"/>
      <c r="Q3" s="3"/>
      <c r="R3" s="3"/>
      <c r="S3" s="3"/>
      <c r="T3" s="3"/>
      <c r="U3" s="3"/>
      <c r="V3" s="3"/>
      <c r="W3" s="3"/>
      <c r="X3" s="3"/>
      <c r="Y3" s="3"/>
      <c r="Z3" s="3"/>
      <c r="AA3" s="3"/>
      <c r="AB3" s="3"/>
      <c r="AC3" s="3"/>
      <c r="AD3" s="3"/>
      <c r="AE3" s="3"/>
      <c r="AF3" s="3"/>
      <c r="AG3" s="3"/>
      <c r="AH3" s="3"/>
      <c r="AI3" s="3"/>
      <c r="AJ3" s="3"/>
      <c r="AK3" s="3"/>
      <c r="AL3" s="3"/>
    </row>
    <row r="4" spans="1:38" ht="17.399999999999999" x14ac:dyDescent="0.3">
      <c r="A4" s="3"/>
      <c r="B4" s="212"/>
      <c r="D4" s="3"/>
      <c r="E4" s="3"/>
      <c r="F4" s="3"/>
      <c r="G4" s="89"/>
      <c r="H4" s="3"/>
      <c r="I4" s="3"/>
      <c r="J4" s="3"/>
      <c r="K4" s="3"/>
      <c r="L4" s="118"/>
      <c r="M4" s="194"/>
      <c r="N4" s="214"/>
      <c r="O4" s="3"/>
      <c r="P4" s="3"/>
      <c r="Q4" s="3"/>
      <c r="R4" s="3"/>
      <c r="S4" s="3"/>
      <c r="T4" s="3"/>
      <c r="U4" s="3"/>
      <c r="V4" s="3"/>
      <c r="W4" s="3"/>
      <c r="X4" s="3"/>
      <c r="Y4" s="3"/>
      <c r="Z4" s="3"/>
      <c r="AA4" s="3"/>
      <c r="AB4" s="3"/>
      <c r="AC4" s="3"/>
      <c r="AD4" s="3"/>
      <c r="AE4" s="3"/>
      <c r="AF4" s="3"/>
      <c r="AG4" s="3"/>
      <c r="AH4" s="3"/>
      <c r="AI4" s="3"/>
      <c r="AJ4" s="3"/>
      <c r="AK4" s="3"/>
      <c r="AL4" s="3"/>
    </row>
    <row r="5" spans="1:38" ht="15.6" x14ac:dyDescent="0.3">
      <c r="A5" s="3"/>
      <c r="B5" s="212"/>
      <c r="D5" s="120"/>
      <c r="E5" s="120"/>
      <c r="F5" s="120"/>
      <c r="G5" s="85"/>
      <c r="H5" s="101" t="s">
        <v>699</v>
      </c>
      <c r="I5" s="85"/>
      <c r="J5" s="120"/>
      <c r="K5" s="120"/>
      <c r="L5" s="120"/>
      <c r="M5" s="120"/>
      <c r="N5" s="1155"/>
      <c r="O5" s="3"/>
      <c r="P5" s="3"/>
      <c r="Q5" s="3"/>
      <c r="R5" s="3"/>
      <c r="S5" s="3"/>
      <c r="T5" s="3"/>
      <c r="U5" s="3"/>
      <c r="V5" s="3"/>
      <c r="W5" s="3"/>
      <c r="X5" s="3"/>
      <c r="Y5" s="3"/>
      <c r="Z5" s="3"/>
      <c r="AA5" s="3"/>
      <c r="AB5" s="3"/>
      <c r="AC5" s="3"/>
      <c r="AD5" s="3"/>
      <c r="AE5" s="3"/>
      <c r="AF5" s="3"/>
      <c r="AG5" s="3"/>
      <c r="AH5" s="3"/>
      <c r="AI5" s="3"/>
      <c r="AJ5" s="3"/>
      <c r="AK5" s="3"/>
      <c r="AL5" s="3"/>
    </row>
    <row r="6" spans="1:38" ht="15" x14ac:dyDescent="0.25">
      <c r="A6" s="3"/>
      <c r="B6" s="212"/>
      <c r="C6" s="122"/>
      <c r="D6" s="122"/>
      <c r="E6" s="3"/>
      <c r="F6" s="3"/>
      <c r="G6" s="129"/>
      <c r="H6" s="3"/>
      <c r="I6" s="129"/>
      <c r="J6" s="3"/>
      <c r="K6" s="3"/>
      <c r="L6" s="118"/>
      <c r="M6" s="118"/>
      <c r="N6" s="1156"/>
      <c r="O6" s="3"/>
      <c r="P6" s="3"/>
      <c r="Q6" s="3"/>
      <c r="R6" s="3"/>
      <c r="S6" s="3"/>
      <c r="T6" s="3"/>
      <c r="U6" s="3"/>
      <c r="V6" s="3"/>
      <c r="W6" s="3"/>
      <c r="X6" s="3"/>
      <c r="Y6" s="3"/>
      <c r="Z6" s="3"/>
      <c r="AA6" s="3"/>
      <c r="AB6" s="3"/>
      <c r="AC6" s="3"/>
      <c r="AD6" s="3"/>
      <c r="AE6" s="3"/>
      <c r="AF6" s="3"/>
      <c r="AG6" s="3"/>
      <c r="AH6" s="3"/>
      <c r="AI6" s="3"/>
      <c r="AJ6" s="3"/>
      <c r="AK6" s="3"/>
      <c r="AL6" s="3"/>
    </row>
    <row r="7" spans="1:38" ht="15.6" x14ac:dyDescent="0.3">
      <c r="A7" s="3"/>
      <c r="B7" s="212"/>
      <c r="D7" s="151"/>
      <c r="E7" s="151"/>
      <c r="F7" s="3"/>
      <c r="G7" s="134"/>
      <c r="H7" s="448" t="str">
        <f>"CALCULATION OF NOTIONAL GENERAL INCOME "&amp;'WK0 - Input data'!$H$58</f>
        <v>CALCULATION OF NOTIONAL GENERAL INCOME 2022-23</v>
      </c>
      <c r="I7" s="134"/>
      <c r="J7" s="151"/>
      <c r="K7" s="151"/>
      <c r="L7" s="151"/>
      <c r="M7" s="151"/>
      <c r="N7" s="1156"/>
      <c r="O7" s="3"/>
      <c r="P7" s="3"/>
      <c r="Q7" s="3"/>
      <c r="R7" s="3"/>
      <c r="S7" s="3"/>
      <c r="T7" s="3"/>
      <c r="U7" s="3"/>
      <c r="V7" s="3"/>
      <c r="W7" s="3"/>
      <c r="X7" s="3"/>
      <c r="Y7" s="3"/>
      <c r="Z7" s="3"/>
      <c r="AA7" s="3"/>
      <c r="AB7" s="3"/>
      <c r="AC7" s="3"/>
      <c r="AD7" s="3"/>
      <c r="AE7" s="3"/>
      <c r="AF7" s="3"/>
      <c r="AG7" s="3"/>
      <c r="AH7" s="3"/>
      <c r="AI7" s="3"/>
      <c r="AJ7" s="3"/>
      <c r="AK7" s="3"/>
      <c r="AL7" s="3"/>
    </row>
    <row r="8" spans="1:38" ht="15.6" x14ac:dyDescent="0.3">
      <c r="A8" s="3"/>
      <c r="B8" s="212"/>
      <c r="D8" s="151"/>
      <c r="E8" s="151"/>
      <c r="F8" s="3"/>
      <c r="G8" s="134"/>
      <c r="H8" s="134" t="s">
        <v>700</v>
      </c>
      <c r="I8" s="134"/>
      <c r="J8" s="151"/>
      <c r="K8" s="151"/>
      <c r="L8" s="151"/>
      <c r="M8" s="151"/>
      <c r="N8" s="1156"/>
      <c r="O8" s="3"/>
      <c r="P8" s="3"/>
      <c r="Q8" s="3"/>
      <c r="R8" s="3"/>
      <c r="S8" s="3"/>
      <c r="T8" s="3"/>
      <c r="U8" s="3"/>
      <c r="V8" s="3"/>
      <c r="W8" s="3"/>
      <c r="X8" s="3"/>
      <c r="Y8" s="3"/>
      <c r="Z8" s="3"/>
      <c r="AA8" s="3"/>
      <c r="AB8" s="3"/>
      <c r="AC8" s="3"/>
      <c r="AD8" s="3"/>
      <c r="AE8" s="3"/>
      <c r="AF8" s="3"/>
      <c r="AG8" s="3"/>
      <c r="AH8" s="3"/>
      <c r="AI8" s="3"/>
      <c r="AJ8" s="3"/>
      <c r="AK8" s="3"/>
      <c r="AL8" s="3"/>
    </row>
    <row r="9" spans="1:38" ht="7.5" customHeight="1" x14ac:dyDescent="0.3">
      <c r="A9" s="3"/>
      <c r="B9" s="212"/>
      <c r="C9" s="2"/>
      <c r="D9" s="151"/>
      <c r="E9" s="151"/>
      <c r="F9" s="151"/>
      <c r="G9" s="134"/>
      <c r="H9" s="134"/>
      <c r="I9" s="134"/>
      <c r="J9" s="151"/>
      <c r="K9" s="151"/>
      <c r="L9" s="151"/>
      <c r="M9" s="151"/>
      <c r="N9" s="1156"/>
      <c r="O9" s="3"/>
      <c r="P9" s="3"/>
      <c r="Q9" s="3"/>
      <c r="R9" s="3"/>
      <c r="S9" s="3"/>
      <c r="T9" s="3"/>
      <c r="U9" s="3"/>
      <c r="V9" s="3"/>
      <c r="W9" s="3"/>
      <c r="X9" s="3"/>
      <c r="Y9" s="3"/>
      <c r="Z9" s="3"/>
      <c r="AA9" s="3"/>
      <c r="AB9" s="3"/>
      <c r="AC9" s="3"/>
      <c r="AD9" s="3"/>
      <c r="AE9" s="3"/>
      <c r="AF9" s="3"/>
      <c r="AG9" s="3"/>
      <c r="AH9" s="3"/>
      <c r="AI9" s="3"/>
      <c r="AJ9" s="3"/>
      <c r="AK9" s="3"/>
      <c r="AL9" s="3"/>
    </row>
    <row r="10" spans="1:38" ht="20.399999999999999" x14ac:dyDescent="0.35">
      <c r="A10" s="3"/>
      <c r="B10" s="212"/>
      <c r="D10" s="1"/>
      <c r="E10" s="1"/>
      <c r="F10" s="1"/>
      <c r="G10" s="136"/>
      <c r="H10" s="171" t="s">
        <v>478</v>
      </c>
      <c r="I10" s="136"/>
      <c r="J10" s="1"/>
      <c r="K10" s="1"/>
      <c r="L10" s="1"/>
      <c r="M10" s="1"/>
      <c r="N10" s="1156"/>
      <c r="O10" s="84"/>
      <c r="P10" s="84"/>
      <c r="Q10" s="3"/>
      <c r="R10" s="3"/>
      <c r="S10" s="3"/>
      <c r="T10" s="3"/>
      <c r="U10" s="3"/>
      <c r="V10" s="3"/>
      <c r="W10" s="3"/>
      <c r="X10" s="3"/>
      <c r="Y10" s="3"/>
      <c r="Z10" s="3"/>
      <c r="AA10" s="3"/>
      <c r="AB10" s="3"/>
      <c r="AC10" s="3"/>
      <c r="AD10" s="3"/>
      <c r="AE10" s="3"/>
      <c r="AF10" s="3"/>
      <c r="AG10" s="3"/>
      <c r="AH10" s="3"/>
      <c r="AI10" s="3"/>
      <c r="AJ10" s="3"/>
      <c r="AK10" s="3"/>
      <c r="AL10" s="3"/>
    </row>
    <row r="11" spans="1:38" ht="25.5" customHeight="1" x14ac:dyDescent="0.3">
      <c r="A11" s="3"/>
      <c r="B11" s="212"/>
      <c r="D11" s="120"/>
      <c r="E11" s="3"/>
      <c r="F11" s="120"/>
      <c r="G11" s="85"/>
      <c r="H11" s="151" t="s">
        <v>701</v>
      </c>
      <c r="I11" s="85"/>
      <c r="J11" s="120"/>
      <c r="K11" s="120"/>
      <c r="L11" s="120"/>
      <c r="M11" s="120"/>
      <c r="N11" s="1156"/>
      <c r="O11" s="3"/>
      <c r="P11" s="3"/>
      <c r="Q11" s="3"/>
      <c r="R11" s="3"/>
      <c r="S11" s="3"/>
      <c r="T11" s="3"/>
      <c r="U11" s="3"/>
      <c r="V11" s="3"/>
      <c r="W11" s="3"/>
      <c r="X11" s="3"/>
      <c r="Y11" s="615"/>
      <c r="Z11" s="3"/>
      <c r="AA11" s="3"/>
      <c r="AB11" s="3"/>
      <c r="AC11" s="3"/>
      <c r="AD11" s="3"/>
      <c r="AE11" s="3"/>
      <c r="AF11" s="3"/>
      <c r="AG11" s="3"/>
      <c r="AH11" s="3"/>
      <c r="AI11" s="3"/>
      <c r="AJ11" s="3"/>
      <c r="AK11" s="3"/>
      <c r="AL11" s="3"/>
    </row>
    <row r="12" spans="1:38" ht="15.6" x14ac:dyDescent="0.3">
      <c r="A12" s="3"/>
      <c r="B12" s="212"/>
      <c r="D12" s="3"/>
      <c r="E12" s="449" t="str">
        <f>"NOTE: Valuations used here are to be taken from Council's valuation list on 1 July "&amp;'WK0 - Input data'!$H$57&amp;" and are to include:"</f>
        <v>NOTE: Valuations used here are to be taken from Council's valuation list on 1 July 2022 and are to include:</v>
      </c>
      <c r="F12" s="120"/>
      <c r="G12" s="85"/>
      <c r="H12" s="193"/>
      <c r="I12" s="85"/>
      <c r="J12" s="120"/>
      <c r="K12" s="120"/>
      <c r="L12" s="120"/>
      <c r="M12" s="120"/>
      <c r="N12" s="214"/>
      <c r="O12" s="3"/>
      <c r="P12" s="3"/>
      <c r="Q12" s="3"/>
      <c r="R12" s="3"/>
      <c r="S12" s="3"/>
      <c r="T12" s="3"/>
      <c r="U12" s="3"/>
      <c r="V12" s="3"/>
      <c r="W12" s="3"/>
      <c r="X12" s="3"/>
      <c r="Y12" s="616"/>
      <c r="Z12" s="3"/>
      <c r="AA12" s="3"/>
      <c r="AB12" s="3"/>
      <c r="AC12" s="3"/>
      <c r="AD12" s="3"/>
      <c r="AE12" s="3"/>
      <c r="AF12" s="3"/>
      <c r="AG12" s="3"/>
      <c r="AH12" s="3"/>
      <c r="AI12" s="3"/>
      <c r="AJ12" s="3"/>
      <c r="AK12" s="3"/>
      <c r="AL12" s="3"/>
    </row>
    <row r="13" spans="1:38" ht="15.6" x14ac:dyDescent="0.3">
      <c r="A13" s="3"/>
      <c r="B13" s="212"/>
      <c r="D13" s="3"/>
      <c r="E13" s="1" t="s">
        <v>702</v>
      </c>
      <c r="F13" s="120"/>
      <c r="G13" s="85"/>
      <c r="H13" s="193"/>
      <c r="I13" s="85"/>
      <c r="J13" s="120"/>
      <c r="K13" s="1"/>
      <c r="L13" s="120"/>
      <c r="M13" s="120"/>
      <c r="N13" s="214"/>
      <c r="O13" s="3"/>
      <c r="P13" s="3"/>
      <c r="Q13" s="3"/>
      <c r="R13" s="3"/>
      <c r="S13" s="3"/>
      <c r="T13" s="3"/>
      <c r="U13" s="3"/>
      <c r="V13" s="3"/>
      <c r="W13" s="3"/>
      <c r="X13" s="1"/>
      <c r="Y13" s="3"/>
      <c r="Z13" s="3"/>
      <c r="AA13" s="3"/>
      <c r="AB13" s="3"/>
      <c r="AC13" s="3"/>
      <c r="AD13" s="3"/>
      <c r="AE13" s="3"/>
      <c r="AF13" s="3"/>
      <c r="AG13" s="3"/>
      <c r="AH13" s="3"/>
      <c r="AI13" s="3"/>
      <c r="AJ13" s="3"/>
      <c r="AK13" s="3"/>
      <c r="AL13" s="3"/>
    </row>
    <row r="14" spans="1:38" ht="12" x14ac:dyDescent="0.25">
      <c r="A14" s="3"/>
      <c r="B14" s="212"/>
      <c r="C14" s="80"/>
      <c r="D14" s="3"/>
      <c r="E14" s="1" t="s">
        <v>703</v>
      </c>
      <c r="F14" s="80"/>
      <c r="G14" s="80"/>
      <c r="H14" s="3"/>
      <c r="I14" s="80"/>
      <c r="J14" s="80"/>
      <c r="K14" s="1"/>
      <c r="L14" s="151"/>
      <c r="M14" s="151"/>
      <c r="N14" s="214"/>
      <c r="O14" s="3"/>
      <c r="P14" s="3"/>
      <c r="Q14" s="3"/>
      <c r="R14" s="3"/>
      <c r="S14" s="3"/>
      <c r="T14" s="3"/>
      <c r="U14" s="3"/>
      <c r="V14" s="3"/>
      <c r="W14" s="3"/>
      <c r="X14" s="1"/>
      <c r="Y14" s="3"/>
      <c r="Z14" s="3"/>
      <c r="AA14" s="3"/>
      <c r="AB14" s="3"/>
      <c r="AC14" s="3"/>
      <c r="AD14" s="3"/>
      <c r="AE14" s="3"/>
      <c r="AF14" s="3"/>
      <c r="AG14" s="3"/>
      <c r="AH14" s="3"/>
      <c r="AI14" s="3"/>
      <c r="AJ14" s="3"/>
      <c r="AK14" s="3"/>
      <c r="AL14" s="3"/>
    </row>
    <row r="15" spans="1:38" ht="9" customHeight="1" x14ac:dyDescent="0.25">
      <c r="A15" s="3"/>
      <c r="B15" s="212"/>
      <c r="C15" s="80"/>
      <c r="D15" s="3"/>
      <c r="E15" s="80"/>
      <c r="F15" s="80"/>
      <c r="G15" s="80"/>
      <c r="H15" s="80"/>
      <c r="I15" s="80"/>
      <c r="J15" s="80"/>
      <c r="K15" s="80"/>
      <c r="L15" s="151"/>
      <c r="M15" s="151"/>
      <c r="N15" s="214"/>
      <c r="O15" s="3"/>
      <c r="P15" s="3"/>
      <c r="Q15" s="3"/>
      <c r="R15" s="3"/>
      <c r="S15" s="3"/>
      <c r="T15" s="3"/>
      <c r="U15" s="3"/>
      <c r="V15" s="3"/>
      <c r="W15" s="3"/>
      <c r="X15" s="3"/>
      <c r="Y15" s="3"/>
      <c r="Z15" s="3"/>
      <c r="AA15" s="3"/>
      <c r="AB15" s="3"/>
      <c r="AC15" s="3"/>
      <c r="AD15" s="3"/>
      <c r="AE15" s="3"/>
      <c r="AF15" s="3"/>
      <c r="AG15" s="3"/>
      <c r="AH15" s="3"/>
      <c r="AI15" s="3"/>
      <c r="AJ15" s="3"/>
      <c r="AK15" s="3"/>
      <c r="AL15" s="3"/>
    </row>
    <row r="16" spans="1:38" ht="23.25" customHeight="1" x14ac:dyDescent="0.3">
      <c r="A16" s="3"/>
      <c r="B16" s="212"/>
      <c r="C16" s="151"/>
      <c r="E16" s="120"/>
      <c r="F16" s="120"/>
      <c r="G16" s="85"/>
      <c r="H16" s="85" t="s">
        <v>704</v>
      </c>
      <c r="I16" s="85"/>
      <c r="J16" s="120"/>
      <c r="K16" s="120"/>
      <c r="L16" s="120"/>
      <c r="M16" s="151"/>
      <c r="N16" s="214"/>
      <c r="O16" s="3"/>
      <c r="P16" s="3"/>
      <c r="Q16" s="3"/>
      <c r="R16" s="3"/>
      <c r="S16" s="3"/>
      <c r="T16" s="3"/>
      <c r="U16" s="3"/>
      <c r="V16" s="3"/>
      <c r="W16" s="3"/>
      <c r="X16" s="3"/>
      <c r="Y16" s="3"/>
      <c r="Z16" s="3"/>
      <c r="AA16" s="3"/>
      <c r="AB16" s="3"/>
      <c r="AC16" s="3"/>
      <c r="AD16" s="3"/>
      <c r="AE16" s="3"/>
      <c r="AF16" s="3"/>
      <c r="AG16" s="3"/>
      <c r="AH16" s="3"/>
      <c r="AI16" s="3"/>
      <c r="AJ16" s="3"/>
      <c r="AK16" s="3"/>
      <c r="AL16" s="3"/>
    </row>
    <row r="17" spans="1:38" ht="11.4" x14ac:dyDescent="0.2">
      <c r="A17" s="3"/>
      <c r="B17" s="212"/>
      <c r="D17" s="3"/>
      <c r="E17" s="3"/>
      <c r="F17" s="3"/>
      <c r="G17" s="3"/>
      <c r="H17" s="3"/>
      <c r="I17" s="3"/>
      <c r="J17" s="3"/>
      <c r="K17" s="3"/>
      <c r="L17" s="3"/>
      <c r="M17" s="3"/>
      <c r="N17" s="214"/>
      <c r="O17" s="3"/>
      <c r="P17" s="3"/>
      <c r="Q17" s="3"/>
      <c r="R17" s="3"/>
      <c r="S17" s="3"/>
      <c r="T17" s="3"/>
      <c r="U17" s="3"/>
      <c r="V17" s="3"/>
      <c r="W17" s="3"/>
      <c r="X17" s="3"/>
      <c r="Y17" s="3"/>
      <c r="Z17" s="3"/>
      <c r="AA17" s="3"/>
      <c r="AB17" s="3"/>
      <c r="AC17" s="3"/>
      <c r="AD17" s="3"/>
      <c r="AE17" s="3"/>
      <c r="AF17" s="3"/>
      <c r="AG17" s="3"/>
      <c r="AH17" s="3"/>
      <c r="AI17" s="3"/>
      <c r="AJ17" s="3"/>
      <c r="AK17" s="3"/>
      <c r="AL17" s="3"/>
    </row>
    <row r="18" spans="1:38" s="91" customFormat="1" ht="48" x14ac:dyDescent="0.2">
      <c r="A18" s="3"/>
      <c r="B18" s="238"/>
      <c r="C18" s="105" t="s">
        <v>705</v>
      </c>
      <c r="D18" s="105" t="s">
        <v>706</v>
      </c>
      <c r="E18" s="1215" t="s">
        <v>707</v>
      </c>
      <c r="F18" s="1215" t="s">
        <v>708</v>
      </c>
      <c r="G18" s="1215" t="s">
        <v>709</v>
      </c>
      <c r="H18" s="1215" t="s">
        <v>710</v>
      </c>
      <c r="I18" s="1215" t="s">
        <v>711</v>
      </c>
      <c r="J18" s="1215" t="s">
        <v>712</v>
      </c>
      <c r="K18" s="105" t="s">
        <v>713</v>
      </c>
      <c r="L18" s="106" t="s">
        <v>714</v>
      </c>
      <c r="M18" s="1216" t="s">
        <v>715</v>
      </c>
      <c r="N18" s="239"/>
      <c r="O18" s="90"/>
      <c r="P18" s="90"/>
      <c r="Q18" s="90"/>
      <c r="R18" s="90"/>
      <c r="S18" s="90"/>
      <c r="T18" s="90"/>
      <c r="U18" s="90"/>
      <c r="V18" s="90"/>
      <c r="W18" s="90"/>
      <c r="X18" s="90"/>
      <c r="Y18" s="90"/>
      <c r="Z18" s="90"/>
      <c r="AA18" s="90"/>
      <c r="AB18" s="90"/>
      <c r="AC18" s="90"/>
      <c r="AD18" s="90"/>
      <c r="AE18" s="90"/>
      <c r="AF18" s="90"/>
      <c r="AG18" s="90"/>
      <c r="AH18" s="90"/>
      <c r="AI18" s="90"/>
      <c r="AJ18" s="90"/>
      <c r="AK18" s="90"/>
      <c r="AL18" s="90"/>
    </row>
    <row r="19" spans="1:38" ht="11.4" x14ac:dyDescent="0.2">
      <c r="A19" s="3"/>
      <c r="B19" s="212"/>
      <c r="C19" s="1217" t="s">
        <v>716</v>
      </c>
      <c r="D19" s="1218" t="s">
        <v>716</v>
      </c>
      <c r="E19" s="1219">
        <v>52016</v>
      </c>
      <c r="F19" s="1220">
        <v>0.105264</v>
      </c>
      <c r="G19" s="1218">
        <v>595</v>
      </c>
      <c r="H19" s="1221">
        <f>IF(G19="",".",E19*G19/M19)</f>
        <v>0.49129279056711567</v>
      </c>
      <c r="I19" s="1218"/>
      <c r="J19" s="1219"/>
      <c r="K19" s="1219">
        <v>30443988568</v>
      </c>
      <c r="L19" s="1219"/>
      <c r="M19" s="1222">
        <f t="shared" ref="M19:M38" si="0">IF(E19="",".",IF(G19&lt;&gt;"",G19*E19+K19*(F19/100),(K19-L19)*(F19/100)+I19*J19))</f>
        <v>62996080.126219511</v>
      </c>
      <c r="N19" s="214"/>
      <c r="O19" s="90"/>
      <c r="P19" s="3"/>
      <c r="Q19" s="3"/>
      <c r="R19" s="192"/>
      <c r="S19" s="3"/>
      <c r="T19" s="3"/>
      <c r="U19" s="3"/>
      <c r="V19" s="3"/>
      <c r="W19" s="3"/>
      <c r="X19" s="3"/>
      <c r="Y19" s="3"/>
      <c r="Z19" s="3"/>
      <c r="AA19" s="3"/>
      <c r="AB19" s="3"/>
      <c r="AC19" s="3"/>
      <c r="AD19" s="3"/>
      <c r="AE19" s="3"/>
      <c r="AF19" s="3"/>
      <c r="AG19" s="3"/>
      <c r="AH19" s="3"/>
      <c r="AI19" s="3"/>
      <c r="AJ19" s="3"/>
      <c r="AK19" s="3"/>
      <c r="AL19" s="3"/>
    </row>
    <row r="20" spans="1:38" ht="11.4" x14ac:dyDescent="0.2">
      <c r="A20" s="3"/>
      <c r="B20" s="212"/>
      <c r="C20" s="584" t="s">
        <v>716</v>
      </c>
      <c r="D20" s="585"/>
      <c r="E20" s="586"/>
      <c r="F20" s="587"/>
      <c r="G20" s="585"/>
      <c r="H20" s="588" t="str">
        <f t="shared" ref="H20:H83" si="1">IF(G20="",".",E20*G20/M20)</f>
        <v>.</v>
      </c>
      <c r="I20" s="585"/>
      <c r="J20" s="586"/>
      <c r="K20" s="586"/>
      <c r="L20" s="586"/>
      <c r="M20" s="589" t="str">
        <f t="shared" si="0"/>
        <v>.</v>
      </c>
      <c r="N20" s="214"/>
      <c r="O20" s="90"/>
      <c r="P20" s="3"/>
      <c r="Q20" s="3"/>
      <c r="R20" s="3"/>
      <c r="S20" s="3"/>
      <c r="T20" s="3"/>
      <c r="U20" s="3"/>
      <c r="V20" s="3"/>
      <c r="W20" s="3"/>
      <c r="X20" s="3"/>
      <c r="Y20" s="3"/>
      <c r="Z20" s="3"/>
      <c r="AA20" s="3"/>
      <c r="AB20" s="3"/>
      <c r="AC20" s="3"/>
      <c r="AD20" s="3"/>
      <c r="AE20" s="3"/>
      <c r="AF20" s="3"/>
      <c r="AG20" s="3"/>
      <c r="AH20" s="3"/>
      <c r="AI20" s="3"/>
      <c r="AJ20" s="3"/>
      <c r="AK20" s="3"/>
      <c r="AL20" s="3"/>
    </row>
    <row r="21" spans="1:38" ht="11.4" x14ac:dyDescent="0.2">
      <c r="A21" s="3"/>
      <c r="B21" s="212"/>
      <c r="C21" s="584" t="s">
        <v>716</v>
      </c>
      <c r="D21" s="585"/>
      <c r="E21" s="586"/>
      <c r="F21" s="587"/>
      <c r="G21" s="585"/>
      <c r="H21" s="588" t="str">
        <f t="shared" si="1"/>
        <v>.</v>
      </c>
      <c r="I21" s="585"/>
      <c r="J21" s="586"/>
      <c r="K21" s="586"/>
      <c r="L21" s="586"/>
      <c r="M21" s="589" t="str">
        <f t="shared" si="0"/>
        <v>.</v>
      </c>
      <c r="N21" s="214"/>
      <c r="O21" s="90"/>
      <c r="P21" s="3"/>
      <c r="Q21" s="3"/>
      <c r="R21" s="3"/>
      <c r="S21" s="3"/>
      <c r="T21" s="3"/>
      <c r="U21" s="3"/>
      <c r="V21" s="3"/>
      <c r="W21" s="3"/>
      <c r="X21" s="3"/>
      <c r="Y21" s="3"/>
      <c r="Z21" s="3"/>
      <c r="AA21" s="3"/>
      <c r="AB21" s="3"/>
      <c r="AC21" s="3"/>
      <c r="AD21" s="3"/>
      <c r="AE21" s="3"/>
      <c r="AF21" s="3"/>
      <c r="AG21" s="3"/>
      <c r="AH21" s="3"/>
      <c r="AI21" s="3"/>
      <c r="AJ21" s="3"/>
      <c r="AK21" s="3"/>
      <c r="AL21" s="3"/>
    </row>
    <row r="22" spans="1:38" ht="11.4" x14ac:dyDescent="0.2">
      <c r="A22" s="3"/>
      <c r="B22" s="212"/>
      <c r="C22" s="584" t="s">
        <v>716</v>
      </c>
      <c r="D22" s="585"/>
      <c r="E22" s="586"/>
      <c r="F22" s="587"/>
      <c r="G22" s="585"/>
      <c r="H22" s="588" t="str">
        <f t="shared" si="1"/>
        <v>.</v>
      </c>
      <c r="I22" s="585"/>
      <c r="J22" s="586"/>
      <c r="K22" s="586"/>
      <c r="L22" s="586"/>
      <c r="M22" s="589" t="str">
        <f t="shared" si="0"/>
        <v>.</v>
      </c>
      <c r="N22" s="214"/>
      <c r="O22" s="3"/>
      <c r="P22" s="3"/>
      <c r="Q22" s="3"/>
      <c r="R22" s="3"/>
      <c r="S22" s="3"/>
      <c r="T22" s="3"/>
      <c r="U22" s="3"/>
      <c r="V22" s="3"/>
      <c r="W22" s="3"/>
      <c r="X22" s="3"/>
      <c r="Y22" s="3"/>
      <c r="Z22" s="3"/>
      <c r="AA22" s="3"/>
      <c r="AB22" s="3"/>
      <c r="AC22" s="3"/>
      <c r="AD22" s="3"/>
      <c r="AE22" s="3"/>
      <c r="AF22" s="3"/>
      <c r="AG22" s="3"/>
      <c r="AH22" s="3"/>
      <c r="AI22" s="3"/>
      <c r="AJ22" s="3"/>
      <c r="AK22" s="3"/>
      <c r="AL22" s="3"/>
    </row>
    <row r="23" spans="1:38" ht="11.4" x14ac:dyDescent="0.2">
      <c r="A23" s="3"/>
      <c r="B23" s="212"/>
      <c r="C23" s="584" t="s">
        <v>716</v>
      </c>
      <c r="D23" s="585"/>
      <c r="E23" s="586"/>
      <c r="F23" s="587"/>
      <c r="G23" s="585"/>
      <c r="H23" s="588" t="str">
        <f t="shared" si="1"/>
        <v>.</v>
      </c>
      <c r="I23" s="585"/>
      <c r="J23" s="586"/>
      <c r="K23" s="586"/>
      <c r="L23" s="586"/>
      <c r="M23" s="589" t="str">
        <f>IF(E23="",".",IF(G23&lt;&gt;"",G23*E23+K23*(F23/100),(K23-L23)*(F23/100)+I23*J23))</f>
        <v>.</v>
      </c>
      <c r="N23" s="214"/>
      <c r="O23" s="3"/>
      <c r="P23" s="3"/>
      <c r="Q23" s="3"/>
      <c r="R23" s="3"/>
      <c r="S23" s="3"/>
      <c r="T23" s="3"/>
      <c r="U23" s="3"/>
      <c r="V23" s="3"/>
      <c r="W23" s="3"/>
      <c r="X23" s="3"/>
      <c r="Y23" s="3"/>
      <c r="Z23" s="3"/>
      <c r="AA23" s="3"/>
      <c r="AB23" s="3"/>
      <c r="AC23" s="3"/>
      <c r="AD23" s="3"/>
      <c r="AE23" s="3"/>
      <c r="AF23" s="3"/>
      <c r="AG23" s="3"/>
      <c r="AH23" s="3"/>
      <c r="AI23" s="3"/>
      <c r="AJ23" s="3"/>
      <c r="AK23" s="3"/>
      <c r="AL23" s="3"/>
    </row>
    <row r="24" spans="1:38" ht="11.4" x14ac:dyDescent="0.2">
      <c r="A24" s="3"/>
      <c r="B24" s="212"/>
      <c r="C24" s="584" t="s">
        <v>716</v>
      </c>
      <c r="D24" s="585"/>
      <c r="E24" s="586"/>
      <c r="F24" s="590"/>
      <c r="G24" s="590"/>
      <c r="H24" s="588" t="str">
        <f t="shared" si="1"/>
        <v>.</v>
      </c>
      <c r="I24" s="585"/>
      <c r="J24" s="586"/>
      <c r="K24" s="586"/>
      <c r="L24" s="586"/>
      <c r="M24" s="589" t="str">
        <f t="shared" si="0"/>
        <v>.</v>
      </c>
      <c r="N24" s="214"/>
      <c r="O24" s="3"/>
      <c r="P24" s="3"/>
      <c r="Q24" s="3"/>
      <c r="R24" s="3"/>
      <c r="S24" s="3"/>
      <c r="T24" s="3"/>
      <c r="U24" s="3"/>
      <c r="V24" s="3"/>
      <c r="W24" s="3"/>
      <c r="X24" s="3"/>
      <c r="Y24" s="3"/>
      <c r="Z24" s="3"/>
      <c r="AA24" s="3"/>
      <c r="AB24" s="3"/>
      <c r="AC24" s="3"/>
      <c r="AD24" s="3"/>
      <c r="AE24" s="3"/>
      <c r="AF24" s="3"/>
      <c r="AG24" s="3"/>
      <c r="AH24" s="3"/>
      <c r="AI24" s="3"/>
      <c r="AJ24" s="3"/>
      <c r="AK24" s="3"/>
      <c r="AL24" s="3"/>
    </row>
    <row r="25" spans="1:38" ht="11.4" x14ac:dyDescent="0.2">
      <c r="A25" s="3"/>
      <c r="B25" s="212"/>
      <c r="C25" s="584" t="s">
        <v>716</v>
      </c>
      <c r="D25" s="585"/>
      <c r="E25" s="586"/>
      <c r="F25" s="590"/>
      <c r="G25" s="590"/>
      <c r="H25" s="588" t="str">
        <f t="shared" si="1"/>
        <v>.</v>
      </c>
      <c r="I25" s="585"/>
      <c r="J25" s="586"/>
      <c r="K25" s="586"/>
      <c r="L25" s="586"/>
      <c r="M25" s="589" t="str">
        <f t="shared" si="0"/>
        <v>.</v>
      </c>
      <c r="N25" s="214"/>
      <c r="O25" s="3"/>
      <c r="P25" s="3"/>
      <c r="Q25" s="3"/>
      <c r="R25" s="3"/>
      <c r="S25" s="3"/>
      <c r="T25" s="3"/>
      <c r="U25" s="3"/>
      <c r="V25" s="3"/>
      <c r="W25" s="3"/>
      <c r="X25" s="3"/>
      <c r="Y25" s="3"/>
      <c r="Z25" s="3"/>
      <c r="AA25" s="3"/>
      <c r="AB25" s="3"/>
      <c r="AC25" s="3"/>
      <c r="AD25" s="3"/>
      <c r="AE25" s="3"/>
      <c r="AF25" s="3"/>
      <c r="AG25" s="3"/>
      <c r="AH25" s="3"/>
      <c r="AI25" s="3"/>
      <c r="AJ25" s="3"/>
      <c r="AK25" s="3"/>
      <c r="AL25" s="3"/>
    </row>
    <row r="26" spans="1:38" ht="11.4" x14ac:dyDescent="0.2">
      <c r="A26" s="3"/>
      <c r="B26" s="212"/>
      <c r="C26" s="584" t="s">
        <v>716</v>
      </c>
      <c r="D26" s="585"/>
      <c r="E26" s="586"/>
      <c r="F26" s="587"/>
      <c r="G26" s="585"/>
      <c r="H26" s="588" t="str">
        <f t="shared" si="1"/>
        <v>.</v>
      </c>
      <c r="I26" s="585"/>
      <c r="J26" s="586"/>
      <c r="K26" s="586"/>
      <c r="L26" s="586"/>
      <c r="M26" s="589" t="str">
        <f t="shared" si="0"/>
        <v>.</v>
      </c>
      <c r="N26" s="214"/>
      <c r="O26" s="3"/>
      <c r="P26" s="3"/>
      <c r="Q26" s="3"/>
      <c r="R26" s="3"/>
      <c r="S26" s="3"/>
      <c r="T26" s="3"/>
      <c r="U26" s="3"/>
      <c r="V26" s="3"/>
      <c r="W26" s="3"/>
      <c r="X26" s="3"/>
      <c r="Y26" s="3"/>
      <c r="Z26" s="3"/>
      <c r="AA26" s="3"/>
      <c r="AB26" s="3"/>
      <c r="AC26" s="3"/>
      <c r="AD26" s="3"/>
      <c r="AE26" s="3"/>
      <c r="AF26" s="3"/>
      <c r="AG26" s="3"/>
      <c r="AH26" s="3"/>
      <c r="AI26" s="3"/>
      <c r="AJ26" s="3"/>
      <c r="AK26" s="3"/>
      <c r="AL26" s="3"/>
    </row>
    <row r="27" spans="1:38" ht="11.4" x14ac:dyDescent="0.2">
      <c r="A27" s="3"/>
      <c r="B27" s="212"/>
      <c r="C27" s="584" t="s">
        <v>716</v>
      </c>
      <c r="D27" s="585"/>
      <c r="E27" s="586"/>
      <c r="F27" s="587"/>
      <c r="G27" s="585"/>
      <c r="H27" s="588" t="str">
        <f t="shared" si="1"/>
        <v>.</v>
      </c>
      <c r="I27" s="585"/>
      <c r="J27" s="586"/>
      <c r="K27" s="586"/>
      <c r="L27" s="586"/>
      <c r="M27" s="589" t="str">
        <f t="shared" si="0"/>
        <v>.</v>
      </c>
      <c r="N27" s="214"/>
      <c r="O27" s="3"/>
      <c r="P27" s="3"/>
      <c r="Q27" s="3"/>
      <c r="R27" s="3"/>
      <c r="S27" s="3"/>
      <c r="T27" s="3"/>
      <c r="U27" s="3"/>
      <c r="V27" s="3"/>
      <c r="W27" s="3"/>
      <c r="X27" s="3"/>
      <c r="Y27" s="3"/>
      <c r="Z27" s="3"/>
      <c r="AA27" s="3"/>
      <c r="AB27" s="3"/>
      <c r="AC27" s="3"/>
      <c r="AD27" s="3"/>
      <c r="AE27" s="3"/>
      <c r="AF27" s="3"/>
      <c r="AG27" s="3"/>
      <c r="AH27" s="3"/>
      <c r="AI27" s="3"/>
      <c r="AJ27" s="3"/>
      <c r="AK27" s="3"/>
      <c r="AL27" s="3"/>
    </row>
    <row r="28" spans="1:38" ht="11.4" x14ac:dyDescent="0.2">
      <c r="A28" s="3"/>
      <c r="B28" s="212"/>
      <c r="C28" s="584" t="s">
        <v>716</v>
      </c>
      <c r="D28" s="585"/>
      <c r="E28" s="586"/>
      <c r="F28" s="587"/>
      <c r="G28" s="585"/>
      <c r="H28" s="588" t="str">
        <f t="shared" si="1"/>
        <v>.</v>
      </c>
      <c r="I28" s="585"/>
      <c r="J28" s="586"/>
      <c r="K28" s="586"/>
      <c r="L28" s="586"/>
      <c r="M28" s="589" t="str">
        <f t="shared" si="0"/>
        <v>.</v>
      </c>
      <c r="N28" s="214"/>
      <c r="O28" s="3"/>
      <c r="P28" s="3"/>
      <c r="Q28" s="3"/>
      <c r="R28" s="3"/>
      <c r="S28" s="3"/>
      <c r="T28" s="3"/>
      <c r="U28" s="3"/>
      <c r="V28" s="3"/>
      <c r="W28" s="3"/>
      <c r="X28" s="3"/>
      <c r="Y28" s="3"/>
      <c r="Z28" s="3"/>
      <c r="AA28" s="3"/>
      <c r="AB28" s="3"/>
      <c r="AC28" s="3"/>
      <c r="AD28" s="3"/>
      <c r="AE28" s="3"/>
      <c r="AF28" s="3"/>
      <c r="AG28" s="3"/>
      <c r="AH28" s="3"/>
      <c r="AI28" s="3"/>
      <c r="AJ28" s="3"/>
      <c r="AK28" s="3"/>
      <c r="AL28" s="3"/>
    </row>
    <row r="29" spans="1:38" ht="11.4" x14ac:dyDescent="0.2">
      <c r="A29" s="3"/>
      <c r="B29" s="212"/>
      <c r="C29" s="584" t="s">
        <v>716</v>
      </c>
      <c r="D29" s="585"/>
      <c r="E29" s="586"/>
      <c r="F29" s="587"/>
      <c r="G29" s="585"/>
      <c r="H29" s="588" t="str">
        <f t="shared" si="1"/>
        <v>.</v>
      </c>
      <c r="I29" s="585"/>
      <c r="J29" s="586"/>
      <c r="K29" s="586"/>
      <c r="L29" s="586"/>
      <c r="M29" s="589" t="str">
        <f t="shared" si="0"/>
        <v>.</v>
      </c>
      <c r="N29" s="214"/>
      <c r="O29" s="3"/>
      <c r="P29" s="3"/>
      <c r="Q29" s="3"/>
      <c r="R29" s="3"/>
      <c r="S29" s="3"/>
      <c r="T29" s="3"/>
      <c r="U29" s="3"/>
      <c r="V29" s="3"/>
      <c r="W29" s="3"/>
      <c r="X29" s="3"/>
      <c r="Y29" s="3"/>
      <c r="Z29" s="3"/>
      <c r="AA29" s="3"/>
      <c r="AB29" s="3"/>
      <c r="AC29" s="3"/>
      <c r="AD29" s="3"/>
      <c r="AE29" s="3"/>
      <c r="AF29" s="3"/>
      <c r="AG29" s="3"/>
      <c r="AH29" s="3"/>
      <c r="AI29" s="3"/>
      <c r="AJ29" s="3"/>
      <c r="AK29" s="3"/>
      <c r="AL29" s="3"/>
    </row>
    <row r="30" spans="1:38" ht="11.4" x14ac:dyDescent="0.2">
      <c r="A30" s="3"/>
      <c r="B30" s="212"/>
      <c r="C30" s="584" t="s">
        <v>716</v>
      </c>
      <c r="D30" s="585"/>
      <c r="E30" s="586"/>
      <c r="F30" s="587"/>
      <c r="G30" s="585"/>
      <c r="H30" s="588" t="str">
        <f t="shared" si="1"/>
        <v>.</v>
      </c>
      <c r="I30" s="585"/>
      <c r="J30" s="586"/>
      <c r="K30" s="586"/>
      <c r="L30" s="586"/>
      <c r="M30" s="589" t="str">
        <f t="shared" si="0"/>
        <v>.</v>
      </c>
      <c r="N30" s="214"/>
      <c r="O30" s="3"/>
      <c r="P30" s="3"/>
      <c r="Q30" s="3"/>
      <c r="R30" s="3"/>
      <c r="S30" s="3"/>
      <c r="T30" s="3"/>
      <c r="U30" s="3"/>
      <c r="V30" s="3"/>
      <c r="W30" s="3"/>
      <c r="X30" s="3"/>
      <c r="Y30" s="3"/>
      <c r="Z30" s="3"/>
      <c r="AA30" s="3"/>
      <c r="AB30" s="3"/>
      <c r="AC30" s="3"/>
      <c r="AD30" s="3"/>
      <c r="AE30" s="3"/>
      <c r="AF30" s="3"/>
      <c r="AG30" s="3"/>
      <c r="AH30" s="3"/>
      <c r="AI30" s="3"/>
      <c r="AJ30" s="3"/>
      <c r="AK30" s="3"/>
      <c r="AL30" s="3"/>
    </row>
    <row r="31" spans="1:38" ht="11.4" x14ac:dyDescent="0.2">
      <c r="A31" s="3"/>
      <c r="B31" s="212"/>
      <c r="C31" s="584" t="s">
        <v>716</v>
      </c>
      <c r="D31" s="585"/>
      <c r="E31" s="586"/>
      <c r="F31" s="587"/>
      <c r="G31" s="585"/>
      <c r="H31" s="588" t="str">
        <f t="shared" si="1"/>
        <v>.</v>
      </c>
      <c r="I31" s="585"/>
      <c r="J31" s="586"/>
      <c r="K31" s="586"/>
      <c r="L31" s="586"/>
      <c r="M31" s="589" t="str">
        <f t="shared" si="0"/>
        <v>.</v>
      </c>
      <c r="N31" s="214"/>
      <c r="O31" s="3"/>
      <c r="P31" s="3"/>
      <c r="Q31" s="3"/>
      <c r="R31" s="3"/>
      <c r="S31" s="3"/>
      <c r="T31" s="3"/>
      <c r="U31" s="3"/>
      <c r="V31" s="3"/>
      <c r="W31" s="3"/>
      <c r="X31" s="3"/>
      <c r="Y31" s="3"/>
      <c r="Z31" s="3"/>
      <c r="AA31" s="3"/>
      <c r="AB31" s="3"/>
      <c r="AC31" s="3"/>
      <c r="AD31" s="3"/>
      <c r="AE31" s="3"/>
      <c r="AF31" s="3"/>
      <c r="AG31" s="3"/>
      <c r="AH31" s="3"/>
      <c r="AI31" s="3"/>
      <c r="AJ31" s="3"/>
      <c r="AK31" s="3"/>
      <c r="AL31" s="3"/>
    </row>
    <row r="32" spans="1:38" ht="11.4" x14ac:dyDescent="0.2">
      <c r="A32" s="3"/>
      <c r="B32" s="212"/>
      <c r="C32" s="584" t="s">
        <v>716</v>
      </c>
      <c r="D32" s="585"/>
      <c r="E32" s="586"/>
      <c r="F32" s="587"/>
      <c r="G32" s="585"/>
      <c r="H32" s="588" t="str">
        <f t="shared" si="1"/>
        <v>.</v>
      </c>
      <c r="I32" s="585"/>
      <c r="J32" s="586"/>
      <c r="K32" s="586"/>
      <c r="L32" s="586"/>
      <c r="M32" s="589" t="str">
        <f t="shared" si="0"/>
        <v>.</v>
      </c>
      <c r="N32" s="214"/>
      <c r="O32" s="3"/>
      <c r="P32" s="3"/>
      <c r="Q32" s="3"/>
      <c r="R32" s="3"/>
      <c r="S32" s="3"/>
      <c r="T32" s="3"/>
      <c r="U32" s="3"/>
      <c r="V32" s="3"/>
      <c r="W32" s="3"/>
      <c r="X32" s="3"/>
      <c r="Y32" s="3"/>
      <c r="Z32" s="3"/>
      <c r="AA32" s="3"/>
      <c r="AB32" s="3"/>
      <c r="AC32" s="3"/>
      <c r="AD32" s="3"/>
      <c r="AE32" s="3"/>
      <c r="AF32" s="3"/>
      <c r="AG32" s="3"/>
      <c r="AH32" s="3"/>
      <c r="AI32" s="3"/>
      <c r="AJ32" s="3"/>
      <c r="AK32" s="3"/>
      <c r="AL32" s="3"/>
    </row>
    <row r="33" spans="1:38" ht="11.4" x14ac:dyDescent="0.2">
      <c r="A33" s="3"/>
      <c r="B33" s="212"/>
      <c r="C33" s="584" t="s">
        <v>716</v>
      </c>
      <c r="D33" s="585"/>
      <c r="E33" s="586"/>
      <c r="F33" s="587"/>
      <c r="G33" s="585"/>
      <c r="H33" s="588" t="str">
        <f t="shared" si="1"/>
        <v>.</v>
      </c>
      <c r="I33" s="585"/>
      <c r="J33" s="586"/>
      <c r="K33" s="586"/>
      <c r="L33" s="586"/>
      <c r="M33" s="589" t="str">
        <f t="shared" si="0"/>
        <v>.</v>
      </c>
      <c r="N33" s="214"/>
      <c r="O33" s="3"/>
      <c r="P33" s="3"/>
      <c r="Q33" s="3"/>
      <c r="R33" s="3"/>
      <c r="S33" s="3"/>
      <c r="T33" s="3"/>
      <c r="U33" s="3"/>
      <c r="V33" s="3"/>
      <c r="W33" s="3"/>
      <c r="X33" s="3"/>
      <c r="Y33" s="3"/>
      <c r="Z33" s="3"/>
      <c r="AA33" s="3"/>
      <c r="AB33" s="3"/>
      <c r="AC33" s="3"/>
      <c r="AD33" s="3"/>
      <c r="AE33" s="3"/>
      <c r="AF33" s="3"/>
      <c r="AG33" s="3"/>
      <c r="AH33" s="3"/>
      <c r="AI33" s="3"/>
      <c r="AJ33" s="3"/>
      <c r="AK33" s="3"/>
      <c r="AL33" s="3"/>
    </row>
    <row r="34" spans="1:38" ht="11.4" x14ac:dyDescent="0.2">
      <c r="A34" s="3"/>
      <c r="B34" s="212"/>
      <c r="C34" s="584" t="s">
        <v>716</v>
      </c>
      <c r="D34" s="585"/>
      <c r="E34" s="586"/>
      <c r="F34" s="587"/>
      <c r="G34" s="585"/>
      <c r="H34" s="588" t="str">
        <f t="shared" si="1"/>
        <v>.</v>
      </c>
      <c r="I34" s="585"/>
      <c r="J34" s="586"/>
      <c r="K34" s="586"/>
      <c r="L34" s="586"/>
      <c r="M34" s="589" t="str">
        <f t="shared" si="0"/>
        <v>.</v>
      </c>
      <c r="N34" s="214"/>
      <c r="O34" s="3"/>
      <c r="P34" s="3"/>
      <c r="Q34" s="3"/>
      <c r="R34" s="3"/>
      <c r="S34" s="3"/>
      <c r="T34" s="3"/>
      <c r="U34" s="3"/>
      <c r="V34" s="3"/>
      <c r="W34" s="3"/>
      <c r="X34" s="3"/>
      <c r="Y34" s="3"/>
      <c r="Z34" s="3"/>
      <c r="AA34" s="3"/>
      <c r="AB34" s="3"/>
      <c r="AC34" s="3"/>
      <c r="AD34" s="3"/>
      <c r="AE34" s="3"/>
      <c r="AF34" s="3"/>
      <c r="AG34" s="3"/>
      <c r="AH34" s="3"/>
      <c r="AI34" s="3"/>
      <c r="AJ34" s="3"/>
      <c r="AK34" s="3"/>
      <c r="AL34" s="3"/>
    </row>
    <row r="35" spans="1:38" ht="11.4" x14ac:dyDescent="0.2">
      <c r="A35" s="3"/>
      <c r="B35" s="212"/>
      <c r="C35" s="584" t="s">
        <v>716</v>
      </c>
      <c r="D35" s="585"/>
      <c r="E35" s="586"/>
      <c r="F35" s="587"/>
      <c r="G35" s="585"/>
      <c r="H35" s="588" t="str">
        <f t="shared" si="1"/>
        <v>.</v>
      </c>
      <c r="I35" s="585"/>
      <c r="J35" s="586"/>
      <c r="K35" s="586"/>
      <c r="L35" s="586"/>
      <c r="M35" s="589" t="str">
        <f t="shared" si="0"/>
        <v>.</v>
      </c>
      <c r="N35" s="214"/>
      <c r="O35" s="3"/>
      <c r="P35" s="3"/>
      <c r="Q35" s="3"/>
      <c r="R35" s="3"/>
      <c r="S35" s="3"/>
      <c r="T35" s="3"/>
      <c r="U35" s="3"/>
      <c r="V35" s="3"/>
      <c r="W35" s="3"/>
      <c r="X35" s="3"/>
      <c r="Y35" s="3"/>
      <c r="Z35" s="3"/>
      <c r="AA35" s="3"/>
      <c r="AB35" s="3"/>
      <c r="AC35" s="3"/>
      <c r="AD35" s="3"/>
      <c r="AE35" s="3"/>
      <c r="AF35" s="3"/>
      <c r="AG35" s="3"/>
      <c r="AH35" s="3"/>
      <c r="AI35" s="3"/>
      <c r="AJ35" s="3"/>
      <c r="AK35" s="3"/>
      <c r="AL35" s="3"/>
    </row>
    <row r="36" spans="1:38" ht="11.4" x14ac:dyDescent="0.2">
      <c r="A36" s="3"/>
      <c r="B36" s="212"/>
      <c r="C36" s="584" t="s">
        <v>716</v>
      </c>
      <c r="D36" s="585"/>
      <c r="E36" s="586"/>
      <c r="F36" s="587"/>
      <c r="G36" s="585"/>
      <c r="H36" s="588" t="str">
        <f t="shared" si="1"/>
        <v>.</v>
      </c>
      <c r="I36" s="585"/>
      <c r="J36" s="586"/>
      <c r="K36" s="586"/>
      <c r="L36" s="586"/>
      <c r="M36" s="589" t="str">
        <f t="shared" si="0"/>
        <v>.</v>
      </c>
      <c r="N36" s="214"/>
      <c r="O36" s="3"/>
      <c r="P36" s="3"/>
      <c r="Q36" s="3"/>
      <c r="R36" s="3"/>
      <c r="S36" s="3"/>
      <c r="T36" s="3"/>
      <c r="U36" s="3"/>
      <c r="V36" s="3"/>
      <c r="W36" s="3"/>
      <c r="X36" s="3"/>
      <c r="Y36" s="3"/>
      <c r="Z36" s="3"/>
      <c r="AA36" s="3"/>
      <c r="AB36" s="3"/>
      <c r="AC36" s="3"/>
      <c r="AD36" s="3"/>
      <c r="AE36" s="3"/>
      <c r="AF36" s="3"/>
      <c r="AG36" s="3"/>
      <c r="AH36" s="3"/>
      <c r="AI36" s="3"/>
      <c r="AJ36" s="3"/>
      <c r="AK36" s="3"/>
      <c r="AL36" s="3"/>
    </row>
    <row r="37" spans="1:38" ht="11.4" x14ac:dyDescent="0.2">
      <c r="A37" s="3"/>
      <c r="B37" s="212"/>
      <c r="C37" s="584" t="s">
        <v>716</v>
      </c>
      <c r="D37" s="585"/>
      <c r="E37" s="586"/>
      <c r="F37" s="587"/>
      <c r="G37" s="585"/>
      <c r="H37" s="588" t="str">
        <f t="shared" si="1"/>
        <v>.</v>
      </c>
      <c r="I37" s="585"/>
      <c r="J37" s="586"/>
      <c r="K37" s="586"/>
      <c r="L37" s="586"/>
      <c r="M37" s="589" t="str">
        <f t="shared" si="0"/>
        <v>.</v>
      </c>
      <c r="N37" s="214"/>
      <c r="O37" s="3"/>
      <c r="P37" s="3"/>
      <c r="Q37" s="3"/>
      <c r="R37" s="3"/>
      <c r="S37" s="3"/>
      <c r="T37" s="3"/>
      <c r="U37" s="3"/>
      <c r="V37" s="3"/>
      <c r="W37" s="3"/>
      <c r="X37" s="3"/>
      <c r="Y37" s="3"/>
      <c r="Z37" s="3"/>
      <c r="AA37" s="3"/>
      <c r="AB37" s="3"/>
      <c r="AC37" s="3"/>
      <c r="AD37" s="3"/>
      <c r="AE37" s="3"/>
      <c r="AF37" s="3"/>
      <c r="AG37" s="3"/>
      <c r="AH37" s="3"/>
      <c r="AI37" s="3"/>
      <c r="AJ37" s="3"/>
      <c r="AK37" s="3"/>
      <c r="AL37" s="3"/>
    </row>
    <row r="38" spans="1:38" ht="11.4" x14ac:dyDescent="0.2">
      <c r="A38" s="3"/>
      <c r="B38" s="212"/>
      <c r="C38" s="584" t="s">
        <v>716</v>
      </c>
      <c r="D38" s="585"/>
      <c r="E38" s="586"/>
      <c r="F38" s="587"/>
      <c r="G38" s="585"/>
      <c r="H38" s="588" t="str">
        <f t="shared" si="1"/>
        <v>.</v>
      </c>
      <c r="I38" s="585"/>
      <c r="J38" s="586"/>
      <c r="K38" s="586"/>
      <c r="L38" s="586"/>
      <c r="M38" s="589" t="str">
        <f t="shared" si="0"/>
        <v>.</v>
      </c>
      <c r="N38" s="214"/>
      <c r="O38" s="3"/>
      <c r="P38" s="3"/>
      <c r="Q38" s="3"/>
      <c r="R38" s="3"/>
      <c r="S38" s="3"/>
      <c r="T38" s="3"/>
      <c r="U38" s="3"/>
      <c r="V38" s="3"/>
      <c r="W38" s="3"/>
      <c r="X38" s="3"/>
      <c r="Y38" s="3"/>
      <c r="Z38" s="3"/>
      <c r="AA38" s="3"/>
      <c r="AB38" s="3"/>
      <c r="AC38" s="3"/>
      <c r="AD38" s="3"/>
      <c r="AE38" s="3"/>
      <c r="AF38" s="3"/>
      <c r="AG38" s="3"/>
      <c r="AH38" s="3"/>
      <c r="AI38" s="3"/>
      <c r="AJ38" s="3"/>
      <c r="AK38" s="3"/>
      <c r="AL38" s="3"/>
    </row>
    <row r="39" spans="1:38" s="26" customFormat="1" ht="12" x14ac:dyDescent="0.25">
      <c r="A39" s="3"/>
      <c r="B39" s="221"/>
      <c r="C39" s="591"/>
      <c r="D39" s="107" t="s">
        <v>717</v>
      </c>
      <c r="E39" s="110">
        <f>SUM(E19:E38)</f>
        <v>52016</v>
      </c>
      <c r="F39" s="108"/>
      <c r="G39" s="109"/>
      <c r="H39" s="447"/>
      <c r="I39" s="109"/>
      <c r="J39" s="110">
        <f>SUM(J19:J38)</f>
        <v>0</v>
      </c>
      <c r="K39" s="110">
        <f>SUM(K19:K38)</f>
        <v>30443988568</v>
      </c>
      <c r="L39" s="110">
        <f>SUM(L19:L38)</f>
        <v>0</v>
      </c>
      <c r="M39" s="452">
        <f>SUM(M19:M38)</f>
        <v>62996080.126219511</v>
      </c>
      <c r="N39" s="229"/>
      <c r="O39" s="2"/>
      <c r="P39" s="3"/>
      <c r="Q39" s="2"/>
      <c r="R39" s="2"/>
      <c r="S39" s="2"/>
      <c r="T39" s="2"/>
      <c r="U39" s="2"/>
      <c r="V39" s="2"/>
      <c r="W39" s="2"/>
      <c r="X39" s="3"/>
      <c r="Y39" s="2"/>
      <c r="Z39" s="2"/>
      <c r="AA39" s="2"/>
      <c r="AB39" s="2"/>
      <c r="AC39" s="2"/>
      <c r="AD39" s="2"/>
      <c r="AE39" s="2"/>
      <c r="AF39" s="2"/>
      <c r="AG39" s="2"/>
      <c r="AH39" s="2"/>
      <c r="AI39" s="2"/>
      <c r="AJ39" s="2"/>
      <c r="AK39" s="2"/>
      <c r="AL39" s="2"/>
    </row>
    <row r="40" spans="1:38" ht="11.4" x14ac:dyDescent="0.2">
      <c r="A40" s="3"/>
      <c r="B40" s="212"/>
      <c r="C40" s="584" t="s">
        <v>718</v>
      </c>
      <c r="D40" s="585" t="s">
        <v>718</v>
      </c>
      <c r="E40" s="586">
        <v>2126</v>
      </c>
      <c r="F40" s="587">
        <v>0.35984100000000002</v>
      </c>
      <c r="G40" s="585"/>
      <c r="H40" s="588" t="str">
        <f t="shared" si="1"/>
        <v>.</v>
      </c>
      <c r="I40" s="585">
        <v>625</v>
      </c>
      <c r="J40" s="586">
        <v>1057</v>
      </c>
      <c r="K40" s="586">
        <v>1258619136</v>
      </c>
      <c r="L40" s="586">
        <v>86430299</v>
      </c>
      <c r="M40" s="589">
        <f t="shared" ref="M40:M64" si="2">IF(E40="",".",IF(G40&lt;&gt;"",G40*E40+K40*(F40/100),(K40-L40)*(F40/100)+I40*J40))</f>
        <v>4878641.0329491701</v>
      </c>
      <c r="N40" s="214"/>
      <c r="O40" s="3"/>
      <c r="P40" s="3"/>
      <c r="Q40" s="3"/>
      <c r="R40" s="3"/>
      <c r="S40" s="3"/>
      <c r="T40" s="3"/>
      <c r="U40" s="3"/>
      <c r="V40" s="3"/>
      <c r="W40" s="3"/>
      <c r="X40" s="3"/>
      <c r="Y40" s="3"/>
      <c r="Z40" s="3"/>
      <c r="AA40" s="3"/>
      <c r="AB40" s="3"/>
      <c r="AC40" s="3"/>
      <c r="AD40" s="3"/>
      <c r="AE40" s="3"/>
      <c r="AF40" s="3"/>
      <c r="AG40" s="3"/>
      <c r="AH40" s="3"/>
      <c r="AI40" s="3"/>
      <c r="AJ40" s="3"/>
      <c r="AK40" s="3"/>
      <c r="AL40" s="3"/>
    </row>
    <row r="41" spans="1:38" ht="11.4" x14ac:dyDescent="0.2">
      <c r="A41" s="3"/>
      <c r="B41" s="212"/>
      <c r="C41" s="584" t="s">
        <v>718</v>
      </c>
      <c r="D41" s="585" t="s">
        <v>719</v>
      </c>
      <c r="E41" s="586">
        <v>507</v>
      </c>
      <c r="F41" s="587">
        <v>0.487535</v>
      </c>
      <c r="G41" s="585"/>
      <c r="H41" s="588" t="str">
        <f t="shared" si="1"/>
        <v>.</v>
      </c>
      <c r="I41" s="585">
        <v>625</v>
      </c>
      <c r="J41" s="586">
        <v>106</v>
      </c>
      <c r="K41" s="586">
        <v>505706687</v>
      </c>
      <c r="L41" s="586">
        <v>9321213</v>
      </c>
      <c r="M41" s="589">
        <f t="shared" si="2"/>
        <v>2486302.9206658998</v>
      </c>
      <c r="N41" s="214"/>
      <c r="O41" s="3"/>
      <c r="P41" s="3"/>
      <c r="Q41" s="3"/>
      <c r="R41" s="3"/>
      <c r="S41" s="3"/>
      <c r="T41" s="3"/>
      <c r="U41" s="3"/>
      <c r="V41" s="3"/>
      <c r="W41" s="3"/>
      <c r="X41" s="3"/>
      <c r="Y41" s="3"/>
      <c r="Z41" s="3"/>
      <c r="AA41" s="3"/>
      <c r="AB41" s="3"/>
      <c r="AC41" s="3"/>
      <c r="AD41" s="3"/>
      <c r="AE41" s="3"/>
      <c r="AF41" s="3"/>
      <c r="AG41" s="3"/>
      <c r="AH41" s="3"/>
      <c r="AI41" s="3"/>
      <c r="AJ41" s="3"/>
      <c r="AK41" s="3"/>
      <c r="AL41" s="3"/>
    </row>
    <row r="42" spans="1:38" ht="11.4" x14ac:dyDescent="0.2">
      <c r="A42" s="3"/>
      <c r="B42" s="212"/>
      <c r="C42" s="584" t="s">
        <v>718</v>
      </c>
      <c r="D42" s="585" t="s">
        <v>720</v>
      </c>
      <c r="E42" s="586">
        <v>5</v>
      </c>
      <c r="F42" s="587">
        <v>1.460226</v>
      </c>
      <c r="G42" s="585"/>
      <c r="H42" s="588" t="str">
        <f t="shared" si="1"/>
        <v>.</v>
      </c>
      <c r="I42" s="585"/>
      <c r="J42" s="586"/>
      <c r="K42" s="586">
        <v>87609000</v>
      </c>
      <c r="L42" s="586"/>
      <c r="M42" s="589">
        <f t="shared" si="2"/>
        <v>1279289.39634</v>
      </c>
      <c r="N42" s="214"/>
      <c r="O42" s="3"/>
      <c r="P42" s="3"/>
      <c r="Q42" s="3"/>
      <c r="R42" s="3"/>
      <c r="S42" s="3"/>
      <c r="T42" s="3"/>
      <c r="U42" s="3"/>
      <c r="V42" s="3"/>
      <c r="W42" s="3"/>
      <c r="X42" s="3"/>
      <c r="Y42" s="3"/>
      <c r="Z42" s="3"/>
      <c r="AA42" s="3"/>
      <c r="AB42" s="3"/>
      <c r="AC42" s="3"/>
      <c r="AD42" s="3"/>
      <c r="AE42" s="3"/>
      <c r="AF42" s="3"/>
      <c r="AG42" s="3"/>
      <c r="AH42" s="3"/>
      <c r="AI42" s="3"/>
      <c r="AJ42" s="3"/>
      <c r="AK42" s="3"/>
      <c r="AL42" s="3"/>
    </row>
    <row r="43" spans="1:38" ht="11.4" x14ac:dyDescent="0.2">
      <c r="A43" s="3"/>
      <c r="B43" s="212"/>
      <c r="C43" s="584" t="s">
        <v>718</v>
      </c>
      <c r="D43" s="585"/>
      <c r="E43" s="586"/>
      <c r="F43" s="587"/>
      <c r="G43" s="585"/>
      <c r="H43" s="588" t="str">
        <f t="shared" si="1"/>
        <v>.</v>
      </c>
      <c r="I43" s="585"/>
      <c r="J43" s="586"/>
      <c r="K43" s="586"/>
      <c r="L43" s="586"/>
      <c r="M43" s="589" t="str">
        <f t="shared" si="2"/>
        <v>.</v>
      </c>
      <c r="N43" s="214"/>
      <c r="O43" s="3"/>
      <c r="P43" s="3"/>
      <c r="Q43" s="3"/>
      <c r="R43" s="3"/>
      <c r="S43" s="3"/>
      <c r="T43" s="3"/>
      <c r="U43" s="3"/>
      <c r="V43" s="3"/>
      <c r="W43" s="3"/>
      <c r="X43" s="3"/>
      <c r="Y43" s="3"/>
      <c r="Z43" s="3"/>
      <c r="AA43" s="3"/>
      <c r="AB43" s="3"/>
      <c r="AC43" s="3"/>
      <c r="AD43" s="3"/>
      <c r="AE43" s="3"/>
      <c r="AF43" s="3"/>
      <c r="AG43" s="3"/>
      <c r="AH43" s="3"/>
      <c r="AI43" s="3"/>
      <c r="AJ43" s="3"/>
      <c r="AK43" s="3"/>
      <c r="AL43" s="3"/>
    </row>
    <row r="44" spans="1:38" ht="11.4" x14ac:dyDescent="0.2">
      <c r="A44" s="3"/>
      <c r="B44" s="212"/>
      <c r="C44" s="584" t="s">
        <v>718</v>
      </c>
      <c r="D44" s="585"/>
      <c r="E44" s="586"/>
      <c r="F44" s="587"/>
      <c r="G44" s="585"/>
      <c r="H44" s="588" t="str">
        <f t="shared" si="1"/>
        <v>.</v>
      </c>
      <c r="I44" s="585"/>
      <c r="J44" s="586"/>
      <c r="K44" s="586"/>
      <c r="L44" s="586"/>
      <c r="M44" s="589" t="str">
        <f t="shared" si="2"/>
        <v>.</v>
      </c>
      <c r="N44" s="214"/>
      <c r="O44" s="3"/>
      <c r="P44" s="3"/>
      <c r="Q44" s="3"/>
      <c r="R44" s="3"/>
      <c r="S44" s="3"/>
      <c r="T44" s="3"/>
      <c r="U44" s="3"/>
      <c r="V44" s="3"/>
      <c r="W44" s="3"/>
      <c r="X44" s="3"/>
      <c r="Y44" s="3"/>
      <c r="Z44" s="3"/>
      <c r="AA44" s="3"/>
      <c r="AB44" s="3"/>
      <c r="AC44" s="3"/>
      <c r="AD44" s="3"/>
      <c r="AE44" s="3"/>
      <c r="AF44" s="3"/>
      <c r="AG44" s="3"/>
      <c r="AH44" s="3"/>
      <c r="AI44" s="3"/>
      <c r="AJ44" s="3"/>
      <c r="AK44" s="3"/>
      <c r="AL44" s="3"/>
    </row>
    <row r="45" spans="1:38" ht="11.4" x14ac:dyDescent="0.2">
      <c r="A45" s="3"/>
      <c r="B45" s="212"/>
      <c r="C45" s="584" t="s">
        <v>718</v>
      </c>
      <c r="D45" s="585"/>
      <c r="E45" s="586"/>
      <c r="F45" s="587"/>
      <c r="G45" s="585"/>
      <c r="H45" s="588" t="str">
        <f t="shared" si="1"/>
        <v>.</v>
      </c>
      <c r="I45" s="585"/>
      <c r="J45" s="586"/>
      <c r="K45" s="586"/>
      <c r="L45" s="586"/>
      <c r="M45" s="589" t="str">
        <f t="shared" si="2"/>
        <v>.</v>
      </c>
      <c r="N45" s="214"/>
      <c r="O45" s="3"/>
      <c r="P45" s="3"/>
      <c r="Q45" s="3"/>
      <c r="R45" s="3"/>
      <c r="S45" s="3"/>
      <c r="T45" s="3"/>
      <c r="U45" s="3"/>
      <c r="V45" s="3"/>
      <c r="W45" s="3"/>
      <c r="X45" s="3"/>
      <c r="Y45" s="3"/>
      <c r="Z45" s="3"/>
      <c r="AA45" s="3"/>
      <c r="AB45" s="3"/>
      <c r="AC45" s="3"/>
      <c r="AD45" s="3"/>
      <c r="AE45" s="3"/>
      <c r="AF45" s="3"/>
      <c r="AG45" s="3"/>
      <c r="AH45" s="3"/>
      <c r="AI45" s="3"/>
      <c r="AJ45" s="3"/>
      <c r="AK45" s="3"/>
      <c r="AL45" s="3"/>
    </row>
    <row r="46" spans="1:38" ht="11.4" x14ac:dyDescent="0.2">
      <c r="A46" s="3"/>
      <c r="B46" s="212"/>
      <c r="C46" s="584" t="s">
        <v>718</v>
      </c>
      <c r="D46" s="585"/>
      <c r="E46" s="586"/>
      <c r="F46" s="587"/>
      <c r="G46" s="585"/>
      <c r="H46" s="588" t="str">
        <f t="shared" si="1"/>
        <v>.</v>
      </c>
      <c r="I46" s="585"/>
      <c r="J46" s="586"/>
      <c r="K46" s="586"/>
      <c r="L46" s="586"/>
      <c r="M46" s="589" t="str">
        <f t="shared" si="2"/>
        <v>.</v>
      </c>
      <c r="N46" s="214"/>
      <c r="O46" s="3"/>
      <c r="P46" s="3"/>
      <c r="Q46" s="3"/>
      <c r="R46" s="3"/>
      <c r="S46" s="3"/>
      <c r="T46" s="3"/>
      <c r="U46" s="3"/>
      <c r="V46" s="3"/>
      <c r="W46" s="3"/>
      <c r="X46" s="3"/>
      <c r="Y46" s="3"/>
      <c r="Z46" s="3"/>
      <c r="AA46" s="3"/>
      <c r="AB46" s="3"/>
      <c r="AC46" s="3"/>
      <c r="AD46" s="3"/>
      <c r="AE46" s="3"/>
      <c r="AF46" s="3"/>
      <c r="AG46" s="3"/>
      <c r="AH46" s="3"/>
      <c r="AI46" s="3"/>
      <c r="AJ46" s="3"/>
      <c r="AK46" s="3"/>
      <c r="AL46" s="3"/>
    </row>
    <row r="47" spans="1:38" ht="11.4" x14ac:dyDescent="0.2">
      <c r="A47" s="3"/>
      <c r="B47" s="212"/>
      <c r="C47" s="584" t="s">
        <v>718</v>
      </c>
      <c r="D47" s="585"/>
      <c r="E47" s="586"/>
      <c r="F47" s="587"/>
      <c r="G47" s="585"/>
      <c r="H47" s="588" t="str">
        <f t="shared" si="1"/>
        <v>.</v>
      </c>
      <c r="I47" s="585"/>
      <c r="J47" s="586"/>
      <c r="K47" s="586"/>
      <c r="L47" s="586"/>
      <c r="M47" s="589" t="str">
        <f t="shared" si="2"/>
        <v>.</v>
      </c>
      <c r="N47" s="214"/>
      <c r="O47" s="3"/>
      <c r="P47" s="3"/>
      <c r="Q47" s="3"/>
      <c r="R47" s="3"/>
      <c r="S47" s="3"/>
      <c r="T47" s="3"/>
      <c r="U47" s="3"/>
      <c r="V47" s="3"/>
      <c r="W47" s="3"/>
      <c r="X47" s="3"/>
      <c r="Y47" s="3"/>
      <c r="Z47" s="3"/>
      <c r="AA47" s="3"/>
      <c r="AB47" s="3"/>
      <c r="AC47" s="3"/>
      <c r="AD47" s="3"/>
      <c r="AE47" s="3"/>
      <c r="AF47" s="3"/>
      <c r="AG47" s="3"/>
      <c r="AH47" s="3"/>
      <c r="AI47" s="3"/>
      <c r="AJ47" s="3"/>
      <c r="AK47" s="3"/>
      <c r="AL47" s="3"/>
    </row>
    <row r="48" spans="1:38" ht="11.4" x14ac:dyDescent="0.2">
      <c r="A48" s="3"/>
      <c r="B48" s="212"/>
      <c r="C48" s="584" t="s">
        <v>718</v>
      </c>
      <c r="D48" s="585"/>
      <c r="E48" s="586"/>
      <c r="F48" s="587"/>
      <c r="G48" s="585"/>
      <c r="H48" s="588" t="str">
        <f t="shared" si="1"/>
        <v>.</v>
      </c>
      <c r="I48" s="585"/>
      <c r="J48" s="586"/>
      <c r="K48" s="586"/>
      <c r="L48" s="586"/>
      <c r="M48" s="589" t="str">
        <f t="shared" si="2"/>
        <v>.</v>
      </c>
      <c r="N48" s="214"/>
      <c r="O48" s="3"/>
      <c r="P48" s="3"/>
      <c r="Q48" s="3"/>
      <c r="R48" s="3"/>
      <c r="S48" s="3"/>
      <c r="T48" s="3"/>
      <c r="U48" s="3"/>
      <c r="V48" s="3"/>
      <c r="W48" s="3"/>
      <c r="X48" s="3"/>
      <c r="Y48" s="3"/>
      <c r="Z48" s="3"/>
      <c r="AA48" s="3"/>
      <c r="AB48" s="3"/>
      <c r="AC48" s="3"/>
      <c r="AD48" s="3"/>
      <c r="AE48" s="3"/>
      <c r="AF48" s="3"/>
      <c r="AG48" s="3"/>
      <c r="AH48" s="3"/>
      <c r="AI48" s="3"/>
      <c r="AJ48" s="3"/>
      <c r="AK48" s="3"/>
      <c r="AL48" s="3"/>
    </row>
    <row r="49" spans="1:38" ht="11.4" x14ac:dyDescent="0.2">
      <c r="A49" s="3"/>
      <c r="B49" s="212"/>
      <c r="C49" s="584" t="s">
        <v>718</v>
      </c>
      <c r="D49" s="585"/>
      <c r="E49" s="586"/>
      <c r="F49" s="587"/>
      <c r="G49" s="585"/>
      <c r="H49" s="588" t="str">
        <f t="shared" si="1"/>
        <v>.</v>
      </c>
      <c r="I49" s="585"/>
      <c r="J49" s="586"/>
      <c r="K49" s="586"/>
      <c r="L49" s="586"/>
      <c r="M49" s="589" t="str">
        <f t="shared" si="2"/>
        <v>.</v>
      </c>
      <c r="N49" s="214"/>
      <c r="O49" s="3"/>
      <c r="P49" s="3"/>
      <c r="Q49" s="3"/>
      <c r="R49" s="3"/>
      <c r="S49" s="3"/>
      <c r="T49" s="3"/>
      <c r="U49" s="3"/>
      <c r="V49" s="3"/>
      <c r="W49" s="3"/>
      <c r="X49" s="3"/>
      <c r="Y49" s="3"/>
      <c r="Z49" s="3"/>
      <c r="AA49" s="3"/>
      <c r="AB49" s="3"/>
      <c r="AC49" s="3"/>
      <c r="AD49" s="3"/>
      <c r="AE49" s="3"/>
      <c r="AF49" s="3"/>
      <c r="AG49" s="3"/>
      <c r="AH49" s="3"/>
      <c r="AI49" s="3"/>
      <c r="AJ49" s="3"/>
      <c r="AK49" s="3"/>
      <c r="AL49" s="3"/>
    </row>
    <row r="50" spans="1:38" ht="11.4" x14ac:dyDescent="0.2">
      <c r="A50" s="3"/>
      <c r="B50" s="212"/>
      <c r="C50" s="584" t="s">
        <v>718</v>
      </c>
      <c r="D50" s="585"/>
      <c r="E50" s="586"/>
      <c r="F50" s="587"/>
      <c r="G50" s="585"/>
      <c r="H50" s="588" t="str">
        <f t="shared" si="1"/>
        <v>.</v>
      </c>
      <c r="I50" s="585"/>
      <c r="J50" s="586"/>
      <c r="K50" s="586"/>
      <c r="L50" s="586"/>
      <c r="M50" s="589" t="str">
        <f t="shared" si="2"/>
        <v>.</v>
      </c>
      <c r="N50" s="214"/>
      <c r="O50" s="3"/>
      <c r="P50" s="3"/>
      <c r="Q50" s="3"/>
      <c r="R50" s="3"/>
      <c r="S50" s="3"/>
      <c r="T50" s="3"/>
      <c r="U50" s="3"/>
      <c r="V50" s="3"/>
      <c r="W50" s="3"/>
      <c r="X50" s="3"/>
      <c r="Y50" s="3"/>
      <c r="Z50" s="3"/>
      <c r="AA50" s="3"/>
      <c r="AB50" s="3"/>
      <c r="AC50" s="3"/>
      <c r="AD50" s="3"/>
      <c r="AE50" s="3"/>
      <c r="AF50" s="3"/>
      <c r="AG50" s="3"/>
      <c r="AH50" s="3"/>
      <c r="AI50" s="3"/>
      <c r="AJ50" s="3"/>
      <c r="AK50" s="3"/>
      <c r="AL50" s="3"/>
    </row>
    <row r="51" spans="1:38" ht="11.4" x14ac:dyDescent="0.2">
      <c r="A51" s="3"/>
      <c r="B51" s="212"/>
      <c r="C51" s="584" t="s">
        <v>718</v>
      </c>
      <c r="D51" s="585"/>
      <c r="E51" s="586"/>
      <c r="F51" s="587"/>
      <c r="G51" s="585"/>
      <c r="H51" s="588" t="str">
        <f t="shared" si="1"/>
        <v>.</v>
      </c>
      <c r="I51" s="585"/>
      <c r="J51" s="586"/>
      <c r="K51" s="586"/>
      <c r="L51" s="586"/>
      <c r="M51" s="589" t="str">
        <f t="shared" si="2"/>
        <v>.</v>
      </c>
      <c r="N51" s="214"/>
      <c r="O51" s="3"/>
      <c r="P51" s="3"/>
      <c r="Q51" s="3"/>
      <c r="R51" s="3"/>
      <c r="S51" s="3"/>
      <c r="T51" s="3"/>
      <c r="U51" s="3"/>
      <c r="V51" s="3"/>
      <c r="W51" s="3"/>
      <c r="X51" s="3"/>
      <c r="Y51" s="3"/>
      <c r="Z51" s="3"/>
      <c r="AA51" s="3"/>
      <c r="AB51" s="3"/>
      <c r="AC51" s="3"/>
      <c r="AD51" s="3"/>
      <c r="AE51" s="3"/>
      <c r="AF51" s="3"/>
      <c r="AG51" s="3"/>
      <c r="AH51" s="3"/>
      <c r="AI51" s="3"/>
      <c r="AJ51" s="3"/>
      <c r="AK51" s="3"/>
      <c r="AL51" s="3"/>
    </row>
    <row r="52" spans="1:38" ht="11.4" x14ac:dyDescent="0.2">
      <c r="A52" s="3"/>
      <c r="B52" s="212"/>
      <c r="C52" s="584" t="s">
        <v>718</v>
      </c>
      <c r="D52" s="585"/>
      <c r="E52" s="586"/>
      <c r="F52" s="587"/>
      <c r="G52" s="585"/>
      <c r="H52" s="588" t="str">
        <f t="shared" si="1"/>
        <v>.</v>
      </c>
      <c r="I52" s="585"/>
      <c r="J52" s="586"/>
      <c r="K52" s="586"/>
      <c r="L52" s="586"/>
      <c r="M52" s="589" t="str">
        <f t="shared" si="2"/>
        <v>.</v>
      </c>
      <c r="N52" s="214"/>
      <c r="O52" s="3"/>
      <c r="P52" s="3"/>
      <c r="Q52" s="3"/>
      <c r="R52" s="3"/>
      <c r="S52" s="3"/>
      <c r="T52" s="3"/>
      <c r="U52" s="3"/>
      <c r="V52" s="3"/>
      <c r="W52" s="3"/>
      <c r="X52" s="3"/>
      <c r="Y52" s="3"/>
      <c r="Z52" s="3"/>
      <c r="AA52" s="3"/>
      <c r="AB52" s="3"/>
      <c r="AC52" s="3"/>
      <c r="AD52" s="3"/>
      <c r="AE52" s="3"/>
      <c r="AF52" s="3"/>
      <c r="AG52" s="3"/>
      <c r="AH52" s="3"/>
      <c r="AI52" s="3"/>
      <c r="AJ52" s="3"/>
      <c r="AK52" s="3"/>
      <c r="AL52" s="3"/>
    </row>
    <row r="53" spans="1:38" ht="11.4" x14ac:dyDescent="0.2">
      <c r="A53" s="3"/>
      <c r="B53" s="212"/>
      <c r="C53" s="584" t="s">
        <v>718</v>
      </c>
      <c r="D53" s="585"/>
      <c r="E53" s="586"/>
      <c r="F53" s="587"/>
      <c r="G53" s="585"/>
      <c r="H53" s="588" t="str">
        <f t="shared" si="1"/>
        <v>.</v>
      </c>
      <c r="I53" s="585"/>
      <c r="J53" s="586"/>
      <c r="K53" s="586"/>
      <c r="L53" s="586"/>
      <c r="M53" s="589" t="str">
        <f t="shared" si="2"/>
        <v>.</v>
      </c>
      <c r="N53" s="214"/>
      <c r="O53" s="3"/>
      <c r="P53" s="3"/>
      <c r="Q53" s="3"/>
      <c r="R53" s="3"/>
      <c r="S53" s="3"/>
      <c r="T53" s="3"/>
      <c r="U53" s="3"/>
      <c r="V53" s="3"/>
      <c r="W53" s="3"/>
      <c r="X53" s="3"/>
      <c r="Y53" s="3"/>
      <c r="Z53" s="3"/>
      <c r="AA53" s="3"/>
      <c r="AB53" s="3"/>
      <c r="AC53" s="3"/>
      <c r="AD53" s="3"/>
      <c r="AE53" s="3"/>
      <c r="AF53" s="3"/>
      <c r="AG53" s="3"/>
      <c r="AH53" s="3"/>
      <c r="AI53" s="3"/>
      <c r="AJ53" s="3"/>
      <c r="AK53" s="3"/>
      <c r="AL53" s="3"/>
    </row>
    <row r="54" spans="1:38" ht="11.4" x14ac:dyDescent="0.2">
      <c r="A54" s="3"/>
      <c r="B54" s="212"/>
      <c r="C54" s="584" t="s">
        <v>718</v>
      </c>
      <c r="D54" s="585"/>
      <c r="E54" s="586"/>
      <c r="F54" s="587"/>
      <c r="G54" s="585"/>
      <c r="H54" s="588" t="str">
        <f t="shared" si="1"/>
        <v>.</v>
      </c>
      <c r="I54" s="585"/>
      <c r="J54" s="586"/>
      <c r="K54" s="586"/>
      <c r="L54" s="586"/>
      <c r="M54" s="589" t="str">
        <f t="shared" si="2"/>
        <v>.</v>
      </c>
      <c r="N54" s="214"/>
      <c r="O54" s="3"/>
      <c r="P54" s="3"/>
      <c r="Q54" s="3"/>
      <c r="R54" s="3"/>
      <c r="S54" s="3"/>
      <c r="T54" s="3"/>
      <c r="U54" s="3"/>
      <c r="V54" s="3"/>
      <c r="W54" s="3"/>
      <c r="X54" s="3"/>
      <c r="Y54" s="3"/>
      <c r="Z54" s="3"/>
      <c r="AA54" s="3"/>
      <c r="AB54" s="3"/>
      <c r="AC54" s="3"/>
      <c r="AD54" s="3"/>
      <c r="AE54" s="3"/>
      <c r="AF54" s="3"/>
      <c r="AG54" s="3"/>
      <c r="AH54" s="3"/>
      <c r="AI54" s="3"/>
      <c r="AJ54" s="3"/>
      <c r="AK54" s="3"/>
      <c r="AL54" s="3"/>
    </row>
    <row r="55" spans="1:38" ht="11.4" x14ac:dyDescent="0.2">
      <c r="A55" s="3"/>
      <c r="B55" s="212"/>
      <c r="C55" s="584" t="s">
        <v>718</v>
      </c>
      <c r="D55" s="585"/>
      <c r="E55" s="586"/>
      <c r="F55" s="587"/>
      <c r="G55" s="585"/>
      <c r="H55" s="588" t="str">
        <f t="shared" si="1"/>
        <v>.</v>
      </c>
      <c r="I55" s="585"/>
      <c r="J55" s="586"/>
      <c r="K55" s="586"/>
      <c r="L55" s="586"/>
      <c r="M55" s="589" t="str">
        <f t="shared" si="2"/>
        <v>.</v>
      </c>
      <c r="N55" s="214"/>
      <c r="O55" s="3"/>
      <c r="P55" s="3"/>
      <c r="Q55" s="3"/>
      <c r="R55" s="3"/>
      <c r="S55" s="3"/>
      <c r="T55" s="3"/>
      <c r="U55" s="3"/>
      <c r="V55" s="3"/>
      <c r="W55" s="3"/>
      <c r="X55" s="3"/>
      <c r="Y55" s="3"/>
      <c r="Z55" s="3"/>
      <c r="AA55" s="3"/>
      <c r="AB55" s="3"/>
      <c r="AC55" s="3"/>
      <c r="AD55" s="3"/>
      <c r="AE55" s="3"/>
      <c r="AF55" s="3"/>
      <c r="AG55" s="3"/>
      <c r="AH55" s="3"/>
      <c r="AI55" s="3"/>
      <c r="AJ55" s="3"/>
      <c r="AK55" s="3"/>
      <c r="AL55" s="3"/>
    </row>
    <row r="56" spans="1:38" ht="11.4" x14ac:dyDescent="0.2">
      <c r="A56" s="3"/>
      <c r="B56" s="212"/>
      <c r="C56" s="584" t="s">
        <v>718</v>
      </c>
      <c r="D56" s="585"/>
      <c r="E56" s="586"/>
      <c r="F56" s="587"/>
      <c r="G56" s="585"/>
      <c r="H56" s="588" t="str">
        <f t="shared" si="1"/>
        <v>.</v>
      </c>
      <c r="I56" s="585"/>
      <c r="J56" s="586"/>
      <c r="K56" s="586"/>
      <c r="L56" s="586"/>
      <c r="M56" s="589" t="str">
        <f t="shared" si="2"/>
        <v>.</v>
      </c>
      <c r="N56" s="214"/>
      <c r="O56" s="3"/>
      <c r="P56" s="3"/>
      <c r="Q56" s="3"/>
      <c r="R56" s="3"/>
      <c r="S56" s="3"/>
      <c r="T56" s="3"/>
      <c r="U56" s="3"/>
      <c r="V56" s="3"/>
      <c r="W56" s="3"/>
      <c r="X56" s="3"/>
      <c r="Y56" s="3"/>
      <c r="Z56" s="3"/>
      <c r="AA56" s="3"/>
      <c r="AB56" s="3"/>
      <c r="AC56" s="3"/>
      <c r="AD56" s="3"/>
      <c r="AE56" s="3"/>
      <c r="AF56" s="3"/>
      <c r="AG56" s="3"/>
      <c r="AH56" s="3"/>
      <c r="AI56" s="3"/>
      <c r="AJ56" s="3"/>
      <c r="AK56" s="3"/>
      <c r="AL56" s="3"/>
    </row>
    <row r="57" spans="1:38" ht="11.4" x14ac:dyDescent="0.2">
      <c r="A57" s="3"/>
      <c r="B57" s="212"/>
      <c r="C57" s="584" t="s">
        <v>718</v>
      </c>
      <c r="D57" s="585"/>
      <c r="E57" s="586"/>
      <c r="F57" s="587"/>
      <c r="G57" s="585"/>
      <c r="H57" s="588" t="str">
        <f t="shared" si="1"/>
        <v>.</v>
      </c>
      <c r="I57" s="585"/>
      <c r="J57" s="586"/>
      <c r="K57" s="586"/>
      <c r="L57" s="586"/>
      <c r="M57" s="589" t="str">
        <f t="shared" si="2"/>
        <v>.</v>
      </c>
      <c r="N57" s="214"/>
      <c r="O57" s="3"/>
      <c r="P57" s="3"/>
      <c r="Q57" s="3"/>
      <c r="R57" s="3"/>
      <c r="S57" s="3"/>
      <c r="T57" s="3"/>
      <c r="U57" s="3"/>
      <c r="V57" s="3"/>
      <c r="W57" s="3"/>
      <c r="X57" s="3"/>
      <c r="Y57" s="3"/>
      <c r="Z57" s="3"/>
      <c r="AA57" s="3"/>
      <c r="AB57" s="3"/>
      <c r="AC57" s="3"/>
      <c r="AD57" s="3"/>
      <c r="AE57" s="3"/>
      <c r="AF57" s="3"/>
      <c r="AG57" s="3"/>
      <c r="AH57" s="3"/>
      <c r="AI57" s="3"/>
      <c r="AJ57" s="3"/>
      <c r="AK57" s="3"/>
      <c r="AL57" s="3"/>
    </row>
    <row r="58" spans="1:38" ht="11.4" x14ac:dyDescent="0.2">
      <c r="A58" s="3"/>
      <c r="B58" s="212"/>
      <c r="C58" s="584" t="s">
        <v>718</v>
      </c>
      <c r="D58" s="585"/>
      <c r="E58" s="586"/>
      <c r="F58" s="587"/>
      <c r="G58" s="585"/>
      <c r="H58" s="588" t="str">
        <f t="shared" si="1"/>
        <v>.</v>
      </c>
      <c r="I58" s="585"/>
      <c r="J58" s="586"/>
      <c r="K58" s="586"/>
      <c r="L58" s="586"/>
      <c r="M58" s="589" t="str">
        <f t="shared" si="2"/>
        <v>.</v>
      </c>
      <c r="N58" s="214"/>
      <c r="O58" s="3"/>
      <c r="P58" s="3"/>
      <c r="Q58" s="3"/>
      <c r="R58" s="3"/>
      <c r="S58" s="3"/>
      <c r="T58" s="3"/>
      <c r="U58" s="3"/>
      <c r="V58" s="3"/>
      <c r="W58" s="3"/>
      <c r="X58" s="3"/>
      <c r="Y58" s="3"/>
      <c r="Z58" s="3"/>
      <c r="AA58" s="3"/>
      <c r="AB58" s="3"/>
      <c r="AC58" s="3"/>
      <c r="AD58" s="3"/>
      <c r="AE58" s="3"/>
      <c r="AF58" s="3"/>
      <c r="AG58" s="3"/>
      <c r="AH58" s="3"/>
      <c r="AI58" s="3"/>
      <c r="AJ58" s="3"/>
      <c r="AK58" s="3"/>
      <c r="AL58" s="3"/>
    </row>
    <row r="59" spans="1:38" ht="11.4" x14ac:dyDescent="0.2">
      <c r="A59" s="3"/>
      <c r="B59" s="212"/>
      <c r="C59" s="584" t="s">
        <v>718</v>
      </c>
      <c r="D59" s="585"/>
      <c r="E59" s="586"/>
      <c r="F59" s="587"/>
      <c r="G59" s="585"/>
      <c r="H59" s="588" t="str">
        <f t="shared" si="1"/>
        <v>.</v>
      </c>
      <c r="I59" s="585"/>
      <c r="J59" s="586"/>
      <c r="K59" s="586"/>
      <c r="L59" s="586"/>
      <c r="M59" s="589" t="str">
        <f t="shared" si="2"/>
        <v>.</v>
      </c>
      <c r="N59" s="214"/>
      <c r="O59" s="3"/>
      <c r="P59" s="3"/>
      <c r="Q59" s="3"/>
      <c r="R59" s="3"/>
      <c r="S59" s="3"/>
      <c r="T59" s="3"/>
      <c r="U59" s="3"/>
      <c r="V59" s="3"/>
      <c r="W59" s="3"/>
      <c r="X59" s="3"/>
      <c r="Y59" s="3"/>
      <c r="Z59" s="3"/>
      <c r="AA59" s="3"/>
      <c r="AB59" s="3"/>
      <c r="AC59" s="3"/>
      <c r="AD59" s="3"/>
      <c r="AE59" s="3"/>
      <c r="AF59" s="3"/>
      <c r="AG59" s="3"/>
      <c r="AH59" s="3"/>
      <c r="AI59" s="3"/>
      <c r="AJ59" s="3"/>
      <c r="AK59" s="3"/>
      <c r="AL59" s="3"/>
    </row>
    <row r="60" spans="1:38" ht="11.4" x14ac:dyDescent="0.2">
      <c r="A60" s="3"/>
      <c r="B60" s="212"/>
      <c r="C60" s="584" t="s">
        <v>718</v>
      </c>
      <c r="D60" s="585"/>
      <c r="E60" s="586"/>
      <c r="F60" s="587"/>
      <c r="G60" s="585"/>
      <c r="H60" s="588" t="str">
        <f t="shared" si="1"/>
        <v>.</v>
      </c>
      <c r="I60" s="585"/>
      <c r="J60" s="586"/>
      <c r="K60" s="586"/>
      <c r="L60" s="586"/>
      <c r="M60" s="589" t="str">
        <f t="shared" si="2"/>
        <v>.</v>
      </c>
      <c r="N60" s="214"/>
      <c r="O60" s="3"/>
      <c r="P60" s="3"/>
      <c r="Q60" s="3"/>
      <c r="R60" s="3"/>
      <c r="S60" s="3"/>
      <c r="T60" s="3"/>
      <c r="U60" s="3"/>
      <c r="V60" s="3"/>
      <c r="W60" s="3"/>
      <c r="X60" s="3"/>
      <c r="Y60" s="3"/>
      <c r="Z60" s="3"/>
      <c r="AA60" s="3"/>
      <c r="AB60" s="3"/>
      <c r="AC60" s="3"/>
      <c r="AD60" s="3"/>
      <c r="AE60" s="3"/>
      <c r="AF60" s="3"/>
      <c r="AG60" s="3"/>
      <c r="AH60" s="3"/>
      <c r="AI60" s="3"/>
      <c r="AJ60" s="3"/>
      <c r="AK60" s="3"/>
      <c r="AL60" s="3"/>
    </row>
    <row r="61" spans="1:38" ht="11.4" x14ac:dyDescent="0.2">
      <c r="A61" s="3"/>
      <c r="B61" s="212"/>
      <c r="C61" s="584" t="s">
        <v>718</v>
      </c>
      <c r="D61" s="585"/>
      <c r="E61" s="586"/>
      <c r="F61" s="587"/>
      <c r="G61" s="585"/>
      <c r="H61" s="588" t="str">
        <f t="shared" si="1"/>
        <v>.</v>
      </c>
      <c r="I61" s="585"/>
      <c r="J61" s="586"/>
      <c r="K61" s="586"/>
      <c r="L61" s="586"/>
      <c r="M61" s="589" t="str">
        <f t="shared" si="2"/>
        <v>.</v>
      </c>
      <c r="N61" s="214"/>
      <c r="O61" s="3"/>
      <c r="P61" s="3"/>
      <c r="Q61" s="3"/>
      <c r="R61" s="3"/>
      <c r="S61" s="3"/>
      <c r="T61" s="3"/>
      <c r="U61" s="3"/>
      <c r="V61" s="3"/>
      <c r="W61" s="3"/>
      <c r="X61" s="3"/>
      <c r="Y61" s="3"/>
      <c r="Z61" s="3"/>
      <c r="AA61" s="3"/>
      <c r="AB61" s="3"/>
      <c r="AC61" s="3"/>
      <c r="AD61" s="3"/>
      <c r="AE61" s="3"/>
      <c r="AF61" s="3"/>
      <c r="AG61" s="3"/>
      <c r="AH61" s="3"/>
      <c r="AI61" s="3"/>
      <c r="AJ61" s="3"/>
      <c r="AK61" s="3"/>
      <c r="AL61" s="3"/>
    </row>
    <row r="62" spans="1:38" ht="11.4" x14ac:dyDescent="0.2">
      <c r="A62" s="3"/>
      <c r="B62" s="212"/>
      <c r="C62" s="584" t="s">
        <v>718</v>
      </c>
      <c r="D62" s="585"/>
      <c r="E62" s="586"/>
      <c r="F62" s="587"/>
      <c r="G62" s="585"/>
      <c r="H62" s="588" t="str">
        <f t="shared" si="1"/>
        <v>.</v>
      </c>
      <c r="I62" s="585"/>
      <c r="J62" s="586"/>
      <c r="K62" s="586"/>
      <c r="L62" s="586"/>
      <c r="M62" s="589" t="str">
        <f t="shared" si="2"/>
        <v>.</v>
      </c>
      <c r="N62" s="214"/>
      <c r="O62" s="3"/>
      <c r="P62" s="3"/>
      <c r="Q62" s="3"/>
      <c r="R62" s="3"/>
      <c r="S62" s="3"/>
      <c r="T62" s="3"/>
      <c r="U62" s="3"/>
      <c r="V62" s="3"/>
      <c r="W62" s="3"/>
      <c r="X62" s="3"/>
      <c r="Y62" s="3"/>
      <c r="Z62" s="3"/>
      <c r="AA62" s="3"/>
      <c r="AB62" s="3"/>
      <c r="AC62" s="3"/>
      <c r="AD62" s="3"/>
      <c r="AE62" s="3"/>
      <c r="AF62" s="3"/>
      <c r="AG62" s="3"/>
      <c r="AH62" s="3"/>
      <c r="AI62" s="3"/>
      <c r="AJ62" s="3"/>
      <c r="AK62" s="3"/>
      <c r="AL62" s="3"/>
    </row>
    <row r="63" spans="1:38" ht="11.4" x14ac:dyDescent="0.2">
      <c r="A63" s="3"/>
      <c r="B63" s="212"/>
      <c r="C63" s="584" t="s">
        <v>718</v>
      </c>
      <c r="D63" s="585"/>
      <c r="E63" s="586"/>
      <c r="F63" s="587"/>
      <c r="G63" s="585"/>
      <c r="H63" s="588" t="str">
        <f t="shared" si="1"/>
        <v>.</v>
      </c>
      <c r="I63" s="585"/>
      <c r="J63" s="586"/>
      <c r="K63" s="586"/>
      <c r="L63" s="586"/>
      <c r="M63" s="589" t="str">
        <f t="shared" si="2"/>
        <v>.</v>
      </c>
      <c r="N63" s="214"/>
      <c r="O63" s="3"/>
      <c r="P63" s="3"/>
      <c r="Q63" s="3"/>
      <c r="R63" s="3"/>
      <c r="S63" s="3"/>
      <c r="T63" s="3"/>
      <c r="U63" s="3"/>
      <c r="V63" s="3"/>
      <c r="W63" s="3"/>
      <c r="X63" s="3"/>
      <c r="Y63" s="3"/>
      <c r="Z63" s="3"/>
      <c r="AA63" s="3"/>
      <c r="AB63" s="3"/>
      <c r="AC63" s="3"/>
      <c r="AD63" s="3"/>
      <c r="AE63" s="3"/>
      <c r="AF63" s="3"/>
      <c r="AG63" s="3"/>
      <c r="AH63" s="3"/>
      <c r="AI63" s="3"/>
      <c r="AJ63" s="3"/>
      <c r="AK63" s="3"/>
      <c r="AL63" s="3"/>
    </row>
    <row r="64" spans="1:38" ht="11.4" x14ac:dyDescent="0.2">
      <c r="A64" s="3"/>
      <c r="B64" s="212"/>
      <c r="C64" s="584" t="s">
        <v>718</v>
      </c>
      <c r="D64" s="585"/>
      <c r="E64" s="586"/>
      <c r="F64" s="587"/>
      <c r="G64" s="585"/>
      <c r="H64" s="588" t="str">
        <f t="shared" si="1"/>
        <v>.</v>
      </c>
      <c r="I64" s="585"/>
      <c r="J64" s="586"/>
      <c r="K64" s="586"/>
      <c r="L64" s="586"/>
      <c r="M64" s="589" t="str">
        <f t="shared" si="2"/>
        <v>.</v>
      </c>
      <c r="N64" s="214"/>
      <c r="O64" s="3"/>
      <c r="P64" s="3"/>
      <c r="Q64" s="3"/>
      <c r="R64" s="3"/>
      <c r="S64" s="3"/>
      <c r="T64" s="3"/>
      <c r="U64" s="3"/>
      <c r="V64" s="3"/>
      <c r="W64" s="3"/>
      <c r="X64" s="3"/>
      <c r="Y64" s="3"/>
      <c r="Z64" s="3"/>
      <c r="AA64" s="3"/>
      <c r="AB64" s="3"/>
      <c r="AC64" s="3"/>
      <c r="AD64" s="3"/>
      <c r="AE64" s="3"/>
      <c r="AF64" s="3"/>
      <c r="AG64" s="3"/>
      <c r="AH64" s="3"/>
      <c r="AI64" s="3"/>
      <c r="AJ64" s="3"/>
      <c r="AK64" s="3"/>
      <c r="AL64" s="3"/>
    </row>
    <row r="65" spans="1:38" s="26" customFormat="1" ht="12" x14ac:dyDescent="0.25">
      <c r="A65" s="3"/>
      <c r="B65" s="221"/>
      <c r="C65" s="584"/>
      <c r="D65" s="107" t="s">
        <v>721</v>
      </c>
      <c r="E65" s="110">
        <f>SUM(E40:E64)</f>
        <v>2638</v>
      </c>
      <c r="F65" s="108"/>
      <c r="G65" s="109"/>
      <c r="H65" s="447"/>
      <c r="I65" s="109"/>
      <c r="J65" s="110">
        <f>SUM(J40:J64)</f>
        <v>1163</v>
      </c>
      <c r="K65" s="110">
        <f>SUM(K40:K64)</f>
        <v>1851934823</v>
      </c>
      <c r="L65" s="110">
        <f>SUM(L40:L64)</f>
        <v>95751512</v>
      </c>
      <c r="M65" s="452">
        <f>SUM(M40:M64)</f>
        <v>8644233.3499550689</v>
      </c>
      <c r="N65" s="214"/>
      <c r="O65" s="2"/>
      <c r="Q65" s="2"/>
      <c r="R65" s="2"/>
      <c r="S65" s="2"/>
      <c r="T65" s="2"/>
      <c r="U65" s="2"/>
      <c r="V65" s="2"/>
      <c r="W65" s="2"/>
      <c r="X65" s="3"/>
      <c r="Y65" s="2"/>
      <c r="Z65" s="2"/>
      <c r="AA65" s="2"/>
      <c r="AB65" s="2"/>
      <c r="AC65" s="2"/>
      <c r="AD65" s="2"/>
      <c r="AE65" s="2"/>
      <c r="AF65" s="2"/>
      <c r="AG65" s="2"/>
      <c r="AH65" s="2"/>
      <c r="AI65" s="2"/>
      <c r="AJ65" s="2"/>
      <c r="AK65" s="2"/>
      <c r="AL65" s="2"/>
    </row>
    <row r="66" spans="1:38" ht="11.4" x14ac:dyDescent="0.2">
      <c r="A66" s="3"/>
      <c r="B66" s="212"/>
      <c r="C66" s="584" t="s">
        <v>722</v>
      </c>
      <c r="D66" s="585" t="s">
        <v>722</v>
      </c>
      <c r="E66" s="586">
        <v>313</v>
      </c>
      <c r="F66" s="587">
        <v>8.8388999999999995E-2</v>
      </c>
      <c r="G66" s="585">
        <v>595</v>
      </c>
      <c r="H66" s="588">
        <f t="shared" si="1"/>
        <v>0.29279984649562224</v>
      </c>
      <c r="I66" s="585"/>
      <c r="J66" s="586"/>
      <c r="K66" s="586">
        <v>508902500</v>
      </c>
      <c r="L66" s="586"/>
      <c r="M66" s="589">
        <f t="shared" ref="M66:M74" si="3">IF(E66="",".",IF(G66&lt;&gt;"",G66*E66+K66*(F66/100),(K66-L66)*(F66/100)+I66*J66))</f>
        <v>636048.83072500001</v>
      </c>
      <c r="N66" s="214"/>
      <c r="O66" s="3"/>
      <c r="P66" s="3"/>
      <c r="Q66" s="3"/>
      <c r="R66" s="3"/>
      <c r="S66" s="3"/>
      <c r="T66" s="3"/>
      <c r="U66" s="3"/>
      <c r="V66" s="3"/>
      <c r="W66" s="3"/>
      <c r="X66" s="3"/>
      <c r="Y66" s="3"/>
      <c r="Z66" s="3"/>
      <c r="AA66" s="3"/>
      <c r="AB66" s="3"/>
      <c r="AC66" s="3"/>
      <c r="AD66" s="3"/>
      <c r="AE66" s="3"/>
      <c r="AF66" s="3"/>
      <c r="AG66" s="3"/>
      <c r="AH66" s="3"/>
      <c r="AI66" s="3"/>
      <c r="AJ66" s="3"/>
      <c r="AK66" s="3"/>
      <c r="AL66" s="3"/>
    </row>
    <row r="67" spans="1:38" ht="11.4" x14ac:dyDescent="0.2">
      <c r="A67" s="3"/>
      <c r="B67" s="212"/>
      <c r="C67" s="584" t="s">
        <v>722</v>
      </c>
      <c r="D67" s="585"/>
      <c r="E67" s="586"/>
      <c r="F67" s="587"/>
      <c r="G67" s="585"/>
      <c r="H67" s="588" t="str">
        <f t="shared" si="1"/>
        <v>.</v>
      </c>
      <c r="I67" s="585"/>
      <c r="J67" s="586"/>
      <c r="K67" s="586"/>
      <c r="L67" s="586"/>
      <c r="M67" s="589" t="str">
        <f t="shared" si="3"/>
        <v>.</v>
      </c>
      <c r="N67" s="214"/>
      <c r="O67" s="3"/>
      <c r="P67" s="3"/>
      <c r="Q67" s="3"/>
      <c r="R67" s="3"/>
      <c r="S67" s="3"/>
      <c r="T67" s="3"/>
      <c r="U67" s="3"/>
      <c r="V67" s="3"/>
      <c r="W67" s="3"/>
      <c r="X67" s="3"/>
      <c r="Y67" s="3"/>
      <c r="Z67" s="3"/>
      <c r="AA67" s="3"/>
      <c r="AB67" s="3"/>
      <c r="AC67" s="3"/>
      <c r="AD67" s="3"/>
      <c r="AE67" s="3"/>
      <c r="AF67" s="3"/>
      <c r="AG67" s="3"/>
      <c r="AH67" s="3"/>
      <c r="AI67" s="3"/>
      <c r="AJ67" s="3"/>
      <c r="AK67" s="3"/>
      <c r="AL67" s="3"/>
    </row>
    <row r="68" spans="1:38" ht="11.4" x14ac:dyDescent="0.2">
      <c r="A68" s="3"/>
      <c r="B68" s="212"/>
      <c r="C68" s="584" t="s">
        <v>722</v>
      </c>
      <c r="D68" s="585"/>
      <c r="E68" s="586"/>
      <c r="F68" s="587"/>
      <c r="G68" s="585"/>
      <c r="H68" s="588" t="str">
        <f t="shared" si="1"/>
        <v>.</v>
      </c>
      <c r="I68" s="585"/>
      <c r="J68" s="586"/>
      <c r="K68" s="586"/>
      <c r="L68" s="586"/>
      <c r="M68" s="589" t="str">
        <f t="shared" si="3"/>
        <v>.</v>
      </c>
      <c r="N68" s="214"/>
      <c r="O68" s="3"/>
      <c r="P68" s="3"/>
      <c r="Q68" s="3"/>
      <c r="R68" s="3"/>
      <c r="S68" s="3"/>
      <c r="T68" s="3"/>
      <c r="U68" s="3"/>
      <c r="V68" s="3"/>
      <c r="W68" s="3"/>
      <c r="X68" s="3"/>
      <c r="Y68" s="3"/>
      <c r="Z68" s="3"/>
      <c r="AA68" s="3"/>
      <c r="AB68" s="3"/>
      <c r="AC68" s="3"/>
      <c r="AD68" s="3"/>
      <c r="AE68" s="3"/>
      <c r="AF68" s="3"/>
      <c r="AG68" s="3"/>
      <c r="AH68" s="3"/>
      <c r="AI68" s="3"/>
      <c r="AJ68" s="3"/>
      <c r="AK68" s="3"/>
      <c r="AL68" s="3"/>
    </row>
    <row r="69" spans="1:38" ht="11.4" x14ac:dyDescent="0.2">
      <c r="A69" s="3"/>
      <c r="B69" s="212"/>
      <c r="C69" s="584" t="s">
        <v>722</v>
      </c>
      <c r="D69" s="585"/>
      <c r="E69" s="586"/>
      <c r="F69" s="587"/>
      <c r="G69" s="585"/>
      <c r="H69" s="588" t="str">
        <f t="shared" si="1"/>
        <v>.</v>
      </c>
      <c r="I69" s="585"/>
      <c r="J69" s="586"/>
      <c r="K69" s="586"/>
      <c r="L69" s="586"/>
      <c r="M69" s="589" t="str">
        <f t="shared" si="3"/>
        <v>.</v>
      </c>
      <c r="N69" s="214"/>
      <c r="O69" s="3"/>
      <c r="P69" s="3"/>
      <c r="Q69" s="3"/>
      <c r="R69" s="3"/>
      <c r="S69" s="3"/>
      <c r="T69" s="3"/>
      <c r="U69" s="3"/>
      <c r="V69" s="3"/>
      <c r="W69" s="3"/>
      <c r="X69" s="3"/>
      <c r="Y69" s="3"/>
      <c r="Z69" s="3"/>
      <c r="AA69" s="3"/>
      <c r="AB69" s="3"/>
      <c r="AC69" s="3"/>
      <c r="AD69" s="3"/>
      <c r="AE69" s="3"/>
      <c r="AF69" s="3"/>
      <c r="AG69" s="3"/>
      <c r="AH69" s="3"/>
      <c r="AI69" s="3"/>
      <c r="AJ69" s="3"/>
      <c r="AK69" s="3"/>
      <c r="AL69" s="3"/>
    </row>
    <row r="70" spans="1:38" ht="11.4" x14ac:dyDescent="0.2">
      <c r="A70" s="3"/>
      <c r="B70" s="212"/>
      <c r="C70" s="584" t="s">
        <v>722</v>
      </c>
      <c r="D70" s="585"/>
      <c r="E70" s="586"/>
      <c r="F70" s="587"/>
      <c r="G70" s="585"/>
      <c r="H70" s="588" t="str">
        <f t="shared" si="1"/>
        <v>.</v>
      </c>
      <c r="I70" s="585"/>
      <c r="J70" s="586"/>
      <c r="K70" s="586"/>
      <c r="L70" s="586"/>
      <c r="M70" s="589" t="str">
        <f t="shared" si="3"/>
        <v>.</v>
      </c>
      <c r="N70" s="214"/>
      <c r="O70" s="3"/>
      <c r="P70" s="3"/>
      <c r="Q70" s="3"/>
      <c r="R70" s="3"/>
      <c r="S70" s="3"/>
      <c r="T70" s="3"/>
      <c r="U70" s="3"/>
      <c r="V70" s="3"/>
      <c r="W70" s="3"/>
      <c r="X70" s="3"/>
      <c r="Y70" s="3"/>
      <c r="Z70" s="3"/>
      <c r="AA70" s="3"/>
      <c r="AB70" s="3"/>
      <c r="AC70" s="3"/>
      <c r="AD70" s="3"/>
      <c r="AE70" s="3"/>
      <c r="AF70" s="3"/>
      <c r="AG70" s="3"/>
      <c r="AH70" s="3"/>
      <c r="AI70" s="3"/>
      <c r="AJ70" s="3"/>
      <c r="AK70" s="3"/>
      <c r="AL70" s="3"/>
    </row>
    <row r="71" spans="1:38" ht="11.4" x14ac:dyDescent="0.2">
      <c r="A71" s="3"/>
      <c r="B71" s="212"/>
      <c r="C71" s="584" t="s">
        <v>722</v>
      </c>
      <c r="D71" s="585"/>
      <c r="E71" s="586"/>
      <c r="F71" s="587"/>
      <c r="G71" s="585"/>
      <c r="H71" s="588" t="str">
        <f t="shared" si="1"/>
        <v>.</v>
      </c>
      <c r="I71" s="585"/>
      <c r="J71" s="586"/>
      <c r="K71" s="586"/>
      <c r="L71" s="586"/>
      <c r="M71" s="589" t="str">
        <f t="shared" si="3"/>
        <v>.</v>
      </c>
      <c r="N71" s="214"/>
      <c r="O71" s="3"/>
      <c r="P71" s="3"/>
      <c r="Q71" s="3"/>
      <c r="R71" s="3"/>
      <c r="S71" s="3"/>
      <c r="T71" s="3"/>
      <c r="U71" s="3"/>
      <c r="V71" s="3"/>
      <c r="W71" s="3"/>
      <c r="X71" s="3"/>
      <c r="Y71" s="3"/>
      <c r="Z71" s="3"/>
      <c r="AA71" s="3"/>
      <c r="AB71" s="3"/>
      <c r="AC71" s="3"/>
      <c r="AD71" s="3"/>
      <c r="AE71" s="3"/>
      <c r="AF71" s="3"/>
      <c r="AG71" s="3"/>
      <c r="AH71" s="3"/>
      <c r="AI71" s="3"/>
      <c r="AJ71" s="3"/>
      <c r="AK71" s="3"/>
      <c r="AL71" s="3"/>
    </row>
    <row r="72" spans="1:38" ht="11.4" x14ac:dyDescent="0.2">
      <c r="A72" s="3"/>
      <c r="B72" s="212"/>
      <c r="C72" s="584" t="s">
        <v>722</v>
      </c>
      <c r="D72" s="585"/>
      <c r="E72" s="586"/>
      <c r="F72" s="587"/>
      <c r="G72" s="585"/>
      <c r="H72" s="588" t="str">
        <f t="shared" si="1"/>
        <v>.</v>
      </c>
      <c r="I72" s="585"/>
      <c r="J72" s="586"/>
      <c r="K72" s="586"/>
      <c r="L72" s="586"/>
      <c r="M72" s="589" t="str">
        <f t="shared" si="3"/>
        <v>.</v>
      </c>
      <c r="N72" s="214"/>
      <c r="O72" s="3"/>
      <c r="P72" s="3"/>
      <c r="Q72" s="3"/>
      <c r="R72" s="3"/>
      <c r="S72" s="3"/>
      <c r="T72" s="3"/>
      <c r="U72" s="3"/>
      <c r="V72" s="3"/>
      <c r="W72" s="3"/>
      <c r="X72" s="3"/>
      <c r="Y72" s="3"/>
      <c r="Z72" s="3"/>
      <c r="AA72" s="3"/>
      <c r="AB72" s="3"/>
      <c r="AC72" s="3"/>
      <c r="AD72" s="3"/>
      <c r="AE72" s="3"/>
      <c r="AF72" s="3"/>
      <c r="AG72" s="3"/>
      <c r="AH72" s="3"/>
      <c r="AI72" s="3"/>
      <c r="AJ72" s="3"/>
      <c r="AK72" s="3"/>
      <c r="AL72" s="3"/>
    </row>
    <row r="73" spans="1:38" ht="11.4" x14ac:dyDescent="0.2">
      <c r="A73" s="3"/>
      <c r="B73" s="212"/>
      <c r="C73" s="584" t="s">
        <v>722</v>
      </c>
      <c r="D73" s="585"/>
      <c r="E73" s="586"/>
      <c r="F73" s="587"/>
      <c r="G73" s="585"/>
      <c r="H73" s="588" t="str">
        <f t="shared" si="1"/>
        <v>.</v>
      </c>
      <c r="I73" s="585"/>
      <c r="J73" s="586"/>
      <c r="K73" s="586"/>
      <c r="L73" s="586"/>
      <c r="M73" s="589" t="str">
        <f t="shared" si="3"/>
        <v>.</v>
      </c>
      <c r="N73" s="214"/>
      <c r="O73" s="3"/>
      <c r="P73" s="3"/>
      <c r="Q73" s="3"/>
      <c r="R73" s="3"/>
      <c r="S73" s="3"/>
      <c r="T73" s="3"/>
      <c r="U73" s="3"/>
      <c r="V73" s="3"/>
      <c r="W73" s="3"/>
      <c r="X73" s="3"/>
      <c r="Y73" s="3"/>
      <c r="Z73" s="3"/>
      <c r="AA73" s="3"/>
      <c r="AB73" s="3"/>
      <c r="AC73" s="3"/>
      <c r="AD73" s="3"/>
      <c r="AE73" s="3"/>
      <c r="AF73" s="3"/>
      <c r="AG73" s="3"/>
      <c r="AH73" s="3"/>
      <c r="AI73" s="3"/>
      <c r="AJ73" s="3"/>
      <c r="AK73" s="3"/>
      <c r="AL73" s="3"/>
    </row>
    <row r="74" spans="1:38" ht="11.4" x14ac:dyDescent="0.2">
      <c r="A74" s="3"/>
      <c r="B74" s="212"/>
      <c r="C74" s="584" t="s">
        <v>722</v>
      </c>
      <c r="D74" s="585"/>
      <c r="E74" s="586"/>
      <c r="F74" s="587"/>
      <c r="G74" s="585"/>
      <c r="H74" s="588" t="str">
        <f t="shared" si="1"/>
        <v>.</v>
      </c>
      <c r="I74" s="585"/>
      <c r="J74" s="586"/>
      <c r="K74" s="586"/>
      <c r="L74" s="586"/>
      <c r="M74" s="589" t="str">
        <f t="shared" si="3"/>
        <v>.</v>
      </c>
      <c r="N74" s="214"/>
      <c r="O74" s="3"/>
      <c r="P74" s="3"/>
      <c r="Q74" s="3"/>
      <c r="R74" s="3"/>
      <c r="S74" s="3"/>
      <c r="T74" s="3"/>
      <c r="U74" s="3"/>
      <c r="V74" s="3"/>
      <c r="W74" s="3"/>
      <c r="X74" s="3"/>
      <c r="Y74" s="3"/>
      <c r="Z74" s="3"/>
      <c r="AA74" s="3"/>
      <c r="AB74" s="3"/>
      <c r="AC74" s="3"/>
      <c r="AD74" s="3"/>
      <c r="AE74" s="3"/>
      <c r="AF74" s="3"/>
      <c r="AG74" s="3"/>
      <c r="AH74" s="3"/>
      <c r="AI74" s="3"/>
      <c r="AJ74" s="3"/>
      <c r="AK74" s="3"/>
      <c r="AL74" s="3"/>
    </row>
    <row r="75" spans="1:38" ht="11.4" x14ac:dyDescent="0.2">
      <c r="A75" s="3"/>
      <c r="B75" s="212"/>
      <c r="C75" s="584" t="s">
        <v>722</v>
      </c>
      <c r="D75" s="585"/>
      <c r="E75" s="586"/>
      <c r="F75" s="587"/>
      <c r="G75" s="585"/>
      <c r="H75" s="588" t="str">
        <f t="shared" si="1"/>
        <v>.</v>
      </c>
      <c r="I75" s="585"/>
      <c r="J75" s="586"/>
      <c r="K75" s="586"/>
      <c r="L75" s="586"/>
      <c r="M75" s="589" t="str">
        <f>IF(E75="",".",IF(G75&lt;&gt;"",G75*E75+K75*(F75/100),(K75-L75)*(F75/100)+I75*J75))</f>
        <v>.</v>
      </c>
      <c r="N75" s="214"/>
      <c r="O75" s="3"/>
      <c r="P75" s="3"/>
      <c r="Q75" s="3"/>
      <c r="R75" s="3"/>
      <c r="S75" s="3"/>
      <c r="T75" s="3"/>
      <c r="U75" s="3"/>
      <c r="V75" s="3"/>
      <c r="W75" s="3"/>
      <c r="X75" s="3"/>
      <c r="Y75" s="3"/>
      <c r="Z75" s="3"/>
      <c r="AA75" s="3"/>
      <c r="AB75" s="3"/>
      <c r="AC75" s="3"/>
      <c r="AD75" s="3"/>
      <c r="AE75" s="3"/>
      <c r="AF75" s="3"/>
      <c r="AG75" s="3"/>
      <c r="AH75" s="3"/>
      <c r="AI75" s="3"/>
      <c r="AJ75" s="3"/>
      <c r="AK75" s="3"/>
      <c r="AL75" s="3"/>
    </row>
    <row r="76" spans="1:38" s="26" customFormat="1" ht="12" x14ac:dyDescent="0.25">
      <c r="A76" s="3"/>
      <c r="B76" s="221"/>
      <c r="C76" s="591"/>
      <c r="D76" s="107" t="s">
        <v>723</v>
      </c>
      <c r="E76" s="110">
        <f>SUM(E66:E75)</f>
        <v>313</v>
      </c>
      <c r="F76" s="108"/>
      <c r="G76" s="109"/>
      <c r="H76" s="447"/>
      <c r="I76" s="109"/>
      <c r="J76" s="110">
        <f>SUM(J66:J75)</f>
        <v>0</v>
      </c>
      <c r="K76" s="110">
        <f>SUM(K66:K75)</f>
        <v>508902500</v>
      </c>
      <c r="L76" s="110">
        <f>SUM(L66:L75)</f>
        <v>0</v>
      </c>
      <c r="M76" s="452">
        <f>SUM(M66:M75)</f>
        <v>636048.83072500001</v>
      </c>
      <c r="N76" s="214"/>
      <c r="O76" s="2"/>
      <c r="P76" s="2"/>
      <c r="Q76" s="2"/>
      <c r="R76" s="2"/>
      <c r="S76" s="2"/>
      <c r="T76" s="2"/>
      <c r="U76" s="2"/>
      <c r="V76" s="2"/>
      <c r="W76" s="2"/>
      <c r="X76" s="3"/>
      <c r="Y76" s="2"/>
      <c r="Z76" s="2"/>
      <c r="AA76" s="2"/>
      <c r="AB76" s="2"/>
      <c r="AC76" s="2"/>
      <c r="AD76" s="2"/>
      <c r="AE76" s="2"/>
      <c r="AF76" s="2"/>
      <c r="AG76" s="2"/>
      <c r="AH76" s="2"/>
      <c r="AI76" s="2"/>
      <c r="AJ76" s="2"/>
      <c r="AK76" s="2"/>
      <c r="AL76" s="2"/>
    </row>
    <row r="77" spans="1:38" ht="11.4" x14ac:dyDescent="0.2">
      <c r="A77" s="3"/>
      <c r="B77" s="212"/>
      <c r="C77" s="584" t="s">
        <v>724</v>
      </c>
      <c r="D77" s="585"/>
      <c r="E77" s="586"/>
      <c r="F77" s="587"/>
      <c r="G77" s="585"/>
      <c r="H77" s="588" t="str">
        <f t="shared" si="1"/>
        <v>.</v>
      </c>
      <c r="I77" s="585"/>
      <c r="J77" s="586"/>
      <c r="K77" s="586"/>
      <c r="L77" s="586"/>
      <c r="M77" s="589" t="str">
        <f t="shared" ref="M77:M85" si="4">IF(E77="",".",IF(G77&lt;&gt;"",G77*E77+K77*(F77/100),(K77-L77)*(F77/100)+I77*J77))</f>
        <v>.</v>
      </c>
      <c r="N77" s="214"/>
      <c r="O77" s="3"/>
      <c r="P77" s="3"/>
      <c r="Q77" s="3"/>
      <c r="R77" s="3"/>
      <c r="S77" s="3"/>
      <c r="T77" s="3"/>
      <c r="U77" s="3"/>
      <c r="V77" s="3"/>
      <c r="W77" s="3"/>
      <c r="X77" s="3"/>
      <c r="Y77" s="3"/>
      <c r="Z77" s="3"/>
      <c r="AA77" s="3"/>
      <c r="AB77" s="3"/>
      <c r="AC77" s="3"/>
      <c r="AD77" s="3"/>
      <c r="AE77" s="3"/>
      <c r="AF77" s="3"/>
      <c r="AG77" s="3"/>
      <c r="AH77" s="3"/>
      <c r="AI77" s="3"/>
      <c r="AJ77" s="3"/>
      <c r="AK77" s="3"/>
      <c r="AL77" s="3"/>
    </row>
    <row r="78" spans="1:38" ht="11.4" x14ac:dyDescent="0.2">
      <c r="A78" s="3"/>
      <c r="B78" s="212"/>
      <c r="C78" s="584" t="s">
        <v>724</v>
      </c>
      <c r="D78" s="585"/>
      <c r="E78" s="586"/>
      <c r="F78" s="587"/>
      <c r="G78" s="585"/>
      <c r="H78" s="588" t="str">
        <f t="shared" si="1"/>
        <v>.</v>
      </c>
      <c r="I78" s="585"/>
      <c r="J78" s="586"/>
      <c r="K78" s="586"/>
      <c r="L78" s="586"/>
      <c r="M78" s="589" t="str">
        <f t="shared" si="4"/>
        <v>.</v>
      </c>
      <c r="N78" s="214"/>
      <c r="O78" s="3"/>
      <c r="P78" s="3"/>
      <c r="Q78" s="3"/>
      <c r="R78" s="3"/>
      <c r="S78" s="3"/>
      <c r="T78" s="3"/>
      <c r="U78" s="3"/>
      <c r="V78" s="3"/>
      <c r="W78" s="3"/>
      <c r="X78" s="3"/>
      <c r="Y78" s="3"/>
      <c r="Z78" s="3"/>
      <c r="AA78" s="3"/>
      <c r="AB78" s="3"/>
      <c r="AC78" s="3"/>
      <c r="AD78" s="3"/>
      <c r="AE78" s="3"/>
      <c r="AF78" s="3"/>
      <c r="AG78" s="3"/>
      <c r="AH78" s="3"/>
      <c r="AI78" s="3"/>
      <c r="AJ78" s="3"/>
      <c r="AK78" s="3"/>
      <c r="AL78" s="3"/>
    </row>
    <row r="79" spans="1:38" ht="11.4" x14ac:dyDescent="0.2">
      <c r="A79" s="3"/>
      <c r="B79" s="212"/>
      <c r="C79" s="584" t="s">
        <v>724</v>
      </c>
      <c r="D79" s="585"/>
      <c r="E79" s="586"/>
      <c r="F79" s="587"/>
      <c r="G79" s="585"/>
      <c r="H79" s="588" t="str">
        <f t="shared" si="1"/>
        <v>.</v>
      </c>
      <c r="I79" s="585"/>
      <c r="J79" s="586"/>
      <c r="K79" s="586"/>
      <c r="L79" s="586"/>
      <c r="M79" s="589" t="str">
        <f t="shared" si="4"/>
        <v>.</v>
      </c>
      <c r="N79" s="214"/>
      <c r="O79" s="3"/>
      <c r="P79" s="3"/>
      <c r="Q79" s="3"/>
      <c r="R79" s="3"/>
      <c r="S79" s="3"/>
      <c r="T79" s="3"/>
      <c r="U79" s="3"/>
      <c r="V79" s="3"/>
      <c r="W79" s="3"/>
      <c r="X79" s="3"/>
      <c r="Y79" s="3"/>
      <c r="Z79" s="3"/>
      <c r="AA79" s="3"/>
      <c r="AB79" s="3"/>
      <c r="AC79" s="3"/>
      <c r="AD79" s="3"/>
      <c r="AE79" s="3"/>
      <c r="AF79" s="3"/>
      <c r="AG79" s="3"/>
      <c r="AH79" s="3"/>
      <c r="AI79" s="3"/>
      <c r="AJ79" s="3"/>
      <c r="AK79" s="3"/>
      <c r="AL79" s="3"/>
    </row>
    <row r="80" spans="1:38" ht="11.4" x14ac:dyDescent="0.2">
      <c r="A80" s="3"/>
      <c r="B80" s="212"/>
      <c r="C80" s="584" t="s">
        <v>724</v>
      </c>
      <c r="D80" s="585"/>
      <c r="E80" s="586"/>
      <c r="F80" s="587"/>
      <c r="G80" s="585"/>
      <c r="H80" s="588" t="str">
        <f t="shared" si="1"/>
        <v>.</v>
      </c>
      <c r="I80" s="585"/>
      <c r="J80" s="586"/>
      <c r="K80" s="586"/>
      <c r="L80" s="586"/>
      <c r="M80" s="589" t="str">
        <f t="shared" si="4"/>
        <v>.</v>
      </c>
      <c r="N80" s="214"/>
      <c r="O80" s="3"/>
      <c r="P80" s="3"/>
      <c r="Q80" s="3"/>
      <c r="R80" s="3"/>
      <c r="S80" s="3"/>
      <c r="T80" s="3"/>
      <c r="U80" s="3"/>
      <c r="V80" s="3"/>
      <c r="W80" s="3"/>
      <c r="X80" s="3"/>
      <c r="Y80" s="3"/>
      <c r="Z80" s="3"/>
      <c r="AA80" s="3"/>
      <c r="AB80" s="3"/>
      <c r="AC80" s="3"/>
      <c r="AD80" s="3"/>
      <c r="AE80" s="3"/>
      <c r="AF80" s="3"/>
      <c r="AG80" s="3"/>
      <c r="AH80" s="3"/>
      <c r="AI80" s="3"/>
      <c r="AJ80" s="3"/>
      <c r="AK80" s="3"/>
      <c r="AL80" s="3"/>
    </row>
    <row r="81" spans="1:38" ht="11.4" x14ac:dyDescent="0.2">
      <c r="A81" s="3"/>
      <c r="B81" s="212"/>
      <c r="C81" s="584" t="s">
        <v>724</v>
      </c>
      <c r="D81" s="585"/>
      <c r="E81" s="586"/>
      <c r="F81" s="587"/>
      <c r="G81" s="585"/>
      <c r="H81" s="588" t="str">
        <f t="shared" si="1"/>
        <v>.</v>
      </c>
      <c r="I81" s="585"/>
      <c r="J81" s="586"/>
      <c r="K81" s="586"/>
      <c r="L81" s="586"/>
      <c r="M81" s="589" t="str">
        <f t="shared" si="4"/>
        <v>.</v>
      </c>
      <c r="N81" s="214"/>
      <c r="O81" s="3"/>
      <c r="P81" s="3"/>
      <c r="Q81" s="3"/>
      <c r="R81" s="3"/>
      <c r="S81" s="3"/>
      <c r="T81" s="3"/>
      <c r="U81" s="3"/>
      <c r="V81" s="3"/>
      <c r="W81" s="3"/>
      <c r="X81" s="3"/>
      <c r="Y81" s="3"/>
      <c r="Z81" s="3"/>
      <c r="AA81" s="3"/>
      <c r="AB81" s="3"/>
      <c r="AC81" s="3"/>
      <c r="AD81" s="3"/>
      <c r="AE81" s="3"/>
      <c r="AF81" s="3"/>
      <c r="AG81" s="3"/>
      <c r="AH81" s="3"/>
      <c r="AI81" s="3"/>
      <c r="AJ81" s="3"/>
      <c r="AK81" s="3"/>
      <c r="AL81" s="3"/>
    </row>
    <row r="82" spans="1:38" ht="11.4" x14ac:dyDescent="0.2">
      <c r="A82" s="3"/>
      <c r="B82" s="212"/>
      <c r="C82" s="584" t="s">
        <v>724</v>
      </c>
      <c r="D82" s="585"/>
      <c r="E82" s="586"/>
      <c r="F82" s="587"/>
      <c r="G82" s="585"/>
      <c r="H82" s="588" t="str">
        <f t="shared" si="1"/>
        <v>.</v>
      </c>
      <c r="I82" s="585"/>
      <c r="J82" s="586"/>
      <c r="K82" s="586"/>
      <c r="L82" s="586"/>
      <c r="M82" s="589" t="str">
        <f t="shared" si="4"/>
        <v>.</v>
      </c>
      <c r="N82" s="214"/>
      <c r="O82" s="3"/>
      <c r="P82" s="3"/>
      <c r="Q82" s="3"/>
      <c r="R82" s="3"/>
      <c r="S82" s="3"/>
      <c r="T82" s="3"/>
      <c r="U82" s="3"/>
      <c r="V82" s="3"/>
      <c r="W82" s="3"/>
      <c r="X82" s="3"/>
      <c r="Y82" s="3"/>
      <c r="Z82" s="3"/>
      <c r="AA82" s="3"/>
      <c r="AB82" s="3"/>
      <c r="AC82" s="3"/>
      <c r="AD82" s="3"/>
      <c r="AE82" s="3"/>
      <c r="AF82" s="3"/>
      <c r="AG82" s="3"/>
      <c r="AH82" s="3"/>
      <c r="AI82" s="3"/>
      <c r="AJ82" s="3"/>
      <c r="AK82" s="3"/>
      <c r="AL82" s="3"/>
    </row>
    <row r="83" spans="1:38" ht="11.4" x14ac:dyDescent="0.2">
      <c r="A83" s="3"/>
      <c r="B83" s="212"/>
      <c r="C83" s="584" t="s">
        <v>724</v>
      </c>
      <c r="D83" s="585"/>
      <c r="E83" s="586"/>
      <c r="F83" s="587"/>
      <c r="G83" s="585"/>
      <c r="H83" s="588" t="str">
        <f t="shared" si="1"/>
        <v>.</v>
      </c>
      <c r="I83" s="585"/>
      <c r="J83" s="586"/>
      <c r="K83" s="586"/>
      <c r="L83" s="586"/>
      <c r="M83" s="589" t="str">
        <f t="shared" si="4"/>
        <v>.</v>
      </c>
      <c r="N83" s="214"/>
      <c r="O83" s="3"/>
      <c r="P83" s="3"/>
      <c r="Q83" s="3"/>
      <c r="R83" s="3"/>
      <c r="S83" s="3"/>
      <c r="T83" s="3"/>
      <c r="U83" s="3"/>
      <c r="V83" s="3"/>
      <c r="W83" s="3"/>
      <c r="X83" s="3"/>
      <c r="Y83" s="3"/>
      <c r="Z83" s="3"/>
      <c r="AA83" s="3"/>
      <c r="AB83" s="3"/>
      <c r="AC83" s="3"/>
      <c r="AD83" s="3"/>
      <c r="AE83" s="3"/>
      <c r="AF83" s="3"/>
      <c r="AG83" s="3"/>
      <c r="AH83" s="3"/>
      <c r="AI83" s="3"/>
      <c r="AJ83" s="3"/>
      <c r="AK83" s="3"/>
      <c r="AL83" s="3"/>
    </row>
    <row r="84" spans="1:38" ht="11.4" x14ac:dyDescent="0.2">
      <c r="A84" s="3"/>
      <c r="B84" s="212"/>
      <c r="C84" s="584" t="s">
        <v>724</v>
      </c>
      <c r="D84" s="585"/>
      <c r="E84" s="586"/>
      <c r="F84" s="587"/>
      <c r="G84" s="585"/>
      <c r="H84" s="588" t="str">
        <f t="shared" ref="H84:H86" si="5">IF(G84="",".",E84*G84/M84)</f>
        <v>.</v>
      </c>
      <c r="I84" s="585"/>
      <c r="J84" s="586"/>
      <c r="K84" s="586"/>
      <c r="L84" s="586"/>
      <c r="M84" s="589" t="str">
        <f t="shared" si="4"/>
        <v>.</v>
      </c>
      <c r="N84" s="214"/>
      <c r="O84" s="3"/>
      <c r="P84" s="3"/>
      <c r="Q84" s="3"/>
      <c r="R84" s="3"/>
      <c r="S84" s="3"/>
      <c r="T84" s="3"/>
      <c r="U84" s="3"/>
      <c r="V84" s="3"/>
      <c r="W84" s="3"/>
      <c r="X84" s="3"/>
      <c r="Y84" s="3"/>
      <c r="Z84" s="3"/>
      <c r="AA84" s="3"/>
      <c r="AB84" s="3"/>
      <c r="AC84" s="3"/>
      <c r="AD84" s="3"/>
      <c r="AE84" s="3"/>
      <c r="AF84" s="3"/>
      <c r="AG84" s="3"/>
      <c r="AH84" s="3"/>
      <c r="AI84" s="3"/>
      <c r="AJ84" s="3"/>
      <c r="AK84" s="3"/>
      <c r="AL84" s="3"/>
    </row>
    <row r="85" spans="1:38" ht="11.4" x14ac:dyDescent="0.2">
      <c r="A85" s="3"/>
      <c r="B85" s="212"/>
      <c r="C85" s="584" t="s">
        <v>724</v>
      </c>
      <c r="D85" s="585"/>
      <c r="E85" s="586"/>
      <c r="F85" s="587"/>
      <c r="G85" s="585"/>
      <c r="H85" s="588" t="str">
        <f t="shared" si="5"/>
        <v>.</v>
      </c>
      <c r="I85" s="585"/>
      <c r="J85" s="586"/>
      <c r="K85" s="586"/>
      <c r="L85" s="586"/>
      <c r="M85" s="589" t="str">
        <f t="shared" si="4"/>
        <v>.</v>
      </c>
      <c r="N85" s="214"/>
      <c r="O85" s="3"/>
      <c r="P85" s="3"/>
      <c r="Q85" s="3"/>
      <c r="R85" s="3"/>
      <c r="S85" s="3"/>
      <c r="T85" s="3"/>
      <c r="U85" s="3"/>
      <c r="V85" s="3"/>
      <c r="W85" s="3"/>
      <c r="X85" s="3"/>
      <c r="Y85" s="3"/>
      <c r="Z85" s="3"/>
      <c r="AA85" s="3"/>
      <c r="AB85" s="3"/>
      <c r="AC85" s="3"/>
      <c r="AD85" s="3"/>
      <c r="AE85" s="3"/>
      <c r="AF85" s="3"/>
      <c r="AG85" s="3"/>
      <c r="AH85" s="3"/>
      <c r="AI85" s="3"/>
      <c r="AJ85" s="3"/>
      <c r="AK85" s="3"/>
      <c r="AL85" s="3"/>
    </row>
    <row r="86" spans="1:38" ht="11.4" x14ac:dyDescent="0.2">
      <c r="A86" s="3"/>
      <c r="B86" s="212"/>
      <c r="C86" s="592" t="s">
        <v>724</v>
      </c>
      <c r="D86" s="585"/>
      <c r="E86" s="594"/>
      <c r="F86" s="595"/>
      <c r="G86" s="593"/>
      <c r="H86" s="596" t="str">
        <f t="shared" si="5"/>
        <v>.</v>
      </c>
      <c r="I86" s="593"/>
      <c r="J86" s="594"/>
      <c r="K86" s="594"/>
      <c r="L86" s="594"/>
      <c r="M86" s="597" t="str">
        <f>IF(E86="",".",IF(G86&lt;&gt;"",G86*E86+K86*(F86/100),(K86-L86)*(F86/100)+I86*J86))</f>
        <v>.</v>
      </c>
      <c r="N86" s="214"/>
      <c r="O86" s="3"/>
      <c r="P86" s="3"/>
      <c r="Q86" s="3"/>
      <c r="R86" s="3"/>
      <c r="S86" s="3"/>
      <c r="T86" s="3"/>
      <c r="U86" s="3"/>
      <c r="V86" s="3"/>
      <c r="W86" s="3"/>
      <c r="X86" s="3"/>
      <c r="Y86" s="3"/>
      <c r="Z86" s="3"/>
      <c r="AA86" s="3"/>
      <c r="AB86" s="3"/>
      <c r="AC86" s="3"/>
      <c r="AD86" s="3"/>
      <c r="AE86" s="3"/>
      <c r="AF86" s="3"/>
      <c r="AG86" s="3"/>
      <c r="AH86" s="3"/>
      <c r="AI86" s="3"/>
      <c r="AJ86" s="3"/>
      <c r="AK86" s="3"/>
      <c r="AL86" s="3"/>
    </row>
    <row r="87" spans="1:38" s="26" customFormat="1" ht="12" x14ac:dyDescent="0.25">
      <c r="A87" s="3"/>
      <c r="B87" s="221"/>
      <c r="C87" s="107"/>
      <c r="D87" s="107" t="s">
        <v>725</v>
      </c>
      <c r="E87" s="110">
        <f>SUM(E77:E86)</f>
        <v>0</v>
      </c>
      <c r="F87" s="108"/>
      <c r="G87" s="109"/>
      <c r="H87" s="446"/>
      <c r="I87" s="109"/>
      <c r="J87" s="110">
        <f>SUM(J77:J86)</f>
        <v>0</v>
      </c>
      <c r="K87" s="110">
        <f>SUM(K77:K86)</f>
        <v>0</v>
      </c>
      <c r="L87" s="110">
        <f>SUM(L77:L86)</f>
        <v>0</v>
      </c>
      <c r="M87" s="452">
        <f>SUM(M77:M86)</f>
        <v>0</v>
      </c>
      <c r="N87" s="214"/>
      <c r="O87" s="3"/>
      <c r="P87" s="2"/>
      <c r="Q87" s="2"/>
      <c r="R87" s="2"/>
      <c r="S87" s="2"/>
      <c r="T87" s="2"/>
      <c r="U87" s="2"/>
      <c r="V87" s="2"/>
      <c r="W87" s="2"/>
      <c r="X87" s="3"/>
      <c r="Y87" s="2"/>
      <c r="Z87" s="2"/>
      <c r="AA87" s="2"/>
      <c r="AB87" s="2"/>
      <c r="AC87" s="2"/>
      <c r="AD87" s="2"/>
      <c r="AE87" s="2"/>
      <c r="AF87" s="2"/>
      <c r="AG87" s="2"/>
      <c r="AH87" s="2"/>
      <c r="AI87" s="2"/>
      <c r="AJ87" s="2"/>
      <c r="AK87" s="2"/>
      <c r="AL87" s="2"/>
    </row>
    <row r="88" spans="1:38" ht="12" x14ac:dyDescent="0.25">
      <c r="A88" s="3"/>
      <c r="B88" s="212"/>
      <c r="C88" s="111" t="s">
        <v>726</v>
      </c>
      <c r="D88" s="112"/>
      <c r="E88" s="513">
        <f>E39+E65+E76+E87</f>
        <v>54967</v>
      </c>
      <c r="F88" s="3"/>
      <c r="G88" s="2"/>
      <c r="H88" s="2" t="s">
        <v>727</v>
      </c>
      <c r="I88" s="3"/>
      <c r="J88" s="3"/>
      <c r="K88" s="450">
        <f>K39+K65+K76+K87</f>
        <v>32804825891</v>
      </c>
      <c r="L88" s="113" t="s">
        <v>728</v>
      </c>
      <c r="M88" s="450">
        <f>M39+M65+M76+M87</f>
        <v>72276362.306899577</v>
      </c>
      <c r="N88" s="214"/>
      <c r="O88" s="3"/>
      <c r="P88" s="3"/>
      <c r="Q88" s="3"/>
      <c r="R88" s="3"/>
      <c r="S88" s="3"/>
      <c r="T88" s="3"/>
      <c r="U88" s="3"/>
      <c r="V88" s="3"/>
      <c r="W88" s="3"/>
      <c r="X88" s="3"/>
      <c r="Y88" s="3"/>
      <c r="Z88" s="3"/>
      <c r="AA88" s="3"/>
      <c r="AB88" s="3"/>
      <c r="AC88" s="3"/>
      <c r="AD88" s="3"/>
      <c r="AE88" s="3"/>
      <c r="AF88" s="3"/>
      <c r="AG88" s="3"/>
      <c r="AH88" s="3"/>
      <c r="AI88" s="3"/>
      <c r="AJ88" s="3"/>
      <c r="AK88" s="3"/>
      <c r="AL88" s="3"/>
    </row>
    <row r="89" spans="1:38" x14ac:dyDescent="0.25">
      <c r="A89" s="3"/>
      <c r="B89" s="240"/>
      <c r="C89" s="114"/>
      <c r="D89" s="114"/>
      <c r="E89" s="93"/>
      <c r="F89" s="93"/>
      <c r="G89" s="115"/>
      <c r="H89" s="93"/>
      <c r="I89" s="93"/>
      <c r="J89" s="93"/>
      <c r="K89" s="93"/>
      <c r="L89" s="116"/>
      <c r="M89" s="117"/>
      <c r="N89" s="1157"/>
      <c r="O89" s="3"/>
      <c r="P89" s="3"/>
      <c r="Q89" s="3"/>
      <c r="R89" s="3"/>
      <c r="S89" s="3"/>
      <c r="T89" s="3"/>
      <c r="U89" s="3"/>
      <c r="V89" s="3"/>
      <c r="W89" s="3"/>
      <c r="X89" s="3"/>
      <c r="Y89" s="3"/>
      <c r="Z89" s="3"/>
      <c r="AA89" s="3"/>
      <c r="AB89" s="3"/>
      <c r="AC89" s="3"/>
      <c r="AD89" s="3"/>
      <c r="AE89" s="3"/>
      <c r="AF89" s="3"/>
      <c r="AG89" s="3"/>
      <c r="AH89" s="3"/>
      <c r="AI89" s="3"/>
      <c r="AJ89" s="3"/>
      <c r="AK89" s="3"/>
      <c r="AL89" s="3"/>
    </row>
    <row r="90" spans="1:38" ht="12" x14ac:dyDescent="0.25">
      <c r="A90" s="3"/>
      <c r="B90" s="242"/>
      <c r="C90" s="1154"/>
      <c r="D90" s="1154"/>
      <c r="E90" s="727"/>
      <c r="F90" s="727"/>
      <c r="G90" s="727"/>
      <c r="H90" s="815"/>
      <c r="I90" s="815"/>
      <c r="J90" s="815"/>
      <c r="K90" s="815"/>
      <c r="L90" s="1158"/>
      <c r="M90" s="1158"/>
      <c r="N90" s="1223"/>
      <c r="O90" s="3"/>
      <c r="P90" s="3"/>
      <c r="Q90" s="3"/>
      <c r="R90" s="3"/>
      <c r="S90" s="3"/>
      <c r="T90" s="3"/>
      <c r="U90" s="3"/>
      <c r="V90" s="3"/>
      <c r="W90" s="3"/>
      <c r="X90" s="3"/>
      <c r="Y90" s="3"/>
      <c r="Z90" s="3"/>
      <c r="AA90" s="3"/>
      <c r="AB90" s="3"/>
      <c r="AC90" s="3"/>
      <c r="AD90" s="3"/>
      <c r="AE90" s="3"/>
      <c r="AF90" s="3"/>
      <c r="AG90" s="3"/>
      <c r="AH90" s="3"/>
      <c r="AI90" s="3"/>
      <c r="AJ90" s="3"/>
      <c r="AK90" s="3"/>
      <c r="AL90" s="3"/>
    </row>
    <row r="91" spans="1:38" ht="15.6" x14ac:dyDescent="0.3">
      <c r="A91" s="3"/>
      <c r="B91" s="243"/>
      <c r="C91" s="119"/>
      <c r="D91" s="119"/>
      <c r="E91" s="1"/>
      <c r="F91" s="1"/>
      <c r="G91" s="1"/>
      <c r="H91" s="85" t="s">
        <v>729</v>
      </c>
      <c r="I91" s="80"/>
      <c r="J91" s="80"/>
      <c r="K91" s="80"/>
      <c r="L91" s="121"/>
      <c r="M91" s="121"/>
      <c r="N91" s="1155"/>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25">
      <c r="A92" s="3"/>
      <c r="B92" s="212"/>
      <c r="C92" s="122"/>
      <c r="D92" s="122"/>
      <c r="E92" s="3"/>
      <c r="F92" s="3"/>
      <c r="G92" s="3"/>
      <c r="H92" s="3"/>
      <c r="I92" s="3"/>
      <c r="J92" s="3"/>
      <c r="K92" s="3"/>
      <c r="L92" s="118"/>
      <c r="M92" s="118"/>
      <c r="N92" s="1156"/>
      <c r="O92" s="3"/>
      <c r="P92" s="3"/>
      <c r="Q92" s="3"/>
      <c r="R92" s="3"/>
      <c r="S92" s="3"/>
      <c r="T92" s="3"/>
      <c r="U92" s="3"/>
      <c r="V92" s="3"/>
      <c r="W92" s="3"/>
      <c r="X92" s="3"/>
      <c r="Y92" s="3"/>
      <c r="Z92" s="3"/>
      <c r="AA92" s="3"/>
      <c r="AB92" s="3"/>
      <c r="AC92" s="3"/>
      <c r="AD92" s="3"/>
      <c r="AE92" s="3"/>
      <c r="AF92" s="3"/>
      <c r="AG92" s="3"/>
      <c r="AH92" s="3"/>
      <c r="AI92" s="3"/>
      <c r="AJ92" s="3"/>
      <c r="AK92" s="3"/>
      <c r="AL92" s="3"/>
    </row>
    <row r="93" spans="1:38" ht="36" x14ac:dyDescent="0.2">
      <c r="A93" s="3"/>
      <c r="B93" s="238"/>
      <c r="C93" s="105" t="s">
        <v>705</v>
      </c>
      <c r="D93" s="105" t="s">
        <v>730</v>
      </c>
      <c r="E93" s="1215" t="s">
        <v>707</v>
      </c>
      <c r="F93" s="1215" t="s">
        <v>731</v>
      </c>
      <c r="G93" s="1215" t="s">
        <v>709</v>
      </c>
      <c r="H93" s="1215" t="s">
        <v>710</v>
      </c>
      <c r="I93" s="1215" t="s">
        <v>711</v>
      </c>
      <c r="J93" s="1215" t="s">
        <v>712</v>
      </c>
      <c r="K93" s="105" t="s">
        <v>732</v>
      </c>
      <c r="L93" s="106" t="s">
        <v>714</v>
      </c>
      <c r="M93" s="1216" t="s">
        <v>733</v>
      </c>
      <c r="N93" s="239"/>
      <c r="O93" s="3"/>
      <c r="P93" s="3"/>
      <c r="Q93" s="3"/>
      <c r="R93" s="3"/>
      <c r="S93" s="3"/>
      <c r="T93" s="3"/>
      <c r="U93" s="3"/>
      <c r="V93" s="3"/>
      <c r="W93" s="3"/>
      <c r="X93" s="3"/>
      <c r="Y93" s="3"/>
      <c r="Z93" s="3"/>
      <c r="AA93" s="3"/>
      <c r="AB93" s="3"/>
      <c r="AC93" s="3"/>
      <c r="AD93" s="3"/>
      <c r="AE93" s="3"/>
      <c r="AF93" s="3"/>
      <c r="AG93" s="3"/>
      <c r="AH93" s="3"/>
      <c r="AI93" s="3"/>
      <c r="AJ93" s="3"/>
      <c r="AK93" s="3"/>
      <c r="AL93" s="3"/>
    </row>
    <row r="94" spans="1:38" ht="11.4" x14ac:dyDescent="0.2">
      <c r="A94" s="3"/>
      <c r="B94" s="212"/>
      <c r="C94" s="1217" t="s">
        <v>716</v>
      </c>
      <c r="D94" s="1224" t="s">
        <v>734</v>
      </c>
      <c r="E94" s="1191">
        <v>52016</v>
      </c>
      <c r="F94" s="1220">
        <v>1.0345999999999999E-2</v>
      </c>
      <c r="G94" s="1218"/>
      <c r="H94" s="1225" t="str">
        <f t="shared" ref="H94:H125" si="6">IF(G94="",".",E94*G94/M94)</f>
        <v>.</v>
      </c>
      <c r="I94" s="1218"/>
      <c r="J94" s="1218"/>
      <c r="K94" s="1219">
        <v>30443988568</v>
      </c>
      <c r="L94" s="1219"/>
      <c r="M94" s="1226">
        <f t="shared" ref="M94:M142" si="7">IF(E94="",".",IF(G94&lt;&gt;"",G94*E94+K94*(F94/100),(K94-L94)*(F94/100)+I94*J94))</f>
        <v>3149735.0572452797</v>
      </c>
      <c r="N94" s="214"/>
      <c r="O94" s="3"/>
      <c r="P94" s="3"/>
      <c r="Q94" s="3"/>
      <c r="R94" s="3"/>
      <c r="S94" s="3"/>
      <c r="T94" s="3"/>
      <c r="U94" s="3"/>
      <c r="V94" s="3"/>
      <c r="W94" s="3"/>
      <c r="X94" s="3"/>
      <c r="Y94" s="3"/>
      <c r="Z94" s="3"/>
      <c r="AA94" s="3"/>
      <c r="AB94" s="3"/>
      <c r="AC94" s="3"/>
      <c r="AD94" s="3"/>
      <c r="AE94" s="3"/>
      <c r="AF94" s="3"/>
      <c r="AG94" s="3"/>
      <c r="AH94" s="3"/>
      <c r="AI94" s="3"/>
      <c r="AJ94" s="3"/>
      <c r="AK94" s="3"/>
      <c r="AL94" s="3"/>
    </row>
    <row r="95" spans="1:38" ht="11.4" x14ac:dyDescent="0.2">
      <c r="A95" s="3"/>
      <c r="B95" s="212"/>
      <c r="C95" s="584" t="s">
        <v>716</v>
      </c>
      <c r="D95" s="585"/>
      <c r="E95" s="585"/>
      <c r="F95" s="587"/>
      <c r="G95" s="585"/>
      <c r="H95" s="610" t="str">
        <f t="shared" si="6"/>
        <v>.</v>
      </c>
      <c r="I95" s="585"/>
      <c r="J95" s="585"/>
      <c r="K95" s="586"/>
      <c r="L95" s="586"/>
      <c r="M95" s="611" t="str">
        <f t="shared" si="7"/>
        <v>.</v>
      </c>
      <c r="N95" s="214"/>
      <c r="O95" s="3"/>
      <c r="P95" s="3"/>
      <c r="Q95" s="3"/>
      <c r="R95" s="3"/>
      <c r="S95" s="3"/>
      <c r="T95" s="3"/>
      <c r="U95" s="3"/>
      <c r="V95" s="3"/>
      <c r="W95" s="3"/>
      <c r="X95" s="3"/>
      <c r="Y95" s="3"/>
      <c r="Z95" s="3"/>
      <c r="AA95" s="3"/>
      <c r="AB95" s="3"/>
      <c r="AC95" s="3"/>
      <c r="AD95" s="3"/>
      <c r="AE95" s="3"/>
      <c r="AF95" s="3"/>
      <c r="AG95" s="3"/>
      <c r="AH95" s="3"/>
      <c r="AI95" s="3"/>
      <c r="AJ95" s="3"/>
      <c r="AK95" s="3"/>
      <c r="AL95" s="3"/>
    </row>
    <row r="96" spans="1:38" ht="11.4" x14ac:dyDescent="0.2">
      <c r="A96" s="3"/>
      <c r="B96" s="212"/>
      <c r="C96" s="584" t="s">
        <v>716</v>
      </c>
      <c r="D96" s="585"/>
      <c r="E96" s="585"/>
      <c r="F96" s="587"/>
      <c r="G96" s="585"/>
      <c r="H96" s="610" t="str">
        <f t="shared" si="6"/>
        <v>.</v>
      </c>
      <c r="I96" s="585"/>
      <c r="J96" s="585"/>
      <c r="K96" s="586"/>
      <c r="L96" s="586"/>
      <c r="M96" s="611" t="str">
        <f t="shared" si="7"/>
        <v>.</v>
      </c>
      <c r="N96" s="214"/>
      <c r="O96" s="3"/>
      <c r="P96" s="3"/>
      <c r="Q96" s="3"/>
      <c r="R96" s="3"/>
      <c r="S96" s="3"/>
      <c r="T96" s="3"/>
      <c r="U96" s="3"/>
      <c r="V96" s="3"/>
      <c r="W96" s="3"/>
      <c r="X96" s="3"/>
      <c r="Y96" s="3"/>
      <c r="Z96" s="3"/>
      <c r="AA96" s="3"/>
      <c r="AB96" s="3"/>
      <c r="AC96" s="3"/>
      <c r="AD96" s="3"/>
      <c r="AE96" s="3"/>
      <c r="AF96" s="3"/>
      <c r="AG96" s="3"/>
      <c r="AH96" s="3"/>
      <c r="AI96" s="3"/>
      <c r="AJ96" s="3"/>
      <c r="AK96" s="3"/>
      <c r="AL96" s="3"/>
    </row>
    <row r="97" spans="1:38" ht="11.4" x14ac:dyDescent="0.2">
      <c r="A97" s="3"/>
      <c r="B97" s="212"/>
      <c r="C97" s="584" t="s">
        <v>716</v>
      </c>
      <c r="D97" s="585"/>
      <c r="E97" s="585"/>
      <c r="F97" s="587"/>
      <c r="G97" s="585"/>
      <c r="H97" s="610" t="str">
        <f t="shared" si="6"/>
        <v>.</v>
      </c>
      <c r="I97" s="585"/>
      <c r="J97" s="585"/>
      <c r="K97" s="586"/>
      <c r="L97" s="586"/>
      <c r="M97" s="611" t="str">
        <f t="shared" si="7"/>
        <v>.</v>
      </c>
      <c r="N97" s="214"/>
      <c r="O97" s="3"/>
      <c r="P97" s="3"/>
      <c r="Q97" s="3"/>
      <c r="R97" s="3"/>
      <c r="S97" s="3"/>
      <c r="T97" s="3"/>
      <c r="U97" s="3"/>
      <c r="V97" s="3"/>
      <c r="W97" s="3"/>
      <c r="X97" s="3"/>
      <c r="Y97" s="3"/>
      <c r="Z97" s="3"/>
      <c r="AA97" s="3"/>
      <c r="AB97" s="3"/>
      <c r="AC97" s="3"/>
      <c r="AD97" s="3"/>
      <c r="AE97" s="3"/>
      <c r="AF97" s="3"/>
      <c r="AG97" s="3"/>
      <c r="AH97" s="3"/>
      <c r="AI97" s="3"/>
      <c r="AJ97" s="3"/>
      <c r="AK97" s="3"/>
      <c r="AL97" s="3"/>
    </row>
    <row r="98" spans="1:38" ht="11.4" x14ac:dyDescent="0.2">
      <c r="A98" s="3"/>
      <c r="B98" s="212"/>
      <c r="C98" s="584" t="s">
        <v>716</v>
      </c>
      <c r="D98" s="585"/>
      <c r="E98" s="585"/>
      <c r="F98" s="587"/>
      <c r="G98" s="585"/>
      <c r="H98" s="610" t="str">
        <f t="shared" si="6"/>
        <v>.</v>
      </c>
      <c r="I98" s="585"/>
      <c r="J98" s="585"/>
      <c r="K98" s="586"/>
      <c r="L98" s="586"/>
      <c r="M98" s="611" t="str">
        <f t="shared" si="7"/>
        <v>.</v>
      </c>
      <c r="N98" s="214"/>
      <c r="O98" s="3"/>
      <c r="P98" s="3"/>
      <c r="Q98" s="3"/>
      <c r="R98" s="3"/>
      <c r="S98" s="3"/>
      <c r="T98" s="3"/>
      <c r="U98" s="3"/>
      <c r="V98" s="3"/>
      <c r="W98" s="3"/>
      <c r="X98" s="3"/>
      <c r="Y98" s="3"/>
      <c r="Z98" s="3"/>
      <c r="AA98" s="3"/>
      <c r="AB98" s="3"/>
      <c r="AC98" s="3"/>
      <c r="AD98" s="3"/>
      <c r="AE98" s="3"/>
      <c r="AF98" s="3"/>
      <c r="AG98" s="3"/>
      <c r="AH98" s="3"/>
      <c r="AI98" s="3"/>
      <c r="AJ98" s="3"/>
      <c r="AK98" s="3"/>
      <c r="AL98" s="3"/>
    </row>
    <row r="99" spans="1:38" ht="11.4" x14ac:dyDescent="0.2">
      <c r="A99" s="3"/>
      <c r="B99" s="212"/>
      <c r="C99" s="584" t="s">
        <v>716</v>
      </c>
      <c r="D99" s="585"/>
      <c r="E99" s="585"/>
      <c r="F99" s="587"/>
      <c r="G99" s="585"/>
      <c r="H99" s="610" t="str">
        <f t="shared" si="6"/>
        <v>.</v>
      </c>
      <c r="I99" s="585"/>
      <c r="J99" s="585"/>
      <c r="K99" s="586"/>
      <c r="L99" s="586"/>
      <c r="M99" s="611" t="str">
        <f t="shared" si="7"/>
        <v>.</v>
      </c>
      <c r="N99" s="214"/>
      <c r="O99" s="3"/>
      <c r="P99" s="3"/>
      <c r="Q99" s="3"/>
      <c r="R99" s="3"/>
      <c r="S99" s="3"/>
      <c r="T99" s="3"/>
      <c r="U99" s="3"/>
      <c r="V99" s="3"/>
      <c r="W99" s="3"/>
      <c r="X99" s="3"/>
      <c r="Y99" s="3"/>
      <c r="Z99" s="3"/>
      <c r="AA99" s="3"/>
      <c r="AB99" s="3"/>
      <c r="AC99" s="3"/>
      <c r="AD99" s="3"/>
      <c r="AE99" s="3"/>
      <c r="AF99" s="3"/>
      <c r="AG99" s="3"/>
      <c r="AH99" s="3"/>
      <c r="AI99" s="3"/>
      <c r="AJ99" s="3"/>
      <c r="AK99" s="3"/>
      <c r="AL99" s="3"/>
    </row>
    <row r="100" spans="1:38" ht="11.4" x14ac:dyDescent="0.2">
      <c r="A100" s="3"/>
      <c r="B100" s="212"/>
      <c r="C100" s="584" t="s">
        <v>716</v>
      </c>
      <c r="D100" s="585"/>
      <c r="E100" s="585"/>
      <c r="F100" s="587"/>
      <c r="G100" s="585"/>
      <c r="H100" s="610" t="str">
        <f t="shared" si="6"/>
        <v>.</v>
      </c>
      <c r="I100" s="585"/>
      <c r="J100" s="585"/>
      <c r="K100" s="586"/>
      <c r="L100" s="586"/>
      <c r="M100" s="611" t="str">
        <f t="shared" si="7"/>
        <v>.</v>
      </c>
      <c r="N100" s="214"/>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ht="11.4" x14ac:dyDescent="0.2">
      <c r="A101" s="3"/>
      <c r="B101" s="212"/>
      <c r="C101" s="584" t="s">
        <v>716</v>
      </c>
      <c r="D101" s="585"/>
      <c r="E101" s="585"/>
      <c r="F101" s="587"/>
      <c r="G101" s="585"/>
      <c r="H101" s="610" t="str">
        <f t="shared" si="6"/>
        <v>.</v>
      </c>
      <c r="I101" s="585"/>
      <c r="J101" s="585"/>
      <c r="K101" s="586"/>
      <c r="L101" s="586"/>
      <c r="M101" s="611" t="str">
        <f t="shared" si="7"/>
        <v>.</v>
      </c>
      <c r="N101" s="214"/>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ht="11.4" x14ac:dyDescent="0.2">
      <c r="A102" s="3"/>
      <c r="B102" s="212"/>
      <c r="C102" s="584" t="s">
        <v>716</v>
      </c>
      <c r="D102" s="585"/>
      <c r="E102" s="585"/>
      <c r="F102" s="587"/>
      <c r="G102" s="585"/>
      <c r="H102" s="610" t="str">
        <f t="shared" si="6"/>
        <v>.</v>
      </c>
      <c r="I102" s="585"/>
      <c r="J102" s="585"/>
      <c r="K102" s="586"/>
      <c r="L102" s="586"/>
      <c r="M102" s="611" t="str">
        <f t="shared" si="7"/>
        <v>.</v>
      </c>
      <c r="N102" s="214"/>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ht="11.4" x14ac:dyDescent="0.2">
      <c r="A103" s="3"/>
      <c r="B103" s="212"/>
      <c r="C103" s="584" t="s">
        <v>716</v>
      </c>
      <c r="D103" s="585"/>
      <c r="E103" s="585"/>
      <c r="F103" s="587"/>
      <c r="G103" s="585"/>
      <c r="H103" s="610" t="str">
        <f t="shared" si="6"/>
        <v>.</v>
      </c>
      <c r="I103" s="585"/>
      <c r="J103" s="585"/>
      <c r="K103" s="586"/>
      <c r="L103" s="586"/>
      <c r="M103" s="611" t="str">
        <f t="shared" si="7"/>
        <v>.</v>
      </c>
      <c r="N103" s="214"/>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ht="11.4" x14ac:dyDescent="0.2">
      <c r="A104" s="3"/>
      <c r="B104" s="212"/>
      <c r="C104" s="584" t="s">
        <v>718</v>
      </c>
      <c r="D104" s="1192" t="s">
        <v>735</v>
      </c>
      <c r="E104" s="1193">
        <v>2126</v>
      </c>
      <c r="F104" s="587">
        <v>1.9380999999999999E-2</v>
      </c>
      <c r="G104" s="585"/>
      <c r="H104" s="610" t="str">
        <f t="shared" si="6"/>
        <v>.</v>
      </c>
      <c r="I104" s="585"/>
      <c r="J104" s="585"/>
      <c r="K104" s="586">
        <v>1258619136</v>
      </c>
      <c r="L104" s="586"/>
      <c r="M104" s="611">
        <f t="shared" si="7"/>
        <v>243932.97474815999</v>
      </c>
      <c r="N104" s="214"/>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ht="11.4" x14ac:dyDescent="0.2">
      <c r="A105" s="3"/>
      <c r="B105" s="212"/>
      <c r="C105" s="584" t="s">
        <v>718</v>
      </c>
      <c r="D105" s="1192" t="s">
        <v>736</v>
      </c>
      <c r="E105" s="1193">
        <v>507</v>
      </c>
      <c r="F105" s="587">
        <v>2.4582E-2</v>
      </c>
      <c r="G105" s="585"/>
      <c r="H105" s="610" t="str">
        <f t="shared" si="6"/>
        <v>.</v>
      </c>
      <c r="I105" s="585"/>
      <c r="J105" s="585"/>
      <c r="K105" s="586">
        <v>505706687</v>
      </c>
      <c r="L105" s="586"/>
      <c r="M105" s="611">
        <f t="shared" si="7"/>
        <v>124312.81779833999</v>
      </c>
      <c r="N105" s="214"/>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ht="11.4" x14ac:dyDescent="0.2">
      <c r="A106" s="3"/>
      <c r="B106" s="212"/>
      <c r="C106" s="584" t="s">
        <v>718</v>
      </c>
      <c r="D106" s="1192" t="s">
        <v>737</v>
      </c>
      <c r="E106" s="1193">
        <v>5</v>
      </c>
      <c r="F106" s="587">
        <v>7.3011000000000006E-2</v>
      </c>
      <c r="G106" s="585"/>
      <c r="H106" s="610" t="str">
        <f t="shared" si="6"/>
        <v>.</v>
      </c>
      <c r="I106" s="585"/>
      <c r="J106" s="585"/>
      <c r="K106" s="586">
        <v>87609000</v>
      </c>
      <c r="L106" s="586"/>
      <c r="M106" s="611">
        <f t="shared" si="7"/>
        <v>63964.206990000006</v>
      </c>
      <c r="N106" s="214"/>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ht="11.4" x14ac:dyDescent="0.2">
      <c r="A107" s="3"/>
      <c r="B107" s="212"/>
      <c r="C107" s="584" t="s">
        <v>718</v>
      </c>
      <c r="D107" s="585"/>
      <c r="E107" s="585"/>
      <c r="F107" s="587"/>
      <c r="G107" s="585"/>
      <c r="H107" s="610" t="str">
        <f t="shared" si="6"/>
        <v>.</v>
      </c>
      <c r="I107" s="585"/>
      <c r="J107" s="585"/>
      <c r="K107" s="586"/>
      <c r="L107" s="586"/>
      <c r="M107" s="611" t="str">
        <f t="shared" si="7"/>
        <v>.</v>
      </c>
      <c r="N107" s="214"/>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ht="11.4" x14ac:dyDescent="0.2">
      <c r="A108" s="3"/>
      <c r="B108" s="212"/>
      <c r="C108" s="584" t="s">
        <v>718</v>
      </c>
      <c r="D108" s="585"/>
      <c r="E108" s="585"/>
      <c r="F108" s="587"/>
      <c r="G108" s="585"/>
      <c r="H108" s="610" t="str">
        <f t="shared" si="6"/>
        <v>.</v>
      </c>
      <c r="I108" s="585"/>
      <c r="J108" s="585"/>
      <c r="K108" s="586"/>
      <c r="L108" s="586"/>
      <c r="M108" s="611" t="str">
        <f t="shared" si="7"/>
        <v>.</v>
      </c>
      <c r="N108" s="214"/>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ht="11.4" x14ac:dyDescent="0.2">
      <c r="A109" s="3"/>
      <c r="B109" s="212"/>
      <c r="C109" s="584" t="s">
        <v>718</v>
      </c>
      <c r="D109" s="585"/>
      <c r="E109" s="585"/>
      <c r="F109" s="587"/>
      <c r="G109" s="585"/>
      <c r="H109" s="610" t="str">
        <f t="shared" si="6"/>
        <v>.</v>
      </c>
      <c r="I109" s="585"/>
      <c r="J109" s="585"/>
      <c r="K109" s="586"/>
      <c r="L109" s="586"/>
      <c r="M109" s="611" t="str">
        <f t="shared" si="7"/>
        <v>.</v>
      </c>
      <c r="N109" s="214"/>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ht="11.4" x14ac:dyDescent="0.2">
      <c r="A110" s="3"/>
      <c r="B110" s="212"/>
      <c r="C110" s="584" t="s">
        <v>718</v>
      </c>
      <c r="D110" s="585"/>
      <c r="E110" s="585"/>
      <c r="F110" s="587"/>
      <c r="G110" s="585"/>
      <c r="H110" s="610" t="str">
        <f t="shared" si="6"/>
        <v>.</v>
      </c>
      <c r="I110" s="585"/>
      <c r="J110" s="585"/>
      <c r="K110" s="586"/>
      <c r="L110" s="586"/>
      <c r="M110" s="611" t="str">
        <f t="shared" si="7"/>
        <v>.</v>
      </c>
      <c r="N110" s="214"/>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ht="11.4" x14ac:dyDescent="0.2">
      <c r="A111" s="3"/>
      <c r="B111" s="212"/>
      <c r="C111" s="584" t="s">
        <v>718</v>
      </c>
      <c r="D111" s="585"/>
      <c r="E111" s="585"/>
      <c r="F111" s="587"/>
      <c r="G111" s="585"/>
      <c r="H111" s="610" t="str">
        <f t="shared" si="6"/>
        <v>.</v>
      </c>
      <c r="I111" s="585"/>
      <c r="J111" s="585"/>
      <c r="K111" s="586"/>
      <c r="L111" s="586"/>
      <c r="M111" s="611" t="str">
        <f t="shared" si="7"/>
        <v>.</v>
      </c>
      <c r="N111" s="214"/>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ht="11.4" x14ac:dyDescent="0.2">
      <c r="A112" s="3"/>
      <c r="B112" s="212"/>
      <c r="C112" s="584" t="s">
        <v>718</v>
      </c>
      <c r="D112" s="585"/>
      <c r="E112" s="585"/>
      <c r="F112" s="587"/>
      <c r="G112" s="585"/>
      <c r="H112" s="610" t="str">
        <f t="shared" si="6"/>
        <v>.</v>
      </c>
      <c r="I112" s="585"/>
      <c r="J112" s="585"/>
      <c r="K112" s="586"/>
      <c r="L112" s="586"/>
      <c r="M112" s="611" t="str">
        <f t="shared" si="7"/>
        <v>.</v>
      </c>
      <c r="N112" s="214"/>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ht="11.4" x14ac:dyDescent="0.2">
      <c r="A113" s="3"/>
      <c r="B113" s="212"/>
      <c r="C113" s="584" t="s">
        <v>718</v>
      </c>
      <c r="D113" s="585"/>
      <c r="E113" s="585"/>
      <c r="F113" s="587"/>
      <c r="G113" s="585"/>
      <c r="H113" s="610" t="str">
        <f t="shared" si="6"/>
        <v>.</v>
      </c>
      <c r="I113" s="585"/>
      <c r="J113" s="585"/>
      <c r="K113" s="586"/>
      <c r="L113" s="586"/>
      <c r="M113" s="611" t="str">
        <f t="shared" si="7"/>
        <v>.</v>
      </c>
      <c r="N113" s="214"/>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ht="11.4" x14ac:dyDescent="0.2">
      <c r="A114" s="3"/>
      <c r="B114" s="212"/>
      <c r="C114" s="584" t="s">
        <v>718</v>
      </c>
      <c r="D114" s="585"/>
      <c r="E114" s="585"/>
      <c r="F114" s="587"/>
      <c r="G114" s="585"/>
      <c r="H114" s="610" t="str">
        <f t="shared" si="6"/>
        <v>.</v>
      </c>
      <c r="I114" s="585"/>
      <c r="J114" s="585"/>
      <c r="K114" s="586"/>
      <c r="L114" s="586"/>
      <c r="M114" s="611" t="str">
        <f t="shared" si="7"/>
        <v>.</v>
      </c>
      <c r="N114" s="214"/>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ht="11.4" x14ac:dyDescent="0.2">
      <c r="A115" s="3"/>
      <c r="B115" s="212"/>
      <c r="C115" s="584" t="s">
        <v>718</v>
      </c>
      <c r="D115" s="585"/>
      <c r="E115" s="585"/>
      <c r="F115" s="587"/>
      <c r="G115" s="585"/>
      <c r="H115" s="610" t="str">
        <f t="shared" si="6"/>
        <v>.</v>
      </c>
      <c r="I115" s="585"/>
      <c r="J115" s="585"/>
      <c r="K115" s="586"/>
      <c r="L115" s="586"/>
      <c r="M115" s="611" t="str">
        <f t="shared" si="7"/>
        <v>.</v>
      </c>
      <c r="N115" s="214"/>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ht="11.4" x14ac:dyDescent="0.2">
      <c r="A116" s="3"/>
      <c r="B116" s="212"/>
      <c r="C116" s="584" t="s">
        <v>718</v>
      </c>
      <c r="D116" s="585"/>
      <c r="E116" s="585"/>
      <c r="F116" s="587"/>
      <c r="G116" s="585"/>
      <c r="H116" s="610" t="str">
        <f t="shared" si="6"/>
        <v>.</v>
      </c>
      <c r="I116" s="585"/>
      <c r="J116" s="585"/>
      <c r="K116" s="586"/>
      <c r="L116" s="586"/>
      <c r="M116" s="611" t="str">
        <f t="shared" si="7"/>
        <v>.</v>
      </c>
      <c r="N116" s="214"/>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ht="11.4" x14ac:dyDescent="0.2">
      <c r="A117" s="3"/>
      <c r="B117" s="212"/>
      <c r="C117" s="584" t="s">
        <v>718</v>
      </c>
      <c r="D117" s="585"/>
      <c r="E117" s="585"/>
      <c r="F117" s="587"/>
      <c r="G117" s="585"/>
      <c r="H117" s="610" t="str">
        <f t="shared" si="6"/>
        <v>.</v>
      </c>
      <c r="I117" s="585"/>
      <c r="J117" s="585"/>
      <c r="K117" s="586"/>
      <c r="L117" s="586"/>
      <c r="M117" s="611" t="str">
        <f t="shared" si="7"/>
        <v>.</v>
      </c>
      <c r="N117" s="214"/>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ht="11.4" x14ac:dyDescent="0.2">
      <c r="A118" s="3"/>
      <c r="B118" s="212"/>
      <c r="C118" s="584" t="s">
        <v>718</v>
      </c>
      <c r="D118" s="585"/>
      <c r="E118" s="585"/>
      <c r="F118" s="587"/>
      <c r="G118" s="585"/>
      <c r="H118" s="610" t="str">
        <f t="shared" si="6"/>
        <v>.</v>
      </c>
      <c r="I118" s="585"/>
      <c r="J118" s="585"/>
      <c r="K118" s="586"/>
      <c r="L118" s="586"/>
      <c r="M118" s="611" t="str">
        <f t="shared" si="7"/>
        <v>.</v>
      </c>
      <c r="N118" s="214"/>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ht="11.4" x14ac:dyDescent="0.2">
      <c r="A119" s="3"/>
      <c r="B119" s="212"/>
      <c r="C119" s="584" t="s">
        <v>718</v>
      </c>
      <c r="D119" s="585"/>
      <c r="E119" s="585"/>
      <c r="F119" s="587"/>
      <c r="G119" s="585"/>
      <c r="H119" s="610" t="str">
        <f t="shared" si="6"/>
        <v>.</v>
      </c>
      <c r="I119" s="585"/>
      <c r="J119" s="585"/>
      <c r="K119" s="586"/>
      <c r="L119" s="586"/>
      <c r="M119" s="611" t="str">
        <f t="shared" si="7"/>
        <v>.</v>
      </c>
      <c r="N119" s="214"/>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ht="11.4" x14ac:dyDescent="0.2">
      <c r="A120" s="3"/>
      <c r="B120" s="212"/>
      <c r="C120" s="584" t="s">
        <v>718</v>
      </c>
      <c r="D120" s="585"/>
      <c r="E120" s="585"/>
      <c r="F120" s="587"/>
      <c r="G120" s="585"/>
      <c r="H120" s="610" t="str">
        <f t="shared" si="6"/>
        <v>.</v>
      </c>
      <c r="I120" s="585"/>
      <c r="J120" s="585"/>
      <c r="K120" s="586"/>
      <c r="L120" s="586"/>
      <c r="M120" s="611" t="str">
        <f t="shared" si="7"/>
        <v>.</v>
      </c>
      <c r="N120" s="214"/>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ht="11.4" x14ac:dyDescent="0.2">
      <c r="A121" s="3"/>
      <c r="B121" s="212"/>
      <c r="C121" s="584" t="s">
        <v>718</v>
      </c>
      <c r="D121" s="585"/>
      <c r="E121" s="585"/>
      <c r="F121" s="587"/>
      <c r="G121" s="585"/>
      <c r="H121" s="610" t="str">
        <f t="shared" si="6"/>
        <v>.</v>
      </c>
      <c r="I121" s="585"/>
      <c r="J121" s="585"/>
      <c r="K121" s="586"/>
      <c r="L121" s="586"/>
      <c r="M121" s="611" t="str">
        <f t="shared" si="7"/>
        <v>.</v>
      </c>
      <c r="N121" s="214"/>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ht="11.4" x14ac:dyDescent="0.2">
      <c r="A122" s="3"/>
      <c r="B122" s="212"/>
      <c r="C122" s="584" t="s">
        <v>718</v>
      </c>
      <c r="D122" s="585"/>
      <c r="E122" s="585"/>
      <c r="F122" s="587"/>
      <c r="G122" s="585"/>
      <c r="H122" s="610" t="str">
        <f t="shared" si="6"/>
        <v>.</v>
      </c>
      <c r="I122" s="585"/>
      <c r="J122" s="585"/>
      <c r="K122" s="586"/>
      <c r="L122" s="586"/>
      <c r="M122" s="611" t="str">
        <f t="shared" si="7"/>
        <v>.</v>
      </c>
      <c r="N122" s="214"/>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ht="11.4" x14ac:dyDescent="0.2">
      <c r="A123" s="3"/>
      <c r="B123" s="212"/>
      <c r="C123" s="584" t="s">
        <v>718</v>
      </c>
      <c r="D123" s="585"/>
      <c r="E123" s="585"/>
      <c r="F123" s="587"/>
      <c r="G123" s="585"/>
      <c r="H123" s="610" t="str">
        <f t="shared" si="6"/>
        <v>.</v>
      </c>
      <c r="I123" s="585"/>
      <c r="J123" s="585"/>
      <c r="K123" s="586"/>
      <c r="L123" s="586"/>
      <c r="M123" s="611" t="str">
        <f t="shared" si="7"/>
        <v>.</v>
      </c>
      <c r="N123" s="214"/>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ht="11.4" x14ac:dyDescent="0.2">
      <c r="A124" s="3"/>
      <c r="B124" s="212"/>
      <c r="C124" s="584" t="s">
        <v>722</v>
      </c>
      <c r="D124" s="1192" t="s">
        <v>738</v>
      </c>
      <c r="E124" s="1193">
        <v>313</v>
      </c>
      <c r="F124" s="587">
        <v>6.2490000000000002E-3</v>
      </c>
      <c r="G124" s="585"/>
      <c r="H124" s="610" t="str">
        <f t="shared" si="6"/>
        <v>.</v>
      </c>
      <c r="I124" s="585"/>
      <c r="J124" s="585"/>
      <c r="K124" s="586">
        <v>508902500</v>
      </c>
      <c r="L124" s="586"/>
      <c r="M124" s="611">
        <f t="shared" si="7"/>
        <v>31801.317225000003</v>
      </c>
      <c r="N124" s="214"/>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ht="11.4" x14ac:dyDescent="0.2">
      <c r="A125" s="3"/>
      <c r="B125" s="212"/>
      <c r="C125" s="584" t="s">
        <v>722</v>
      </c>
      <c r="D125" s="585"/>
      <c r="E125" s="585"/>
      <c r="F125" s="587"/>
      <c r="G125" s="585"/>
      <c r="H125" s="610" t="str">
        <f t="shared" si="6"/>
        <v>.</v>
      </c>
      <c r="I125" s="585"/>
      <c r="J125" s="585"/>
      <c r="K125" s="586"/>
      <c r="L125" s="586"/>
      <c r="M125" s="611" t="str">
        <f t="shared" si="7"/>
        <v>.</v>
      </c>
      <c r="N125" s="214"/>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ht="11.4" x14ac:dyDescent="0.2">
      <c r="A126" s="3"/>
      <c r="B126" s="212"/>
      <c r="C126" s="584" t="s">
        <v>722</v>
      </c>
      <c r="D126" s="585"/>
      <c r="E126" s="585"/>
      <c r="F126" s="587"/>
      <c r="G126" s="585"/>
      <c r="H126" s="610" t="str">
        <f t="shared" ref="H126:H143" si="8">IF(G126="",".",E126*G126/M126)</f>
        <v>.</v>
      </c>
      <c r="I126" s="585"/>
      <c r="J126" s="585"/>
      <c r="K126" s="586"/>
      <c r="L126" s="586"/>
      <c r="M126" s="611" t="str">
        <f t="shared" si="7"/>
        <v>.</v>
      </c>
      <c r="N126" s="214"/>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spans="1:38" ht="11.4" x14ac:dyDescent="0.2">
      <c r="A127" s="3"/>
      <c r="B127" s="212"/>
      <c r="C127" s="584" t="s">
        <v>722</v>
      </c>
      <c r="D127" s="585"/>
      <c r="E127" s="585"/>
      <c r="F127" s="587"/>
      <c r="G127" s="585"/>
      <c r="H127" s="610" t="str">
        <f t="shared" si="8"/>
        <v>.</v>
      </c>
      <c r="I127" s="585"/>
      <c r="J127" s="585"/>
      <c r="K127" s="586"/>
      <c r="L127" s="586"/>
      <c r="M127" s="611" t="str">
        <f t="shared" si="7"/>
        <v>.</v>
      </c>
      <c r="N127" s="214"/>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spans="1:38" ht="11.4" x14ac:dyDescent="0.2">
      <c r="A128" s="3"/>
      <c r="B128" s="212"/>
      <c r="C128" s="584" t="s">
        <v>722</v>
      </c>
      <c r="D128" s="585"/>
      <c r="E128" s="585"/>
      <c r="F128" s="587"/>
      <c r="G128" s="585"/>
      <c r="H128" s="610" t="str">
        <f t="shared" si="8"/>
        <v>.</v>
      </c>
      <c r="I128" s="585"/>
      <c r="J128" s="585"/>
      <c r="K128" s="586"/>
      <c r="L128" s="586"/>
      <c r="M128" s="611" t="str">
        <f t="shared" si="7"/>
        <v>.</v>
      </c>
      <c r="N128" s="214"/>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spans="1:38" ht="11.4" x14ac:dyDescent="0.2">
      <c r="A129" s="3"/>
      <c r="B129" s="212"/>
      <c r="C129" s="584" t="s">
        <v>722</v>
      </c>
      <c r="D129" s="585"/>
      <c r="E129" s="585"/>
      <c r="F129" s="587"/>
      <c r="G129" s="585"/>
      <c r="H129" s="610" t="str">
        <f t="shared" si="8"/>
        <v>.</v>
      </c>
      <c r="I129" s="585"/>
      <c r="J129" s="585"/>
      <c r="K129" s="586"/>
      <c r="L129" s="586"/>
      <c r="M129" s="611" t="str">
        <f t="shared" si="7"/>
        <v>.</v>
      </c>
      <c r="N129" s="214"/>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spans="1:38" ht="11.4" x14ac:dyDescent="0.2">
      <c r="A130" s="3"/>
      <c r="B130" s="212"/>
      <c r="C130" s="584" t="s">
        <v>722</v>
      </c>
      <c r="D130" s="585"/>
      <c r="E130" s="585"/>
      <c r="F130" s="587"/>
      <c r="G130" s="585"/>
      <c r="H130" s="610" t="str">
        <f t="shared" si="8"/>
        <v>.</v>
      </c>
      <c r="I130" s="585"/>
      <c r="J130" s="585"/>
      <c r="K130" s="586"/>
      <c r="L130" s="586"/>
      <c r="M130" s="611" t="str">
        <f t="shared" si="7"/>
        <v>.</v>
      </c>
      <c r="N130" s="214"/>
      <c r="O130" s="3"/>
      <c r="P130" s="3"/>
      <c r="Q130" s="3"/>
      <c r="R130" s="3"/>
      <c r="S130" s="3"/>
      <c r="T130" s="3"/>
      <c r="U130" s="3"/>
      <c r="V130" s="3"/>
      <c r="W130" s="3"/>
      <c r="X130" s="3"/>
      <c r="Y130" s="3"/>
      <c r="Z130" s="3"/>
      <c r="AA130" s="3"/>
      <c r="AB130" s="3"/>
      <c r="AC130" s="3"/>
      <c r="AD130" s="3"/>
      <c r="AE130" s="3"/>
      <c r="AF130" s="3"/>
      <c r="AG130" s="3"/>
      <c r="AH130" s="3"/>
      <c r="AI130" s="3"/>
      <c r="AJ130" s="3"/>
      <c r="AK130" s="3"/>
      <c r="AL130" s="3"/>
    </row>
    <row r="131" spans="1:38" ht="11.4" x14ac:dyDescent="0.2">
      <c r="A131" s="3"/>
      <c r="B131" s="212"/>
      <c r="C131" s="584" t="s">
        <v>722</v>
      </c>
      <c r="D131" s="585"/>
      <c r="E131" s="585"/>
      <c r="F131" s="587"/>
      <c r="G131" s="585"/>
      <c r="H131" s="610" t="str">
        <f t="shared" si="8"/>
        <v>.</v>
      </c>
      <c r="I131" s="585"/>
      <c r="J131" s="585"/>
      <c r="K131" s="586"/>
      <c r="L131" s="586"/>
      <c r="M131" s="611" t="str">
        <f t="shared" si="7"/>
        <v>.</v>
      </c>
      <c r="N131" s="214"/>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spans="1:38" ht="11.4" x14ac:dyDescent="0.2">
      <c r="A132" s="3"/>
      <c r="B132" s="212"/>
      <c r="C132" s="584" t="s">
        <v>722</v>
      </c>
      <c r="D132" s="585"/>
      <c r="E132" s="585"/>
      <c r="F132" s="587"/>
      <c r="G132" s="585"/>
      <c r="H132" s="610" t="str">
        <f t="shared" si="8"/>
        <v>.</v>
      </c>
      <c r="I132" s="585"/>
      <c r="J132" s="585"/>
      <c r="K132" s="586"/>
      <c r="L132" s="586"/>
      <c r="M132" s="611" t="str">
        <f t="shared" si="7"/>
        <v>.</v>
      </c>
      <c r="N132" s="214"/>
      <c r="O132" s="3"/>
      <c r="P132" s="3"/>
      <c r="Q132" s="3"/>
      <c r="R132" s="3"/>
      <c r="S132" s="3"/>
      <c r="T132" s="3"/>
      <c r="U132" s="3"/>
      <c r="V132" s="3"/>
      <c r="W132" s="3"/>
      <c r="X132" s="3"/>
      <c r="Y132" s="3"/>
      <c r="Z132" s="3"/>
      <c r="AA132" s="3"/>
      <c r="AB132" s="3"/>
      <c r="AC132" s="3"/>
      <c r="AD132" s="3"/>
      <c r="AE132" s="3"/>
      <c r="AF132" s="3"/>
      <c r="AG132" s="3"/>
      <c r="AH132" s="3"/>
      <c r="AI132" s="3"/>
      <c r="AJ132" s="3"/>
      <c r="AK132" s="3"/>
      <c r="AL132" s="3"/>
    </row>
    <row r="133" spans="1:38" ht="11.4" x14ac:dyDescent="0.2">
      <c r="A133" s="3"/>
      <c r="B133" s="212"/>
      <c r="C133" s="584" t="s">
        <v>722</v>
      </c>
      <c r="D133" s="585"/>
      <c r="E133" s="585"/>
      <c r="F133" s="587"/>
      <c r="G133" s="585"/>
      <c r="H133" s="610" t="str">
        <f t="shared" si="8"/>
        <v>.</v>
      </c>
      <c r="I133" s="585"/>
      <c r="J133" s="585"/>
      <c r="K133" s="602"/>
      <c r="L133" s="602"/>
      <c r="M133" s="611" t="str">
        <f t="shared" si="7"/>
        <v>.</v>
      </c>
      <c r="N133" s="214"/>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spans="1:38" ht="11.4" x14ac:dyDescent="0.2">
      <c r="A134" s="3"/>
      <c r="B134" s="212"/>
      <c r="C134" s="584" t="s">
        <v>724</v>
      </c>
      <c r="D134" s="585"/>
      <c r="E134" s="585"/>
      <c r="F134" s="587"/>
      <c r="G134" s="585"/>
      <c r="H134" s="610" t="str">
        <f t="shared" si="8"/>
        <v>.</v>
      </c>
      <c r="I134" s="585"/>
      <c r="J134" s="585"/>
      <c r="K134" s="586"/>
      <c r="L134" s="586"/>
      <c r="M134" s="611" t="str">
        <f t="shared" si="7"/>
        <v>.</v>
      </c>
      <c r="N134" s="214"/>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spans="1:38" ht="11.4" x14ac:dyDescent="0.2">
      <c r="A135" s="3"/>
      <c r="B135" s="212"/>
      <c r="C135" s="584" t="s">
        <v>724</v>
      </c>
      <c r="D135" s="585"/>
      <c r="E135" s="585"/>
      <c r="F135" s="587"/>
      <c r="G135" s="585"/>
      <c r="H135" s="610" t="str">
        <f t="shared" si="8"/>
        <v>.</v>
      </c>
      <c r="I135" s="585"/>
      <c r="J135" s="585"/>
      <c r="K135" s="586"/>
      <c r="L135" s="586"/>
      <c r="M135" s="611" t="str">
        <f t="shared" si="7"/>
        <v>.</v>
      </c>
      <c r="N135" s="214"/>
      <c r="O135" s="3"/>
      <c r="P135" s="3"/>
      <c r="Q135" s="3"/>
      <c r="R135" s="3"/>
      <c r="S135" s="3"/>
      <c r="T135" s="3"/>
      <c r="U135" s="3"/>
      <c r="V135" s="3"/>
      <c r="W135" s="3"/>
      <c r="X135" s="3"/>
      <c r="Y135" s="3"/>
      <c r="Z135" s="3"/>
      <c r="AA135" s="3"/>
      <c r="AB135" s="3"/>
      <c r="AC135" s="3"/>
      <c r="AD135" s="3"/>
      <c r="AE135" s="3"/>
      <c r="AF135" s="3"/>
      <c r="AG135" s="3"/>
      <c r="AH135" s="3"/>
      <c r="AI135" s="3"/>
      <c r="AJ135" s="3"/>
      <c r="AK135" s="3"/>
      <c r="AL135" s="3"/>
    </row>
    <row r="136" spans="1:38" ht="11.4" x14ac:dyDescent="0.2">
      <c r="A136" s="3"/>
      <c r="B136" s="212"/>
      <c r="C136" s="584" t="s">
        <v>724</v>
      </c>
      <c r="D136" s="585"/>
      <c r="E136" s="585"/>
      <c r="F136" s="587"/>
      <c r="G136" s="585"/>
      <c r="H136" s="610" t="str">
        <f t="shared" si="8"/>
        <v>.</v>
      </c>
      <c r="I136" s="585"/>
      <c r="J136" s="585"/>
      <c r="K136" s="586"/>
      <c r="L136" s="586"/>
      <c r="M136" s="611" t="str">
        <f t="shared" si="7"/>
        <v>.</v>
      </c>
      <c r="N136" s="214"/>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spans="1:38" ht="11.4" x14ac:dyDescent="0.2">
      <c r="A137" s="3"/>
      <c r="B137" s="212"/>
      <c r="C137" s="584" t="s">
        <v>724</v>
      </c>
      <c r="D137" s="585"/>
      <c r="E137" s="585"/>
      <c r="F137" s="587"/>
      <c r="G137" s="585"/>
      <c r="H137" s="610" t="str">
        <f t="shared" si="8"/>
        <v>.</v>
      </c>
      <c r="I137" s="585"/>
      <c r="J137" s="585"/>
      <c r="K137" s="586"/>
      <c r="L137" s="586"/>
      <c r="M137" s="611" t="str">
        <f t="shared" si="7"/>
        <v>.</v>
      </c>
      <c r="N137" s="214"/>
      <c r="O137" s="3"/>
      <c r="P137" s="3"/>
      <c r="Q137" s="3"/>
      <c r="R137" s="3"/>
      <c r="S137" s="3"/>
      <c r="T137" s="3"/>
      <c r="U137" s="3"/>
      <c r="V137" s="3"/>
      <c r="W137" s="3"/>
      <c r="X137" s="3"/>
      <c r="Y137" s="3"/>
      <c r="Z137" s="3"/>
      <c r="AA137" s="3"/>
      <c r="AB137" s="3"/>
      <c r="AC137" s="3"/>
      <c r="AD137" s="3"/>
      <c r="AE137" s="3"/>
      <c r="AF137" s="3"/>
      <c r="AG137" s="3"/>
      <c r="AH137" s="3"/>
      <c r="AI137" s="3"/>
      <c r="AJ137" s="3"/>
      <c r="AK137" s="3"/>
      <c r="AL137" s="3"/>
    </row>
    <row r="138" spans="1:38" ht="11.4" x14ac:dyDescent="0.2">
      <c r="A138" s="3"/>
      <c r="B138" s="212"/>
      <c r="C138" s="584" t="s">
        <v>724</v>
      </c>
      <c r="D138" s="585"/>
      <c r="E138" s="585"/>
      <c r="F138" s="587"/>
      <c r="G138" s="585"/>
      <c r="H138" s="610" t="str">
        <f t="shared" si="8"/>
        <v>.</v>
      </c>
      <c r="I138" s="585"/>
      <c r="J138" s="585"/>
      <c r="K138" s="586"/>
      <c r="L138" s="586"/>
      <c r="M138" s="611" t="str">
        <f t="shared" si="7"/>
        <v>.</v>
      </c>
      <c r="N138" s="214"/>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spans="1:38" ht="11.4" x14ac:dyDescent="0.2">
      <c r="A139" s="3"/>
      <c r="B139" s="212"/>
      <c r="C139" s="584" t="s">
        <v>724</v>
      </c>
      <c r="D139" s="585"/>
      <c r="E139" s="585"/>
      <c r="F139" s="587"/>
      <c r="G139" s="585"/>
      <c r="H139" s="610" t="str">
        <f t="shared" si="8"/>
        <v>.</v>
      </c>
      <c r="I139" s="585"/>
      <c r="J139" s="585"/>
      <c r="K139" s="586"/>
      <c r="L139" s="586"/>
      <c r="M139" s="611" t="str">
        <f t="shared" si="7"/>
        <v>.</v>
      </c>
      <c r="N139" s="214"/>
      <c r="O139" s="3"/>
      <c r="P139" s="3"/>
      <c r="Q139" s="3"/>
      <c r="R139" s="3"/>
      <c r="S139" s="3"/>
      <c r="T139" s="3"/>
      <c r="U139" s="3"/>
      <c r="V139" s="3"/>
      <c r="W139" s="3"/>
      <c r="X139" s="3"/>
      <c r="Y139" s="3"/>
      <c r="Z139" s="3"/>
      <c r="AA139" s="3"/>
      <c r="AB139" s="3"/>
      <c r="AC139" s="3"/>
      <c r="AD139" s="3"/>
      <c r="AE139" s="3"/>
      <c r="AF139" s="3"/>
      <c r="AG139" s="3"/>
      <c r="AH139" s="3"/>
      <c r="AI139" s="3"/>
      <c r="AJ139" s="3"/>
      <c r="AK139" s="3"/>
      <c r="AL139" s="3"/>
    </row>
    <row r="140" spans="1:38" ht="11.4" x14ac:dyDescent="0.2">
      <c r="A140" s="3"/>
      <c r="B140" s="212"/>
      <c r="C140" s="584" t="s">
        <v>724</v>
      </c>
      <c r="D140" s="585"/>
      <c r="E140" s="585"/>
      <c r="F140" s="587"/>
      <c r="G140" s="585"/>
      <c r="H140" s="610" t="str">
        <f t="shared" si="8"/>
        <v>.</v>
      </c>
      <c r="I140" s="585"/>
      <c r="J140" s="585"/>
      <c r="K140" s="586"/>
      <c r="L140" s="586"/>
      <c r="M140" s="611" t="str">
        <f t="shared" si="7"/>
        <v>.</v>
      </c>
      <c r="N140" s="214"/>
      <c r="O140" s="3"/>
      <c r="P140" s="3"/>
      <c r="Q140" s="3"/>
      <c r="R140" s="3"/>
      <c r="S140" s="3"/>
      <c r="T140" s="3"/>
      <c r="U140" s="3"/>
      <c r="V140" s="3"/>
      <c r="W140" s="3"/>
      <c r="X140" s="3"/>
      <c r="Y140" s="3"/>
      <c r="Z140" s="3"/>
      <c r="AA140" s="3"/>
      <c r="AB140" s="3"/>
      <c r="AC140" s="3"/>
      <c r="AD140" s="3"/>
      <c r="AE140" s="3"/>
      <c r="AF140" s="3"/>
      <c r="AG140" s="3"/>
      <c r="AH140" s="3"/>
      <c r="AI140" s="3"/>
      <c r="AJ140" s="3"/>
      <c r="AK140" s="3"/>
      <c r="AL140" s="3"/>
    </row>
    <row r="141" spans="1:38" ht="11.4" x14ac:dyDescent="0.2">
      <c r="A141" s="3"/>
      <c r="B141" s="212"/>
      <c r="C141" s="584" t="s">
        <v>724</v>
      </c>
      <c r="D141" s="585"/>
      <c r="E141" s="585"/>
      <c r="F141" s="587"/>
      <c r="G141" s="585"/>
      <c r="H141" s="610" t="str">
        <f t="shared" si="8"/>
        <v>.</v>
      </c>
      <c r="I141" s="585"/>
      <c r="J141" s="585"/>
      <c r="K141" s="586"/>
      <c r="L141" s="586"/>
      <c r="M141" s="611" t="str">
        <f t="shared" si="7"/>
        <v>.</v>
      </c>
      <c r="N141" s="214"/>
      <c r="O141" s="3"/>
      <c r="P141" s="3"/>
      <c r="Q141" s="3"/>
      <c r="R141" s="3"/>
      <c r="S141" s="3"/>
      <c r="T141" s="3"/>
      <c r="U141" s="3"/>
      <c r="V141" s="3"/>
      <c r="W141" s="3"/>
      <c r="X141" s="3"/>
      <c r="Y141" s="3"/>
      <c r="Z141" s="3"/>
      <c r="AA141" s="3"/>
      <c r="AB141" s="3"/>
      <c r="AC141" s="3"/>
      <c r="AD141" s="3"/>
      <c r="AE141" s="3"/>
      <c r="AF141" s="3"/>
      <c r="AG141" s="3"/>
      <c r="AH141" s="3"/>
      <c r="AI141" s="3"/>
      <c r="AJ141" s="3"/>
      <c r="AK141" s="3"/>
      <c r="AL141" s="3"/>
    </row>
    <row r="142" spans="1:38" ht="11.4" x14ac:dyDescent="0.2">
      <c r="A142" s="3"/>
      <c r="B142" s="212"/>
      <c r="C142" s="584" t="s">
        <v>724</v>
      </c>
      <c r="D142" s="585"/>
      <c r="E142" s="585"/>
      <c r="F142" s="587"/>
      <c r="G142" s="585"/>
      <c r="H142" s="610" t="str">
        <f t="shared" si="8"/>
        <v>.</v>
      </c>
      <c r="I142" s="585"/>
      <c r="J142" s="585"/>
      <c r="K142" s="586"/>
      <c r="L142" s="586"/>
      <c r="M142" s="611" t="str">
        <f t="shared" si="7"/>
        <v>.</v>
      </c>
      <c r="N142" s="214"/>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spans="1:38" ht="11.4" x14ac:dyDescent="0.2">
      <c r="A143" s="3"/>
      <c r="B143" s="212"/>
      <c r="C143" s="592" t="s">
        <v>724</v>
      </c>
      <c r="D143" s="593"/>
      <c r="E143" s="593"/>
      <c r="F143" s="595"/>
      <c r="G143" s="593"/>
      <c r="H143" s="612" t="str">
        <f t="shared" si="8"/>
        <v>.</v>
      </c>
      <c r="I143" s="593"/>
      <c r="J143" s="593"/>
      <c r="K143" s="594"/>
      <c r="L143" s="594"/>
      <c r="M143" s="613" t="str">
        <f>IF(E143="",".",IF(G143&lt;&gt;"",G143*E143+K143*(F143/100),(K143-L143)*(F143/100)+I143*J143))</f>
        <v>.</v>
      </c>
      <c r="N143" s="214"/>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spans="1:38" ht="12" x14ac:dyDescent="0.25">
      <c r="A144" s="3"/>
      <c r="B144" s="212"/>
      <c r="D144" s="3"/>
      <c r="E144" s="3"/>
      <c r="F144" s="3"/>
      <c r="G144" s="2"/>
      <c r="H144" s="3"/>
      <c r="I144" s="3"/>
      <c r="J144" s="3"/>
      <c r="K144" s="123"/>
      <c r="L144" s="124" t="s">
        <v>728</v>
      </c>
      <c r="M144" s="450">
        <f>SUM(M94:M143)</f>
        <v>3613746.3740067789</v>
      </c>
      <c r="N144" s="214"/>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spans="1:38" x14ac:dyDescent="0.25">
      <c r="A145" s="3"/>
      <c r="B145" s="240"/>
      <c r="C145" s="114"/>
      <c r="D145" s="114"/>
      <c r="E145" s="93"/>
      <c r="F145" s="93"/>
      <c r="G145" s="115"/>
      <c r="H145" s="93"/>
      <c r="I145" s="93"/>
      <c r="J145" s="93"/>
      <c r="K145" s="93"/>
      <c r="L145" s="116"/>
      <c r="M145" s="117"/>
      <c r="N145" s="1157"/>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row r="146" spans="1:38" ht="12" x14ac:dyDescent="0.25">
      <c r="A146" s="3"/>
      <c r="B146" s="242"/>
      <c r="C146" s="1154"/>
      <c r="D146" s="1154"/>
      <c r="E146" s="815"/>
      <c r="F146" s="815"/>
      <c r="G146" s="815"/>
      <c r="H146" s="815"/>
      <c r="I146" s="815"/>
      <c r="J146" s="815"/>
      <c r="K146" s="815"/>
      <c r="L146" s="1158"/>
      <c r="M146" s="1158"/>
      <c r="N146" s="1223"/>
      <c r="O146" s="3"/>
      <c r="P146" s="3"/>
      <c r="Q146" s="3"/>
      <c r="R146" s="3"/>
      <c r="S146" s="3"/>
      <c r="T146" s="3"/>
      <c r="U146" s="3"/>
      <c r="V146" s="3"/>
      <c r="W146" s="3"/>
      <c r="X146" s="3"/>
      <c r="Y146" s="3"/>
      <c r="Z146" s="3"/>
      <c r="AA146" s="3"/>
      <c r="AB146" s="3"/>
      <c r="AC146" s="3"/>
      <c r="AD146" s="3"/>
      <c r="AE146" s="3"/>
      <c r="AF146" s="3"/>
      <c r="AG146" s="3"/>
      <c r="AH146" s="3"/>
      <c r="AI146" s="3"/>
      <c r="AJ146" s="3"/>
      <c r="AK146" s="3"/>
      <c r="AL146" s="3"/>
    </row>
    <row r="147" spans="1:38" ht="17.25" customHeight="1" x14ac:dyDescent="0.3">
      <c r="A147" s="3"/>
      <c r="B147" s="243"/>
      <c r="C147" s="119"/>
      <c r="D147" s="119"/>
      <c r="E147" s="120"/>
      <c r="F147" s="120"/>
      <c r="G147" s="120"/>
      <c r="H147" s="85" t="s">
        <v>739</v>
      </c>
      <c r="I147" s="120"/>
      <c r="J147" s="120"/>
      <c r="K147" s="120"/>
      <c r="L147" s="120"/>
      <c r="M147" s="121"/>
      <c r="N147" s="1155"/>
      <c r="O147" s="3"/>
      <c r="P147" s="3"/>
      <c r="Q147" s="3"/>
      <c r="R147" s="3"/>
      <c r="S147" s="3"/>
      <c r="T147" s="3"/>
      <c r="U147" s="3"/>
      <c r="V147" s="3"/>
      <c r="W147" s="3"/>
      <c r="X147" s="3"/>
      <c r="Y147" s="3"/>
      <c r="Z147" s="3"/>
      <c r="AA147" s="3"/>
      <c r="AB147" s="3"/>
      <c r="AC147" s="3"/>
      <c r="AD147" s="3"/>
      <c r="AE147" s="3"/>
      <c r="AF147" s="3"/>
      <c r="AG147" s="3"/>
      <c r="AH147" s="3"/>
      <c r="AI147" s="3"/>
      <c r="AJ147" s="3"/>
      <c r="AK147" s="3"/>
      <c r="AL147" s="3"/>
    </row>
    <row r="148" spans="1:38" x14ac:dyDescent="0.25">
      <c r="A148" s="3"/>
      <c r="B148" s="243"/>
      <c r="C148" s="119"/>
      <c r="D148" s="119"/>
      <c r="E148" s="3"/>
      <c r="F148" s="3"/>
      <c r="G148" s="3"/>
      <c r="H148" s="3"/>
      <c r="I148" s="3"/>
      <c r="J148" s="3"/>
      <c r="K148" s="3"/>
      <c r="L148" s="118"/>
      <c r="M148" s="118"/>
      <c r="N148" s="1156"/>
      <c r="O148" s="3"/>
      <c r="P148" s="3"/>
      <c r="Q148" s="3"/>
      <c r="R148" s="3"/>
      <c r="S148" s="3"/>
      <c r="T148" s="3"/>
      <c r="U148" s="3"/>
      <c r="V148" s="3"/>
      <c r="W148" s="3"/>
      <c r="X148" s="3"/>
      <c r="Y148" s="3"/>
      <c r="Z148" s="3"/>
      <c r="AA148" s="3"/>
      <c r="AB148" s="3"/>
      <c r="AC148" s="3"/>
      <c r="AD148" s="3"/>
      <c r="AE148" s="3"/>
      <c r="AF148" s="3"/>
      <c r="AG148" s="3"/>
      <c r="AH148" s="3"/>
      <c r="AI148" s="3"/>
      <c r="AJ148" s="3"/>
      <c r="AK148" s="3"/>
      <c r="AL148" s="3"/>
    </row>
    <row r="149" spans="1:38" ht="36" x14ac:dyDescent="0.2">
      <c r="A149" s="3"/>
      <c r="B149" s="238"/>
      <c r="C149" s="125" t="s">
        <v>740</v>
      </c>
      <c r="D149" s="126"/>
      <c r="E149" s="126"/>
      <c r="F149" s="126"/>
      <c r="G149" s="126"/>
      <c r="H149" s="126"/>
      <c r="I149" s="126"/>
      <c r="J149" s="127"/>
      <c r="K149" s="1215" t="s">
        <v>741</v>
      </c>
      <c r="L149" s="1215" t="s">
        <v>742</v>
      </c>
      <c r="M149" s="1216" t="s">
        <v>733</v>
      </c>
      <c r="N149" s="214"/>
      <c r="O149" s="3"/>
      <c r="P149" s="3"/>
      <c r="Q149" s="3"/>
      <c r="R149" s="3"/>
      <c r="S149" s="3"/>
      <c r="T149" s="3"/>
      <c r="U149" s="3"/>
      <c r="V149" s="3"/>
      <c r="W149" s="3"/>
      <c r="X149" s="3"/>
      <c r="Y149" s="3"/>
      <c r="Z149" s="3"/>
      <c r="AA149" s="3"/>
      <c r="AB149" s="3"/>
      <c r="AC149" s="3"/>
      <c r="AD149" s="3"/>
      <c r="AE149" s="3"/>
      <c r="AF149" s="3"/>
      <c r="AG149" s="3"/>
      <c r="AH149" s="3"/>
      <c r="AI149" s="3"/>
      <c r="AJ149" s="3"/>
      <c r="AK149" s="3"/>
      <c r="AL149" s="3"/>
    </row>
    <row r="150" spans="1:38" ht="11.4" x14ac:dyDescent="0.2">
      <c r="A150" s="3"/>
      <c r="B150" s="212"/>
      <c r="C150" s="1227"/>
      <c r="D150" s="729"/>
      <c r="E150" s="729"/>
      <c r="F150" s="729"/>
      <c r="G150" s="729"/>
      <c r="H150" s="729"/>
      <c r="I150" s="729"/>
      <c r="J150" s="1159"/>
      <c r="K150" s="1228"/>
      <c r="L150" s="1228"/>
      <c r="M150" s="1160" t="str">
        <f>IF(C150="",".",K150*L150)</f>
        <v>.</v>
      </c>
      <c r="N150" s="214"/>
      <c r="O150" s="3"/>
      <c r="P150" s="3"/>
      <c r="Q150" s="3"/>
      <c r="R150" s="3"/>
      <c r="S150" s="3"/>
      <c r="T150" s="3"/>
      <c r="U150" s="3"/>
      <c r="V150" s="3"/>
      <c r="W150" s="3"/>
      <c r="X150" s="3"/>
      <c r="Y150" s="3"/>
      <c r="Z150" s="3"/>
      <c r="AA150" s="3"/>
      <c r="AB150" s="3"/>
      <c r="AC150" s="3"/>
      <c r="AD150" s="3"/>
      <c r="AE150" s="3"/>
      <c r="AF150" s="3"/>
      <c r="AG150" s="3"/>
      <c r="AH150" s="3"/>
      <c r="AI150" s="3"/>
      <c r="AJ150" s="3"/>
      <c r="AK150" s="3"/>
      <c r="AL150" s="3"/>
    </row>
    <row r="151" spans="1:38" ht="11.4" x14ac:dyDescent="0.2">
      <c r="A151" s="3"/>
      <c r="B151" s="212"/>
      <c r="C151" s="598"/>
      <c r="D151" s="599"/>
      <c r="E151" s="599"/>
      <c r="F151" s="599"/>
      <c r="G151" s="599"/>
      <c r="H151" s="599"/>
      <c r="I151" s="599"/>
      <c r="J151" s="600"/>
      <c r="K151" s="602"/>
      <c r="L151" s="602"/>
      <c r="M151" s="730" t="str">
        <f t="shared" ref="M151:M157" si="9">IF(C151="",".",K151*L151)</f>
        <v>.</v>
      </c>
      <c r="N151" s="214"/>
      <c r="O151" s="3"/>
      <c r="P151" s="3"/>
      <c r="Q151" s="3"/>
      <c r="R151" s="3"/>
      <c r="S151" s="3"/>
      <c r="T151" s="3"/>
      <c r="U151" s="3"/>
      <c r="V151" s="3"/>
      <c r="W151" s="3"/>
      <c r="X151" s="3"/>
      <c r="Y151" s="3"/>
      <c r="Z151" s="3"/>
      <c r="AA151" s="3"/>
      <c r="AB151" s="3"/>
      <c r="AC151" s="3"/>
      <c r="AD151" s="3"/>
      <c r="AE151" s="3"/>
      <c r="AF151" s="3"/>
      <c r="AG151" s="3"/>
      <c r="AH151" s="3"/>
      <c r="AI151" s="3"/>
      <c r="AJ151" s="3"/>
      <c r="AK151" s="3"/>
      <c r="AL151" s="3"/>
    </row>
    <row r="152" spans="1:38" ht="11.4" x14ac:dyDescent="0.2">
      <c r="A152" s="3"/>
      <c r="B152" s="212"/>
      <c r="C152" s="598"/>
      <c r="D152" s="599"/>
      <c r="E152" s="599"/>
      <c r="F152" s="599"/>
      <c r="G152" s="599"/>
      <c r="H152" s="599"/>
      <c r="I152" s="599"/>
      <c r="J152" s="600"/>
      <c r="K152" s="602"/>
      <c r="L152" s="602"/>
      <c r="M152" s="730" t="str">
        <f t="shared" si="9"/>
        <v>.</v>
      </c>
      <c r="N152" s="214"/>
      <c r="O152" s="3"/>
      <c r="P152" s="3"/>
      <c r="Q152" s="3"/>
      <c r="R152" s="3"/>
      <c r="S152" s="3"/>
      <c r="T152" s="3"/>
      <c r="U152" s="3"/>
      <c r="V152" s="3"/>
      <c r="W152" s="3"/>
      <c r="X152" s="3"/>
      <c r="Y152" s="3"/>
      <c r="Z152" s="3"/>
      <c r="AA152" s="3"/>
      <c r="AB152" s="3"/>
      <c r="AC152" s="3"/>
      <c r="AD152" s="3"/>
      <c r="AE152" s="3"/>
      <c r="AF152" s="3"/>
      <c r="AG152" s="3"/>
      <c r="AH152" s="3"/>
      <c r="AI152" s="3"/>
      <c r="AJ152" s="3"/>
      <c r="AK152" s="3"/>
      <c r="AL152" s="3"/>
    </row>
    <row r="153" spans="1:38" ht="11.4" x14ac:dyDescent="0.2">
      <c r="A153" s="3"/>
      <c r="B153" s="212"/>
      <c r="C153" s="598"/>
      <c r="D153" s="599"/>
      <c r="E153" s="599"/>
      <c r="F153" s="599"/>
      <c r="G153" s="599"/>
      <c r="H153" s="599"/>
      <c r="I153" s="599"/>
      <c r="J153" s="600"/>
      <c r="K153" s="602"/>
      <c r="L153" s="602"/>
      <c r="M153" s="730" t="str">
        <f t="shared" si="9"/>
        <v>.</v>
      </c>
      <c r="N153" s="214"/>
      <c r="O153" s="3"/>
      <c r="P153" s="3"/>
      <c r="Q153" s="3"/>
      <c r="R153" s="3"/>
      <c r="S153" s="3"/>
      <c r="T153" s="3"/>
      <c r="U153" s="3"/>
      <c r="V153" s="3"/>
      <c r="W153" s="3"/>
      <c r="X153" s="3"/>
      <c r="Y153" s="3"/>
      <c r="Z153" s="3"/>
      <c r="AA153" s="3"/>
      <c r="AB153" s="3"/>
      <c r="AC153" s="3"/>
      <c r="AD153" s="3"/>
      <c r="AE153" s="3"/>
      <c r="AF153" s="3"/>
      <c r="AG153" s="3"/>
      <c r="AH153" s="3"/>
      <c r="AI153" s="3"/>
      <c r="AJ153" s="3"/>
      <c r="AK153" s="3"/>
      <c r="AL153" s="3"/>
    </row>
    <row r="154" spans="1:38" ht="11.4" x14ac:dyDescent="0.2">
      <c r="A154" s="3"/>
      <c r="B154" s="212"/>
      <c r="C154" s="598"/>
      <c r="D154" s="599"/>
      <c r="E154" s="599"/>
      <c r="F154" s="599"/>
      <c r="G154" s="599"/>
      <c r="H154" s="599"/>
      <c r="I154" s="599"/>
      <c r="J154" s="600"/>
      <c r="K154" s="602"/>
      <c r="L154" s="602"/>
      <c r="M154" s="730" t="str">
        <f t="shared" si="9"/>
        <v>.</v>
      </c>
      <c r="N154" s="214"/>
      <c r="O154" s="3"/>
      <c r="P154" s="3"/>
      <c r="Q154" s="3"/>
      <c r="R154" s="3"/>
      <c r="S154" s="3"/>
      <c r="T154" s="3"/>
      <c r="U154" s="3"/>
      <c r="V154" s="3"/>
      <c r="W154" s="3"/>
      <c r="X154" s="3"/>
      <c r="Y154" s="3"/>
      <c r="Z154" s="3"/>
      <c r="AA154" s="3"/>
      <c r="AB154" s="3"/>
      <c r="AC154" s="3"/>
      <c r="AD154" s="3"/>
      <c r="AE154" s="3"/>
      <c r="AF154" s="3"/>
      <c r="AG154" s="3"/>
      <c r="AH154" s="3"/>
      <c r="AI154" s="3"/>
      <c r="AJ154" s="3"/>
      <c r="AK154" s="3"/>
      <c r="AL154" s="3"/>
    </row>
    <row r="155" spans="1:38" ht="11.4" x14ac:dyDescent="0.2">
      <c r="A155" s="3"/>
      <c r="B155" s="212"/>
      <c r="C155" s="598"/>
      <c r="D155" s="599"/>
      <c r="E155" s="599"/>
      <c r="F155" s="599"/>
      <c r="G155" s="599"/>
      <c r="H155" s="599"/>
      <c r="I155" s="599"/>
      <c r="J155" s="600"/>
      <c r="K155" s="602"/>
      <c r="L155" s="602"/>
      <c r="M155" s="730" t="str">
        <f t="shared" si="9"/>
        <v>.</v>
      </c>
      <c r="N155" s="214"/>
      <c r="O155" s="3"/>
      <c r="P155" s="3"/>
      <c r="Q155" s="3"/>
      <c r="R155" s="3"/>
      <c r="S155" s="3"/>
      <c r="T155" s="3"/>
      <c r="U155" s="3"/>
      <c r="V155" s="3"/>
      <c r="W155" s="3"/>
      <c r="X155" s="3"/>
      <c r="Y155" s="3"/>
      <c r="Z155" s="3"/>
      <c r="AA155" s="3"/>
      <c r="AB155" s="3"/>
      <c r="AC155" s="3"/>
      <c r="AD155" s="3"/>
      <c r="AE155" s="3"/>
      <c r="AF155" s="3"/>
      <c r="AG155" s="3"/>
      <c r="AH155" s="3"/>
      <c r="AI155" s="3"/>
      <c r="AJ155" s="3"/>
      <c r="AK155" s="3"/>
      <c r="AL155" s="3"/>
    </row>
    <row r="156" spans="1:38" ht="11.4" x14ac:dyDescent="0.2">
      <c r="A156" s="3"/>
      <c r="B156" s="212"/>
      <c r="C156" s="598"/>
      <c r="D156" s="599"/>
      <c r="E156" s="599"/>
      <c r="F156" s="599"/>
      <c r="G156" s="599"/>
      <c r="H156" s="599"/>
      <c r="I156" s="599"/>
      <c r="J156" s="600"/>
      <c r="K156" s="602"/>
      <c r="L156" s="602"/>
      <c r="M156" s="730" t="str">
        <f t="shared" si="9"/>
        <v>.</v>
      </c>
      <c r="N156" s="214"/>
      <c r="O156" s="3"/>
      <c r="P156" s="3"/>
      <c r="Q156" s="3"/>
      <c r="R156" s="3"/>
      <c r="S156" s="3"/>
      <c r="T156" s="3"/>
      <c r="U156" s="3"/>
      <c r="V156" s="3"/>
      <c r="W156" s="3"/>
      <c r="X156" s="3"/>
      <c r="Y156" s="3"/>
      <c r="Z156" s="3"/>
      <c r="AA156" s="3"/>
      <c r="AB156" s="3"/>
      <c r="AC156" s="3"/>
      <c r="AD156" s="3"/>
      <c r="AE156" s="3"/>
      <c r="AF156" s="3"/>
      <c r="AG156" s="3"/>
      <c r="AH156" s="3"/>
      <c r="AI156" s="3"/>
      <c r="AJ156" s="3"/>
      <c r="AK156" s="3"/>
      <c r="AL156" s="3"/>
    </row>
    <row r="157" spans="1:38" ht="11.4" x14ac:dyDescent="0.2">
      <c r="A157" s="3"/>
      <c r="B157" s="212"/>
      <c r="C157" s="604"/>
      <c r="D157" s="605"/>
      <c r="E157" s="605"/>
      <c r="F157" s="605"/>
      <c r="G157" s="605"/>
      <c r="H157" s="605"/>
      <c r="I157" s="605"/>
      <c r="J157" s="606"/>
      <c r="K157" s="608"/>
      <c r="L157" s="608"/>
      <c r="M157" s="731" t="str">
        <f t="shared" si="9"/>
        <v>.</v>
      </c>
      <c r="N157" s="214"/>
      <c r="O157" s="3"/>
      <c r="P157" s="3"/>
      <c r="Q157" s="3"/>
      <c r="R157" s="3"/>
      <c r="S157" s="3"/>
      <c r="T157" s="3"/>
      <c r="U157" s="3"/>
      <c r="V157" s="3"/>
      <c r="W157" s="3"/>
      <c r="X157" s="3"/>
      <c r="Y157" s="3"/>
      <c r="Z157" s="3"/>
      <c r="AA157" s="3"/>
      <c r="AB157" s="3"/>
      <c r="AC157" s="3"/>
      <c r="AD157" s="3"/>
      <c r="AE157" s="3"/>
      <c r="AF157" s="3"/>
      <c r="AG157" s="3"/>
      <c r="AH157" s="3"/>
      <c r="AI157" s="3"/>
      <c r="AJ157" s="3"/>
      <c r="AK157" s="3"/>
      <c r="AL157" s="3"/>
    </row>
    <row r="158" spans="1:38" ht="12" x14ac:dyDescent="0.25">
      <c r="A158" s="3"/>
      <c r="B158" s="212"/>
      <c r="C158" s="112"/>
      <c r="D158" s="112"/>
      <c r="E158" s="3"/>
      <c r="F158" s="3"/>
      <c r="G158" s="2"/>
      <c r="H158" s="3"/>
      <c r="I158" s="3"/>
      <c r="J158" s="3"/>
      <c r="K158" s="124"/>
      <c r="L158" s="124" t="s">
        <v>728</v>
      </c>
      <c r="M158" s="450">
        <f>SUM(M150:M157)</f>
        <v>0</v>
      </c>
      <c r="N158" s="214"/>
      <c r="O158" s="3"/>
      <c r="P158" s="3"/>
      <c r="Q158" s="3"/>
      <c r="R158" s="3"/>
      <c r="S158" s="3"/>
      <c r="T158" s="3"/>
      <c r="U158" s="3"/>
      <c r="V158" s="3"/>
      <c r="W158" s="3"/>
      <c r="X158" s="3"/>
      <c r="Y158" s="3"/>
      <c r="Z158" s="3"/>
      <c r="AA158" s="3"/>
      <c r="AB158" s="3"/>
      <c r="AC158" s="3"/>
      <c r="AD158" s="3"/>
      <c r="AE158" s="3"/>
      <c r="AF158" s="3"/>
      <c r="AG158" s="3"/>
      <c r="AH158" s="3"/>
      <c r="AI158" s="3"/>
      <c r="AJ158" s="3"/>
      <c r="AK158" s="3"/>
      <c r="AL158" s="3"/>
    </row>
    <row r="159" spans="1:38" x14ac:dyDescent="0.25">
      <c r="A159" s="3"/>
      <c r="B159" s="212"/>
      <c r="C159" s="112"/>
      <c r="D159" s="112"/>
      <c r="E159" s="3"/>
      <c r="F159" s="3"/>
      <c r="G159" s="2"/>
      <c r="H159" s="3"/>
      <c r="I159" s="3"/>
      <c r="J159" s="3"/>
      <c r="K159" s="3"/>
      <c r="L159" s="123"/>
      <c r="M159" s="124"/>
      <c r="N159" s="244"/>
      <c r="O159" s="3"/>
      <c r="P159" s="3"/>
      <c r="Q159" s="3"/>
      <c r="R159" s="3"/>
      <c r="S159" s="3"/>
      <c r="T159" s="3"/>
      <c r="U159" s="3"/>
      <c r="V159" s="3"/>
      <c r="W159" s="3"/>
      <c r="X159" s="3"/>
      <c r="Y159" s="3"/>
      <c r="Z159" s="3"/>
      <c r="AA159" s="3"/>
      <c r="AB159" s="3"/>
      <c r="AC159" s="3"/>
      <c r="AD159" s="3"/>
      <c r="AE159" s="3"/>
      <c r="AF159" s="3"/>
      <c r="AG159" s="3"/>
      <c r="AH159" s="3"/>
      <c r="AI159" s="3"/>
      <c r="AJ159" s="3"/>
      <c r="AK159" s="3"/>
      <c r="AL159" s="3"/>
    </row>
    <row r="160" spans="1:38" x14ac:dyDescent="0.25">
      <c r="A160" s="3"/>
      <c r="B160" s="212"/>
      <c r="D160" s="3"/>
      <c r="E160" s="3"/>
      <c r="F160" s="3"/>
      <c r="G160" s="2"/>
      <c r="H160" s="3"/>
      <c r="I160" s="3"/>
      <c r="J160" s="3"/>
      <c r="K160" s="3"/>
      <c r="L160" s="123"/>
      <c r="M160" s="124"/>
      <c r="N160" s="244"/>
      <c r="O160" s="3"/>
      <c r="P160" s="3"/>
      <c r="Q160" s="3"/>
      <c r="R160" s="3"/>
      <c r="S160" s="3"/>
      <c r="T160" s="3"/>
      <c r="U160" s="3"/>
      <c r="V160" s="3"/>
      <c r="W160" s="3"/>
      <c r="X160" s="3"/>
      <c r="Y160" s="3"/>
      <c r="Z160" s="3"/>
      <c r="AA160" s="3"/>
      <c r="AB160" s="3"/>
      <c r="AC160" s="3"/>
      <c r="AD160" s="3"/>
      <c r="AE160" s="3"/>
      <c r="AF160" s="3"/>
      <c r="AG160" s="3"/>
      <c r="AH160" s="3"/>
      <c r="AI160" s="3"/>
      <c r="AJ160" s="3"/>
      <c r="AK160" s="3"/>
      <c r="AL160" s="3"/>
    </row>
    <row r="161" spans="1:38" ht="15" customHeight="1" x14ac:dyDescent="0.25">
      <c r="A161" s="3"/>
      <c r="B161" s="212"/>
      <c r="D161" s="3"/>
      <c r="E161" s="3"/>
      <c r="F161" s="3"/>
      <c r="G161" s="111"/>
      <c r="H161" s="3"/>
      <c r="I161" s="2"/>
      <c r="J161" s="3"/>
      <c r="K161" s="112" t="s">
        <v>743</v>
      </c>
      <c r="L161" s="177"/>
      <c r="M161" s="451">
        <f>M88+M144+M158</f>
        <v>75890108.680906355</v>
      </c>
      <c r="N161" s="214"/>
      <c r="O161" s="3"/>
      <c r="P161" s="3"/>
      <c r="Q161" s="3"/>
      <c r="R161" s="3"/>
      <c r="S161" s="3"/>
      <c r="T161" s="3"/>
      <c r="U161" s="3"/>
      <c r="V161" s="3"/>
      <c r="W161" s="3"/>
      <c r="X161" s="3"/>
      <c r="Y161" s="3"/>
      <c r="Z161" s="3"/>
      <c r="AA161" s="3"/>
      <c r="AB161" s="3"/>
      <c r="AC161" s="3"/>
      <c r="AD161" s="3"/>
      <c r="AE161" s="3"/>
      <c r="AF161" s="3"/>
      <c r="AG161" s="3"/>
      <c r="AH161" s="3"/>
      <c r="AI161" s="3"/>
      <c r="AJ161" s="3"/>
      <c r="AK161" s="3"/>
      <c r="AL161" s="3"/>
    </row>
    <row r="162" spans="1:38" x14ac:dyDescent="0.25">
      <c r="A162" s="3"/>
      <c r="B162" s="212"/>
      <c r="C162" s="112"/>
      <c r="D162" s="112"/>
      <c r="E162" s="3"/>
      <c r="F162" s="3"/>
      <c r="G162" s="2"/>
      <c r="H162" s="3"/>
      <c r="I162" s="3"/>
      <c r="J162" s="3"/>
      <c r="K162" s="3"/>
      <c r="L162" s="123"/>
      <c r="M162" s="124"/>
      <c r="N162" s="244"/>
      <c r="O162" s="3"/>
      <c r="P162" s="3"/>
      <c r="Q162" s="3"/>
      <c r="R162" s="3"/>
      <c r="S162" s="3"/>
      <c r="T162" s="3"/>
      <c r="U162" s="3"/>
      <c r="V162" s="3"/>
      <c r="W162" s="3"/>
      <c r="X162" s="3"/>
      <c r="Y162" s="3"/>
      <c r="Z162" s="3"/>
      <c r="AA162" s="3"/>
      <c r="AB162" s="3"/>
      <c r="AC162" s="3"/>
      <c r="AD162" s="3"/>
      <c r="AE162" s="3"/>
      <c r="AF162" s="3"/>
      <c r="AG162" s="3"/>
      <c r="AH162" s="3"/>
      <c r="AI162" s="3"/>
      <c r="AJ162" s="3"/>
      <c r="AK162" s="3"/>
      <c r="AL162" s="3"/>
    </row>
    <row r="163" spans="1:38" x14ac:dyDescent="0.25">
      <c r="A163" s="3"/>
      <c r="B163" s="212"/>
      <c r="C163" s="111" t="s">
        <v>744</v>
      </c>
      <c r="D163" s="111"/>
      <c r="E163" s="3"/>
      <c r="F163" s="3"/>
      <c r="G163" s="2"/>
      <c r="H163" s="3"/>
      <c r="I163" s="3"/>
      <c r="J163" s="3"/>
      <c r="K163" s="3"/>
      <c r="L163" s="123"/>
      <c r="M163" s="124"/>
      <c r="N163" s="244"/>
      <c r="O163" s="3"/>
      <c r="P163" s="3"/>
      <c r="Q163" s="3"/>
      <c r="R163" s="3"/>
      <c r="S163" s="3"/>
      <c r="T163" s="3"/>
      <c r="U163" s="3"/>
      <c r="V163" s="3"/>
      <c r="W163" s="3"/>
      <c r="X163" s="3"/>
      <c r="Y163" s="3"/>
      <c r="Z163" s="3"/>
      <c r="AA163" s="3"/>
      <c r="AB163" s="3"/>
      <c r="AC163" s="3"/>
      <c r="AD163" s="3"/>
      <c r="AE163" s="3"/>
      <c r="AF163" s="3"/>
      <c r="AG163" s="3"/>
      <c r="AH163" s="3"/>
      <c r="AI163" s="3"/>
      <c r="AJ163" s="3"/>
      <c r="AK163" s="3"/>
      <c r="AL163" s="3"/>
    </row>
    <row r="164" spans="1:38" ht="12" thickBot="1" x14ac:dyDescent="0.25">
      <c r="A164" s="3"/>
      <c r="B164" s="222"/>
      <c r="C164" s="245"/>
      <c r="D164" s="245"/>
      <c r="E164" s="245"/>
      <c r="F164" s="245"/>
      <c r="G164" s="245"/>
      <c r="H164" s="245"/>
      <c r="I164" s="245"/>
      <c r="J164" s="245"/>
      <c r="K164" s="245"/>
      <c r="L164" s="423"/>
      <c r="M164" s="423"/>
      <c r="N164" s="230"/>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x14ac:dyDescent="0.25">
      <c r="A165" s="3"/>
      <c r="B165" s="81"/>
      <c r="D165" s="3"/>
      <c r="E165" s="3"/>
      <c r="F165" s="3"/>
      <c r="G165" s="3"/>
      <c r="H165" s="3"/>
      <c r="I165" s="3"/>
      <c r="J165" s="3"/>
      <c r="K165" s="3"/>
      <c r="L165" s="128"/>
      <c r="M165" s="128"/>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x14ac:dyDescent="0.25">
      <c r="A166" s="3"/>
      <c r="B166" s="81"/>
      <c r="D166" s="3"/>
      <c r="E166" s="3"/>
      <c r="F166" s="3"/>
      <c r="G166" s="3"/>
      <c r="H166" s="3"/>
      <c r="I166" s="3"/>
      <c r="J166" s="3"/>
      <c r="K166" s="3"/>
      <c r="L166" s="128"/>
      <c r="M166" s="128"/>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x14ac:dyDescent="0.25">
      <c r="A167" s="3"/>
      <c r="B167" s="81"/>
      <c r="C167" s="81"/>
      <c r="D167" s="3"/>
      <c r="E167" s="3"/>
      <c r="F167" s="3"/>
      <c r="G167" s="3"/>
      <c r="H167" s="3"/>
      <c r="I167" s="3"/>
      <c r="J167" s="3"/>
      <c r="K167" s="3"/>
      <c r="L167" s="99"/>
      <c r="O167" s="3"/>
      <c r="P167" s="3"/>
      <c r="Q167" s="3"/>
      <c r="R167" s="3"/>
      <c r="S167" s="3"/>
      <c r="T167" s="3"/>
      <c r="U167" s="3"/>
      <c r="V167" s="3"/>
      <c r="W167" s="3"/>
      <c r="X167" s="3"/>
      <c r="Y167" s="3"/>
      <c r="Z167" s="3"/>
      <c r="AA167" s="3"/>
      <c r="AB167" s="3"/>
      <c r="AC167" s="3"/>
      <c r="AD167" s="3"/>
      <c r="AE167" s="3"/>
      <c r="AF167" s="3"/>
      <c r="AG167" s="3"/>
      <c r="AH167" s="3"/>
      <c r="AI167" s="3"/>
      <c r="AJ167" s="3"/>
      <c r="AK167" s="3"/>
      <c r="AL167" s="3"/>
    </row>
    <row r="168" spans="1:38" x14ac:dyDescent="0.25">
      <c r="A168" s="3"/>
      <c r="B168" s="81"/>
      <c r="C168" s="81"/>
      <c r="D168" s="3"/>
      <c r="E168" s="3"/>
      <c r="F168" s="3"/>
      <c r="G168" s="3"/>
      <c r="H168" s="3"/>
      <c r="I168" s="3"/>
      <c r="J168" s="3"/>
      <c r="K168" s="3"/>
      <c r="L168" s="99"/>
      <c r="O168" s="3"/>
      <c r="P168" s="3"/>
      <c r="Q168" s="3"/>
      <c r="R168" s="3"/>
      <c r="S168" s="3"/>
      <c r="T168" s="3"/>
      <c r="U168" s="3"/>
      <c r="V168" s="3"/>
      <c r="W168" s="3"/>
      <c r="X168" s="3"/>
      <c r="Y168" s="3"/>
      <c r="Z168" s="3"/>
      <c r="AA168" s="3"/>
      <c r="AB168" s="3"/>
      <c r="AC168" s="3"/>
      <c r="AD168" s="3"/>
      <c r="AE168" s="3"/>
      <c r="AF168" s="3"/>
      <c r="AG168" s="3"/>
      <c r="AH168" s="3"/>
      <c r="AI168" s="3"/>
      <c r="AJ168" s="3"/>
      <c r="AK168" s="3"/>
      <c r="AL168" s="3"/>
    </row>
    <row r="169" spans="1:38" x14ac:dyDescent="0.25">
      <c r="A169" s="3"/>
      <c r="B169" s="81"/>
      <c r="C169" s="81"/>
      <c r="D169" s="3"/>
      <c r="E169" s="3"/>
      <c r="F169" s="3"/>
      <c r="G169" s="3"/>
      <c r="H169" s="3"/>
      <c r="I169" s="3"/>
      <c r="J169" s="3"/>
      <c r="K169" s="3"/>
      <c r="L169" s="99"/>
      <c r="O169" s="3"/>
      <c r="P169" s="3"/>
      <c r="Q169" s="3"/>
      <c r="R169" s="3"/>
      <c r="S169" s="3"/>
      <c r="T169" s="3"/>
      <c r="U169" s="3"/>
      <c r="V169" s="3"/>
      <c r="W169" s="3"/>
      <c r="X169" s="3"/>
      <c r="Y169" s="3"/>
      <c r="Z169" s="3"/>
      <c r="AA169" s="3"/>
      <c r="AB169" s="3"/>
      <c r="AC169" s="3"/>
      <c r="AD169" s="3"/>
      <c r="AE169" s="3"/>
      <c r="AF169" s="3"/>
      <c r="AG169" s="3"/>
      <c r="AH169" s="3"/>
      <c r="AI169" s="3"/>
      <c r="AJ169" s="3"/>
      <c r="AK169" s="3"/>
      <c r="AL169" s="3"/>
    </row>
    <row r="170" spans="1:38" x14ac:dyDescent="0.25">
      <c r="A170" s="3"/>
      <c r="B170" s="81"/>
      <c r="C170" s="81"/>
      <c r="D170" s="3"/>
      <c r="E170" s="3"/>
      <c r="F170" s="3"/>
      <c r="G170" s="3"/>
      <c r="H170" s="3"/>
      <c r="I170" s="3"/>
      <c r="J170" s="3"/>
      <c r="K170" s="3"/>
      <c r="L170" s="99"/>
      <c r="O170" s="3"/>
      <c r="P170" s="3"/>
      <c r="Q170" s="3"/>
      <c r="R170" s="3"/>
      <c r="S170" s="3"/>
      <c r="T170" s="3"/>
      <c r="U170" s="3"/>
      <c r="V170" s="3"/>
      <c r="W170" s="3"/>
      <c r="X170" s="3"/>
      <c r="Y170" s="3"/>
      <c r="Z170" s="3"/>
      <c r="AA170" s="3"/>
      <c r="AB170" s="3"/>
      <c r="AC170" s="3"/>
      <c r="AD170" s="3"/>
      <c r="AE170" s="3"/>
      <c r="AF170" s="3"/>
      <c r="AG170" s="3"/>
      <c r="AH170" s="3"/>
      <c r="AI170" s="3"/>
      <c r="AJ170" s="3"/>
      <c r="AK170" s="3"/>
      <c r="AL170" s="3"/>
    </row>
    <row r="171" spans="1:38" x14ac:dyDescent="0.25">
      <c r="A171" s="3"/>
      <c r="D171" s="3"/>
      <c r="E171" s="3"/>
      <c r="F171" s="3"/>
      <c r="G171" s="3"/>
      <c r="H171" s="3"/>
      <c r="I171" s="3"/>
      <c r="J171" s="3"/>
      <c r="K171" s="3"/>
      <c r="L171" s="99"/>
      <c r="O171" s="3"/>
      <c r="P171" s="3"/>
      <c r="Q171" s="3"/>
      <c r="R171" s="3"/>
      <c r="S171" s="3"/>
      <c r="T171" s="3"/>
      <c r="U171" s="3"/>
      <c r="V171" s="3"/>
      <c r="W171" s="3"/>
      <c r="X171" s="3"/>
      <c r="Y171" s="3"/>
      <c r="Z171" s="3"/>
      <c r="AA171" s="3"/>
      <c r="AB171" s="3"/>
      <c r="AC171" s="3"/>
      <c r="AD171" s="3"/>
      <c r="AE171" s="3"/>
      <c r="AF171" s="3"/>
      <c r="AG171" s="3"/>
      <c r="AH171" s="3"/>
      <c r="AI171" s="3"/>
      <c r="AJ171" s="3"/>
      <c r="AK171" s="3"/>
      <c r="AL171" s="3"/>
    </row>
    <row r="172" spans="1:38" x14ac:dyDescent="0.25">
      <c r="A172" s="3"/>
      <c r="D172" s="3"/>
      <c r="E172" s="3"/>
      <c r="F172" s="3"/>
      <c r="G172" s="3"/>
      <c r="H172" s="3"/>
      <c r="I172" s="3"/>
      <c r="J172" s="3"/>
      <c r="K172" s="3"/>
      <c r="L172" s="99"/>
      <c r="O172" s="3"/>
      <c r="P172" s="3"/>
      <c r="Q172" s="3"/>
      <c r="R172" s="3"/>
      <c r="S172" s="3"/>
      <c r="T172" s="3"/>
      <c r="U172" s="3"/>
      <c r="V172" s="3"/>
      <c r="W172" s="3"/>
      <c r="X172" s="3"/>
      <c r="Y172" s="3"/>
      <c r="Z172" s="3"/>
      <c r="AA172" s="3"/>
      <c r="AB172" s="3"/>
      <c r="AC172" s="3"/>
      <c r="AD172" s="3"/>
      <c r="AE172" s="3"/>
      <c r="AF172" s="3"/>
      <c r="AG172" s="3"/>
      <c r="AH172" s="3"/>
      <c r="AI172" s="3"/>
      <c r="AJ172" s="3"/>
      <c r="AK172" s="3"/>
      <c r="AL172" s="3"/>
    </row>
    <row r="173" spans="1:38" x14ac:dyDescent="0.25">
      <c r="A173" s="3"/>
      <c r="D173" s="3"/>
      <c r="E173" s="3"/>
      <c r="F173" s="3"/>
      <c r="G173" s="3"/>
      <c r="H173" s="3"/>
      <c r="I173" s="3"/>
      <c r="J173" s="3"/>
      <c r="K173" s="3"/>
      <c r="L173" s="99"/>
      <c r="O173" s="3"/>
      <c r="P173" s="3"/>
      <c r="Q173" s="3"/>
      <c r="R173" s="3"/>
      <c r="S173" s="3"/>
      <c r="T173" s="3"/>
      <c r="U173" s="3"/>
      <c r="V173" s="3"/>
      <c r="W173" s="3"/>
      <c r="X173" s="3"/>
      <c r="Y173" s="3"/>
      <c r="Z173" s="3"/>
      <c r="AA173" s="3"/>
      <c r="AB173" s="3"/>
      <c r="AC173" s="3"/>
      <c r="AD173" s="3"/>
      <c r="AE173" s="3"/>
      <c r="AF173" s="3"/>
      <c r="AG173" s="3"/>
      <c r="AH173" s="3"/>
      <c r="AI173" s="3"/>
      <c r="AJ173" s="3"/>
      <c r="AK173" s="3"/>
      <c r="AL173" s="3"/>
    </row>
    <row r="174" spans="1:38" x14ac:dyDescent="0.25">
      <c r="A174" s="3"/>
      <c r="D174" s="3"/>
      <c r="E174" s="3"/>
      <c r="F174" s="3"/>
      <c r="G174" s="3"/>
      <c r="H174" s="3"/>
      <c r="I174" s="3"/>
      <c r="J174" s="3"/>
      <c r="K174" s="3"/>
      <c r="L174" s="99"/>
      <c r="O174" s="3"/>
      <c r="P174" s="3"/>
      <c r="Q174" s="3"/>
      <c r="R174" s="3"/>
      <c r="S174" s="3"/>
      <c r="T174" s="3"/>
      <c r="U174" s="3"/>
      <c r="V174" s="3"/>
      <c r="W174" s="3"/>
      <c r="X174" s="3"/>
      <c r="Y174" s="3"/>
      <c r="Z174" s="3"/>
      <c r="AA174" s="3"/>
      <c r="AB174" s="3"/>
      <c r="AC174" s="3"/>
      <c r="AD174" s="3"/>
      <c r="AE174" s="3"/>
      <c r="AF174" s="3"/>
      <c r="AG174" s="3"/>
      <c r="AH174" s="3"/>
      <c r="AI174" s="3"/>
      <c r="AJ174" s="3"/>
      <c r="AK174" s="3"/>
      <c r="AL174" s="3"/>
    </row>
    <row r="175" spans="1:38" x14ac:dyDescent="0.25">
      <c r="A175" s="3"/>
      <c r="D175" s="3"/>
      <c r="E175" s="3"/>
      <c r="F175" s="3"/>
      <c r="G175" s="3"/>
      <c r="H175" s="3"/>
      <c r="I175" s="3"/>
      <c r="J175" s="3"/>
      <c r="K175" s="3"/>
      <c r="L175" s="99"/>
      <c r="O175" s="3"/>
      <c r="P175" s="3"/>
      <c r="Q175" s="3"/>
      <c r="R175" s="3"/>
      <c r="S175" s="3"/>
      <c r="T175" s="3"/>
      <c r="U175" s="3"/>
      <c r="V175" s="3"/>
      <c r="W175" s="3"/>
      <c r="X175" s="3"/>
      <c r="Y175" s="3"/>
      <c r="Z175" s="3"/>
      <c r="AA175" s="3"/>
      <c r="AB175" s="3"/>
      <c r="AC175" s="3"/>
      <c r="AD175" s="3"/>
      <c r="AE175" s="3"/>
      <c r="AF175" s="3"/>
      <c r="AG175" s="3"/>
      <c r="AH175" s="3"/>
      <c r="AI175" s="3"/>
      <c r="AJ175" s="3"/>
      <c r="AK175" s="3"/>
      <c r="AL175" s="3"/>
    </row>
    <row r="176" spans="1:38" x14ac:dyDescent="0.25">
      <c r="A176" s="3"/>
      <c r="D176" s="3"/>
      <c r="E176" s="3"/>
      <c r="F176" s="3"/>
      <c r="G176" s="3"/>
      <c r="H176" s="3"/>
      <c r="I176" s="3"/>
      <c r="J176" s="3"/>
      <c r="K176" s="3"/>
      <c r="L176" s="99"/>
      <c r="O176" s="3"/>
      <c r="P176" s="3"/>
      <c r="Q176" s="3"/>
      <c r="R176" s="3"/>
      <c r="S176" s="3"/>
      <c r="T176" s="3"/>
      <c r="U176" s="3"/>
      <c r="V176" s="3"/>
      <c r="W176" s="3"/>
      <c r="X176" s="3"/>
      <c r="Y176" s="3"/>
      <c r="Z176" s="3"/>
      <c r="AA176" s="3"/>
      <c r="AB176" s="3"/>
      <c r="AC176" s="3"/>
      <c r="AD176" s="3"/>
      <c r="AE176" s="3"/>
      <c r="AF176" s="3"/>
      <c r="AG176" s="3"/>
      <c r="AH176" s="3"/>
      <c r="AI176" s="3"/>
      <c r="AJ176" s="3"/>
      <c r="AK176" s="3"/>
      <c r="AL176" s="3"/>
    </row>
    <row r="177" spans="1:38" x14ac:dyDescent="0.25">
      <c r="A177" s="3"/>
      <c r="D177" s="3"/>
      <c r="E177" s="3"/>
      <c r="F177" s="3"/>
      <c r="G177" s="3"/>
      <c r="H177" s="3"/>
      <c r="I177" s="3"/>
      <c r="J177" s="3"/>
      <c r="K177" s="3"/>
      <c r="L177" s="99"/>
      <c r="O177" s="3"/>
      <c r="P177" s="3"/>
      <c r="Q177" s="3"/>
      <c r="R177" s="3"/>
      <c r="S177" s="3"/>
      <c r="T177" s="3"/>
      <c r="U177" s="3"/>
      <c r="V177" s="3"/>
      <c r="W177" s="3"/>
      <c r="X177" s="3"/>
      <c r="Y177" s="3"/>
      <c r="Z177" s="3"/>
      <c r="AA177" s="3"/>
      <c r="AB177" s="3"/>
      <c r="AC177" s="3"/>
      <c r="AD177" s="3"/>
      <c r="AE177" s="3"/>
      <c r="AF177" s="3"/>
      <c r="AG177" s="3"/>
      <c r="AH177" s="3"/>
      <c r="AI177" s="3"/>
      <c r="AJ177" s="3"/>
      <c r="AK177" s="3"/>
      <c r="AL177" s="3"/>
    </row>
    <row r="178" spans="1:38" x14ac:dyDescent="0.25">
      <c r="A178" s="3"/>
      <c r="D178" s="3"/>
      <c r="E178" s="3"/>
      <c r="F178" s="3"/>
      <c r="G178" s="3"/>
      <c r="H178" s="3"/>
      <c r="I178" s="3"/>
      <c r="J178" s="3"/>
      <c r="K178" s="3"/>
      <c r="L178" s="99"/>
      <c r="O178" s="3"/>
      <c r="P178" s="3"/>
      <c r="Q178" s="3"/>
      <c r="R178" s="3"/>
      <c r="S178" s="3"/>
      <c r="T178" s="3"/>
      <c r="U178" s="3"/>
      <c r="V178" s="3"/>
      <c r="W178" s="3"/>
      <c r="X178" s="3"/>
      <c r="Y178" s="3"/>
      <c r="Z178" s="3"/>
      <c r="AA178" s="3"/>
      <c r="AB178" s="3"/>
      <c r="AC178" s="3"/>
      <c r="AD178" s="3"/>
      <c r="AE178" s="3"/>
      <c r="AF178" s="3"/>
      <c r="AG178" s="3"/>
      <c r="AH178" s="3"/>
      <c r="AI178" s="3"/>
      <c r="AJ178" s="3"/>
      <c r="AK178" s="3"/>
      <c r="AL178" s="3"/>
    </row>
    <row r="179" spans="1:38" x14ac:dyDescent="0.25">
      <c r="A179" s="3"/>
      <c r="D179" s="3"/>
      <c r="E179" s="3"/>
      <c r="F179" s="3"/>
      <c r="G179" s="3"/>
      <c r="H179" s="3"/>
      <c r="I179" s="3"/>
      <c r="J179" s="3"/>
      <c r="K179" s="3"/>
      <c r="L179" s="99"/>
      <c r="O179" s="3"/>
      <c r="P179" s="3"/>
      <c r="Q179" s="3"/>
      <c r="R179" s="3"/>
      <c r="S179" s="3"/>
      <c r="T179" s="3"/>
      <c r="U179" s="3"/>
      <c r="V179" s="3"/>
      <c r="W179" s="3"/>
      <c r="X179" s="3"/>
      <c r="Y179" s="3"/>
      <c r="Z179" s="3"/>
      <c r="AA179" s="3"/>
      <c r="AB179" s="3"/>
      <c r="AC179" s="3"/>
      <c r="AD179" s="3"/>
      <c r="AE179" s="3"/>
      <c r="AF179" s="3"/>
      <c r="AG179" s="3"/>
      <c r="AH179" s="3"/>
      <c r="AI179" s="3"/>
      <c r="AJ179" s="3"/>
      <c r="AK179" s="3"/>
      <c r="AL179" s="3"/>
    </row>
    <row r="180" spans="1:38" x14ac:dyDescent="0.25">
      <c r="A180" s="3"/>
      <c r="D180" s="3"/>
      <c r="E180" s="3"/>
      <c r="F180" s="3"/>
      <c r="G180" s="3"/>
      <c r="H180" s="3"/>
      <c r="I180" s="3"/>
      <c r="J180" s="3"/>
      <c r="K180" s="3"/>
      <c r="L180" s="99"/>
      <c r="O180" s="3"/>
      <c r="P180" s="3"/>
      <c r="Q180" s="3"/>
      <c r="R180" s="3"/>
      <c r="S180" s="3"/>
      <c r="T180" s="3"/>
      <c r="U180" s="3"/>
      <c r="V180" s="3"/>
      <c r="W180" s="3"/>
      <c r="X180" s="3"/>
      <c r="Y180" s="3"/>
      <c r="Z180" s="3"/>
      <c r="AA180" s="3"/>
      <c r="AB180" s="3"/>
      <c r="AC180" s="3"/>
      <c r="AD180" s="3"/>
      <c r="AE180" s="3"/>
      <c r="AF180" s="3"/>
      <c r="AG180" s="3"/>
      <c r="AH180" s="3"/>
      <c r="AI180" s="3"/>
      <c r="AJ180" s="3"/>
      <c r="AK180" s="3"/>
      <c r="AL180" s="3"/>
    </row>
    <row r="181" spans="1:38" x14ac:dyDescent="0.25">
      <c r="A181" s="3"/>
      <c r="D181" s="3"/>
      <c r="E181" s="3"/>
      <c r="F181" s="3"/>
      <c r="G181" s="3"/>
      <c r="H181" s="3"/>
      <c r="I181" s="3"/>
      <c r="J181" s="3"/>
      <c r="K181" s="3"/>
      <c r="L181" s="99"/>
      <c r="O181" s="3"/>
      <c r="P181" s="3"/>
      <c r="Q181" s="3"/>
      <c r="R181" s="3"/>
      <c r="S181" s="3"/>
      <c r="T181" s="3"/>
      <c r="U181" s="3"/>
      <c r="V181" s="3"/>
      <c r="W181" s="3"/>
      <c r="X181" s="3"/>
      <c r="Y181" s="3"/>
      <c r="Z181" s="3"/>
      <c r="AA181" s="3"/>
      <c r="AB181" s="3"/>
      <c r="AC181" s="3"/>
      <c r="AD181" s="3"/>
      <c r="AE181" s="3"/>
      <c r="AF181" s="3"/>
      <c r="AG181" s="3"/>
      <c r="AH181" s="3"/>
      <c r="AI181" s="3"/>
      <c r="AJ181" s="3"/>
      <c r="AK181" s="3"/>
      <c r="AL181" s="3"/>
    </row>
    <row r="182" spans="1:38" x14ac:dyDescent="0.25">
      <c r="A182" s="3"/>
      <c r="D182" s="3"/>
      <c r="E182" s="3"/>
      <c r="F182" s="3"/>
      <c r="G182" s="3"/>
      <c r="H182" s="3"/>
      <c r="I182" s="3"/>
      <c r="J182" s="3"/>
      <c r="K182" s="3"/>
      <c r="L182" s="99"/>
      <c r="O182" s="3"/>
      <c r="P182" s="3"/>
      <c r="Q182" s="3"/>
      <c r="R182" s="3"/>
      <c r="S182" s="3"/>
      <c r="T182" s="3"/>
      <c r="U182" s="3"/>
      <c r="V182" s="3"/>
      <c r="W182" s="3"/>
      <c r="X182" s="3"/>
      <c r="Y182" s="3"/>
      <c r="Z182" s="3"/>
      <c r="AA182" s="3"/>
      <c r="AB182" s="3"/>
      <c r="AC182" s="3"/>
      <c r="AD182" s="3"/>
      <c r="AE182" s="3"/>
      <c r="AF182" s="3"/>
      <c r="AG182" s="3"/>
      <c r="AH182" s="3"/>
      <c r="AI182" s="3"/>
      <c r="AJ182" s="3"/>
      <c r="AK182" s="3"/>
      <c r="AL182" s="3"/>
    </row>
    <row r="183" spans="1:38" x14ac:dyDescent="0.25">
      <c r="A183" s="3"/>
      <c r="D183" s="3"/>
      <c r="E183" s="3"/>
      <c r="F183" s="3"/>
      <c r="G183" s="3"/>
      <c r="H183" s="3"/>
      <c r="I183" s="3"/>
      <c r="J183" s="3"/>
      <c r="K183" s="3"/>
      <c r="L183" s="99"/>
      <c r="O183" s="3"/>
      <c r="P183" s="3"/>
      <c r="Q183" s="3"/>
      <c r="R183" s="3"/>
      <c r="S183" s="3"/>
      <c r="T183" s="3"/>
      <c r="U183" s="3"/>
      <c r="V183" s="3"/>
      <c r="W183" s="3"/>
      <c r="X183" s="3"/>
      <c r="Y183" s="3"/>
      <c r="Z183" s="3"/>
      <c r="AA183" s="3"/>
      <c r="AB183" s="3"/>
      <c r="AC183" s="3"/>
      <c r="AD183" s="3"/>
      <c r="AE183" s="3"/>
      <c r="AF183" s="3"/>
      <c r="AG183" s="3"/>
      <c r="AH183" s="3"/>
      <c r="AI183" s="3"/>
      <c r="AJ183" s="3"/>
      <c r="AK183" s="3"/>
      <c r="AL183" s="3"/>
    </row>
    <row r="184" spans="1:38" x14ac:dyDescent="0.25">
      <c r="A184" s="3"/>
      <c r="D184" s="3"/>
      <c r="E184" s="3"/>
      <c r="F184" s="3"/>
      <c r="G184" s="3"/>
      <c r="H184" s="3"/>
      <c r="I184" s="3"/>
      <c r="J184" s="3"/>
      <c r="K184" s="3"/>
      <c r="L184" s="99"/>
      <c r="O184" s="3"/>
      <c r="P184" s="3"/>
      <c r="Q184" s="3"/>
      <c r="R184" s="3"/>
      <c r="S184" s="3"/>
      <c r="T184" s="3"/>
      <c r="U184" s="3"/>
      <c r="V184" s="3"/>
      <c r="W184" s="3"/>
      <c r="X184" s="3"/>
      <c r="Y184" s="3"/>
      <c r="Z184" s="3"/>
      <c r="AA184" s="3"/>
      <c r="AB184" s="3"/>
      <c r="AC184" s="3"/>
      <c r="AD184" s="3"/>
      <c r="AE184" s="3"/>
      <c r="AF184" s="3"/>
      <c r="AG184" s="3"/>
      <c r="AH184" s="3"/>
      <c r="AI184" s="3"/>
      <c r="AJ184" s="3"/>
      <c r="AK184" s="3"/>
      <c r="AL184" s="3"/>
    </row>
    <row r="185" spans="1:38" x14ac:dyDescent="0.25">
      <c r="A185" s="3"/>
      <c r="D185" s="3"/>
      <c r="E185" s="3"/>
      <c r="F185" s="3"/>
      <c r="G185" s="3"/>
      <c r="H185" s="3"/>
      <c r="I185" s="3"/>
      <c r="J185" s="3"/>
      <c r="K185" s="3"/>
      <c r="L185" s="99"/>
      <c r="O185" s="3"/>
      <c r="P185" s="3"/>
      <c r="Q185" s="3"/>
      <c r="R185" s="3"/>
      <c r="S185" s="3"/>
      <c r="T185" s="3"/>
      <c r="U185" s="3"/>
      <c r="V185" s="3"/>
      <c r="W185" s="3"/>
      <c r="X185" s="3"/>
      <c r="Y185" s="3"/>
      <c r="Z185" s="3"/>
      <c r="AA185" s="3"/>
      <c r="AB185" s="3"/>
      <c r="AC185" s="3"/>
      <c r="AD185" s="3"/>
      <c r="AE185" s="3"/>
      <c r="AF185" s="3"/>
      <c r="AG185" s="3"/>
      <c r="AH185" s="3"/>
      <c r="AI185" s="3"/>
      <c r="AJ185" s="3"/>
      <c r="AK185" s="3"/>
      <c r="AL185" s="3"/>
    </row>
    <row r="186" spans="1:38" x14ac:dyDescent="0.25">
      <c r="A186" s="3"/>
      <c r="D186" s="3"/>
      <c r="E186" s="3"/>
      <c r="F186" s="3"/>
      <c r="G186" s="3"/>
      <c r="H186" s="3"/>
      <c r="I186" s="3"/>
      <c r="J186" s="3"/>
      <c r="K186" s="3"/>
      <c r="L186" s="99"/>
      <c r="O186" s="3"/>
      <c r="P186" s="3"/>
      <c r="Q186" s="3"/>
      <c r="R186" s="3"/>
      <c r="S186" s="3"/>
      <c r="T186" s="3"/>
      <c r="U186" s="3"/>
      <c r="V186" s="3"/>
      <c r="W186" s="3"/>
      <c r="X186" s="3"/>
      <c r="Y186" s="3"/>
      <c r="Z186" s="3"/>
      <c r="AA186" s="3"/>
      <c r="AB186" s="3"/>
      <c r="AC186" s="3"/>
      <c r="AD186" s="3"/>
      <c r="AE186" s="3"/>
      <c r="AF186" s="3"/>
      <c r="AG186" s="3"/>
      <c r="AH186" s="3"/>
      <c r="AI186" s="3"/>
      <c r="AJ186" s="3"/>
      <c r="AK186" s="3"/>
      <c r="AL186" s="3"/>
    </row>
    <row r="187" spans="1:38" x14ac:dyDescent="0.25">
      <c r="A187" s="3"/>
      <c r="D187" s="3"/>
      <c r="E187" s="3"/>
      <c r="F187" s="3"/>
      <c r="G187" s="3"/>
      <c r="H187" s="3"/>
      <c r="I187" s="3"/>
      <c r="J187" s="3"/>
      <c r="K187" s="3"/>
      <c r="L187" s="99"/>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spans="1:38" x14ac:dyDescent="0.25">
      <c r="A188" s="3"/>
      <c r="D188" s="3"/>
      <c r="E188" s="3"/>
      <c r="F188" s="3"/>
      <c r="G188" s="3"/>
      <c r="H188" s="3"/>
      <c r="I188" s="3"/>
      <c r="J188" s="3"/>
      <c r="K188" s="3"/>
      <c r="L188" s="99"/>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spans="1:38" x14ac:dyDescent="0.25">
      <c r="A189" s="3"/>
      <c r="D189" s="3"/>
      <c r="E189" s="3"/>
      <c r="F189" s="3"/>
      <c r="G189" s="3"/>
      <c r="H189" s="3"/>
      <c r="I189" s="3"/>
      <c r="J189" s="3"/>
      <c r="K189" s="3"/>
      <c r="L189" s="99"/>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spans="1:38" x14ac:dyDescent="0.25">
      <c r="A190" s="3"/>
      <c r="D190" s="3"/>
      <c r="E190" s="3"/>
      <c r="F190" s="3"/>
      <c r="G190" s="3"/>
      <c r="H190" s="3"/>
      <c r="I190" s="3"/>
      <c r="J190" s="3"/>
      <c r="K190" s="3"/>
      <c r="L190" s="99"/>
      <c r="O190" s="3"/>
      <c r="P190" s="3"/>
      <c r="Q190" s="3"/>
      <c r="R190" s="3"/>
      <c r="S190" s="3"/>
      <c r="T190" s="3"/>
      <c r="U190" s="3"/>
      <c r="V190" s="3"/>
      <c r="W190" s="3"/>
      <c r="X190" s="3"/>
      <c r="Y190" s="3"/>
      <c r="Z190" s="3"/>
      <c r="AA190" s="3"/>
      <c r="AB190" s="3"/>
      <c r="AC190" s="3"/>
      <c r="AD190" s="3"/>
      <c r="AE190" s="3"/>
      <c r="AF190" s="3"/>
      <c r="AG190" s="3"/>
      <c r="AH190" s="3"/>
      <c r="AI190" s="3"/>
      <c r="AJ190" s="3"/>
      <c r="AK190" s="3"/>
      <c r="AL190" s="3"/>
    </row>
    <row r="191" spans="1:38" x14ac:dyDescent="0.25">
      <c r="A191" s="3"/>
      <c r="D191" s="3"/>
      <c r="E191" s="3"/>
      <c r="F191" s="3"/>
      <c r="G191" s="3"/>
      <c r="H191" s="3"/>
      <c r="I191" s="3"/>
      <c r="J191" s="3"/>
      <c r="K191" s="3"/>
      <c r="L191" s="99"/>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spans="1:38" x14ac:dyDescent="0.25">
      <c r="A192" s="3"/>
      <c r="D192" s="3"/>
      <c r="E192" s="3"/>
      <c r="F192" s="3"/>
      <c r="G192" s="3"/>
      <c r="H192" s="3"/>
      <c r="I192" s="3"/>
      <c r="J192" s="3"/>
      <c r="K192" s="3"/>
      <c r="L192" s="99"/>
      <c r="O192" s="3"/>
      <c r="P192" s="3"/>
      <c r="Q192" s="3"/>
      <c r="R192" s="3"/>
      <c r="S192" s="3"/>
      <c r="T192" s="3"/>
      <c r="U192" s="3"/>
      <c r="V192" s="3"/>
      <c r="W192" s="3"/>
      <c r="X192" s="3"/>
      <c r="Y192" s="3"/>
      <c r="Z192" s="3"/>
      <c r="AA192" s="3"/>
      <c r="AB192" s="3"/>
      <c r="AC192" s="3"/>
      <c r="AD192" s="3"/>
      <c r="AE192" s="3"/>
      <c r="AF192" s="3"/>
      <c r="AG192" s="3"/>
      <c r="AH192" s="3"/>
      <c r="AI192" s="3"/>
      <c r="AJ192" s="3"/>
      <c r="AK192" s="3"/>
      <c r="AL192" s="3"/>
    </row>
    <row r="193" spans="1:38" x14ac:dyDescent="0.25">
      <c r="A193" s="3"/>
      <c r="D193" s="3"/>
      <c r="E193" s="3"/>
      <c r="F193" s="3"/>
      <c r="G193" s="3"/>
      <c r="H193" s="3"/>
      <c r="I193" s="3"/>
      <c r="J193" s="3"/>
      <c r="K193" s="3"/>
      <c r="L193" s="99"/>
      <c r="O193" s="3"/>
      <c r="P193" s="3"/>
      <c r="Q193" s="3"/>
      <c r="R193" s="3"/>
      <c r="S193" s="3"/>
      <c r="T193" s="3"/>
      <c r="U193" s="3"/>
      <c r="V193" s="3"/>
      <c r="W193" s="3"/>
      <c r="X193" s="3"/>
      <c r="Y193" s="3"/>
      <c r="Z193" s="3"/>
      <c r="AA193" s="3"/>
      <c r="AB193" s="3"/>
      <c r="AC193" s="3"/>
      <c r="AD193" s="3"/>
      <c r="AE193" s="3"/>
      <c r="AF193" s="3"/>
      <c r="AG193" s="3"/>
      <c r="AH193" s="3"/>
      <c r="AI193" s="3"/>
      <c r="AJ193" s="3"/>
      <c r="AK193" s="3"/>
      <c r="AL193" s="3"/>
    </row>
    <row r="194" spans="1:38" x14ac:dyDescent="0.25">
      <c r="A194" s="3"/>
      <c r="D194" s="3"/>
      <c r="E194" s="3"/>
      <c r="F194" s="3"/>
      <c r="G194" s="3"/>
      <c r="H194" s="3"/>
      <c r="I194" s="3"/>
      <c r="J194" s="3"/>
      <c r="K194" s="3"/>
      <c r="L194" s="99"/>
      <c r="O194" s="3"/>
      <c r="P194" s="3"/>
      <c r="Q194" s="3"/>
      <c r="R194" s="3"/>
      <c r="S194" s="3"/>
      <c r="T194" s="3"/>
      <c r="U194" s="3"/>
      <c r="V194" s="3"/>
      <c r="W194" s="3"/>
      <c r="X194" s="3"/>
      <c r="Y194" s="3"/>
      <c r="Z194" s="3"/>
      <c r="AA194" s="3"/>
      <c r="AB194" s="3"/>
      <c r="AC194" s="3"/>
      <c r="AD194" s="3"/>
      <c r="AE194" s="3"/>
      <c r="AF194" s="3"/>
      <c r="AG194" s="3"/>
      <c r="AH194" s="3"/>
      <c r="AI194" s="3"/>
      <c r="AJ194" s="3"/>
      <c r="AK194" s="3"/>
      <c r="AL194" s="3"/>
    </row>
    <row r="195" spans="1:38" x14ac:dyDescent="0.25">
      <c r="A195" s="3"/>
      <c r="D195" s="3"/>
      <c r="E195" s="3"/>
      <c r="F195" s="3"/>
      <c r="G195" s="3"/>
      <c r="H195" s="3"/>
      <c r="I195" s="3"/>
      <c r="J195" s="3"/>
      <c r="K195" s="3"/>
      <c r="L195" s="99"/>
      <c r="O195" s="3"/>
      <c r="P195" s="3"/>
      <c r="Q195" s="3"/>
      <c r="R195" s="3"/>
      <c r="S195" s="3"/>
      <c r="T195" s="3"/>
      <c r="U195" s="3"/>
      <c r="V195" s="3"/>
      <c r="W195" s="3"/>
      <c r="X195" s="3"/>
      <c r="Y195" s="3"/>
      <c r="Z195" s="3"/>
      <c r="AA195" s="3"/>
      <c r="AB195" s="3"/>
      <c r="AC195" s="3"/>
      <c r="AD195" s="3"/>
      <c r="AE195" s="3"/>
      <c r="AF195" s="3"/>
      <c r="AG195" s="3"/>
      <c r="AH195" s="3"/>
      <c r="AI195" s="3"/>
      <c r="AJ195" s="3"/>
      <c r="AK195" s="3"/>
      <c r="AL195" s="3"/>
    </row>
    <row r="196" spans="1:38" x14ac:dyDescent="0.25">
      <c r="A196" s="3"/>
      <c r="D196" s="3"/>
      <c r="E196" s="3"/>
      <c r="F196" s="3"/>
      <c r="G196" s="3"/>
      <c r="H196" s="3"/>
      <c r="I196" s="3"/>
      <c r="J196" s="3"/>
      <c r="K196" s="3"/>
      <c r="L196" s="99"/>
      <c r="O196" s="3"/>
      <c r="P196" s="3"/>
      <c r="Q196" s="3"/>
      <c r="R196" s="3"/>
      <c r="S196" s="3"/>
      <c r="T196" s="3"/>
      <c r="U196" s="3"/>
      <c r="V196" s="3"/>
      <c r="W196" s="3"/>
      <c r="X196" s="3"/>
      <c r="Y196" s="3"/>
      <c r="Z196" s="3"/>
      <c r="AA196" s="3"/>
      <c r="AB196" s="3"/>
      <c r="AC196" s="3"/>
      <c r="AD196" s="3"/>
      <c r="AE196" s="3"/>
      <c r="AF196" s="3"/>
      <c r="AG196" s="3"/>
      <c r="AH196" s="3"/>
      <c r="AI196" s="3"/>
      <c r="AJ196" s="3"/>
      <c r="AK196" s="3"/>
      <c r="AL196" s="3"/>
    </row>
    <row r="197" spans="1:38" x14ac:dyDescent="0.25">
      <c r="A197" s="3"/>
      <c r="D197" s="3"/>
      <c r="E197" s="3"/>
      <c r="F197" s="3"/>
      <c r="G197" s="3"/>
      <c r="H197" s="3"/>
      <c r="I197" s="3"/>
      <c r="J197" s="3"/>
      <c r="K197" s="3"/>
      <c r="L197" s="99"/>
      <c r="O197" s="3"/>
      <c r="P197" s="3"/>
      <c r="Q197" s="3"/>
      <c r="R197" s="3"/>
      <c r="S197" s="3"/>
      <c r="T197" s="3"/>
      <c r="U197" s="3"/>
      <c r="V197" s="3"/>
      <c r="W197" s="3"/>
      <c r="X197" s="3"/>
      <c r="Y197" s="3"/>
      <c r="Z197" s="3"/>
      <c r="AA197" s="3"/>
      <c r="AB197" s="3"/>
      <c r="AC197" s="3"/>
      <c r="AD197" s="3"/>
      <c r="AE197" s="3"/>
      <c r="AF197" s="3"/>
      <c r="AG197" s="3"/>
      <c r="AH197" s="3"/>
      <c r="AI197" s="3"/>
      <c r="AJ197" s="3"/>
      <c r="AK197" s="3"/>
      <c r="AL197" s="3"/>
    </row>
    <row r="198" spans="1:38" x14ac:dyDescent="0.25">
      <c r="A198" s="3"/>
      <c r="D198" s="3"/>
      <c r="E198" s="3"/>
      <c r="F198" s="3"/>
      <c r="G198" s="3"/>
      <c r="H198" s="3"/>
      <c r="I198" s="3"/>
      <c r="J198" s="3"/>
      <c r="K198" s="3"/>
      <c r="L198" s="99"/>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spans="1:38" x14ac:dyDescent="0.25">
      <c r="A199" s="3"/>
      <c r="D199" s="3"/>
      <c r="E199" s="3"/>
      <c r="F199" s="3"/>
      <c r="G199" s="3"/>
      <c r="H199" s="3"/>
      <c r="I199" s="3"/>
      <c r="J199" s="3"/>
      <c r="K199" s="3"/>
      <c r="L199" s="99"/>
      <c r="O199" s="3"/>
      <c r="P199" s="3"/>
      <c r="Q199" s="3"/>
      <c r="R199" s="3"/>
      <c r="S199" s="3"/>
      <c r="T199" s="3"/>
      <c r="U199" s="3"/>
      <c r="V199" s="3"/>
      <c r="W199" s="3"/>
      <c r="X199" s="3"/>
      <c r="Y199" s="3"/>
      <c r="Z199" s="3"/>
      <c r="AA199" s="3"/>
      <c r="AB199" s="3"/>
      <c r="AC199" s="3"/>
      <c r="AD199" s="3"/>
      <c r="AE199" s="3"/>
      <c r="AF199" s="3"/>
      <c r="AG199" s="3"/>
      <c r="AH199" s="3"/>
      <c r="AI199" s="3"/>
      <c r="AJ199" s="3"/>
      <c r="AK199" s="3"/>
      <c r="AL199" s="3"/>
    </row>
    <row r="200" spans="1:38" x14ac:dyDescent="0.25">
      <c r="A200" s="3"/>
      <c r="D200" s="3"/>
      <c r="E200" s="3"/>
      <c r="F200" s="3"/>
      <c r="G200" s="3"/>
      <c r="H200" s="3"/>
      <c r="I200" s="3"/>
      <c r="J200" s="3"/>
      <c r="K200" s="3"/>
      <c r="L200" s="99"/>
      <c r="O200" s="3"/>
      <c r="P200" s="3"/>
      <c r="Q200" s="3"/>
      <c r="R200" s="3"/>
      <c r="S200" s="3"/>
      <c r="T200" s="3"/>
      <c r="U200" s="3"/>
      <c r="V200" s="3"/>
      <c r="W200" s="3"/>
      <c r="X200" s="3"/>
      <c r="Y200" s="3"/>
      <c r="Z200" s="3"/>
      <c r="AA200" s="3"/>
      <c r="AB200" s="3"/>
      <c r="AC200" s="3"/>
      <c r="AD200" s="3"/>
      <c r="AE200" s="3"/>
      <c r="AF200" s="3"/>
      <c r="AG200" s="3"/>
      <c r="AH200" s="3"/>
      <c r="AI200" s="3"/>
      <c r="AJ200" s="3"/>
      <c r="AK200" s="3"/>
      <c r="AL200" s="3"/>
    </row>
    <row r="201" spans="1:38" x14ac:dyDescent="0.25">
      <c r="A201" s="3"/>
      <c r="D201" s="3"/>
      <c r="E201" s="3"/>
      <c r="F201" s="3"/>
      <c r="G201" s="3"/>
      <c r="H201" s="3"/>
      <c r="I201" s="3"/>
      <c r="J201" s="3"/>
      <c r="K201" s="3"/>
      <c r="L201" s="99"/>
      <c r="O201" s="3"/>
      <c r="P201" s="3"/>
      <c r="Q201" s="3"/>
      <c r="R201" s="3"/>
      <c r="S201" s="3"/>
      <c r="T201" s="3"/>
      <c r="U201" s="3"/>
      <c r="V201" s="3"/>
      <c r="W201" s="3"/>
      <c r="X201" s="3"/>
      <c r="Y201" s="3"/>
      <c r="Z201" s="3"/>
      <c r="AA201" s="3"/>
      <c r="AB201" s="3"/>
      <c r="AC201" s="3"/>
      <c r="AD201" s="3"/>
      <c r="AE201" s="3"/>
      <c r="AF201" s="3"/>
      <c r="AG201" s="3"/>
      <c r="AH201" s="3"/>
      <c r="AI201" s="3"/>
      <c r="AJ201" s="3"/>
      <c r="AK201" s="3"/>
      <c r="AL201" s="3"/>
    </row>
    <row r="202" spans="1:38" x14ac:dyDescent="0.25">
      <c r="A202" s="3"/>
      <c r="D202" s="3"/>
      <c r="E202" s="3"/>
      <c r="F202" s="3"/>
      <c r="G202" s="3"/>
      <c r="H202" s="3"/>
      <c r="I202" s="3"/>
      <c r="J202" s="3"/>
      <c r="K202" s="3"/>
      <c r="L202" s="99"/>
      <c r="O202" s="3"/>
      <c r="P202" s="3"/>
      <c r="Q202" s="3"/>
      <c r="R202" s="3"/>
      <c r="S202" s="3"/>
      <c r="T202" s="3"/>
      <c r="U202" s="3"/>
      <c r="V202" s="3"/>
      <c r="W202" s="3"/>
      <c r="X202" s="3"/>
      <c r="Y202" s="3"/>
      <c r="Z202" s="3"/>
      <c r="AA202" s="3"/>
      <c r="AB202" s="3"/>
      <c r="AC202" s="3"/>
      <c r="AD202" s="3"/>
      <c r="AE202" s="3"/>
      <c r="AF202" s="3"/>
      <c r="AG202" s="3"/>
      <c r="AH202" s="3"/>
      <c r="AI202" s="3"/>
      <c r="AJ202" s="3"/>
      <c r="AK202" s="3"/>
      <c r="AL202" s="3"/>
    </row>
    <row r="203" spans="1:38" x14ac:dyDescent="0.25">
      <c r="A203" s="3"/>
      <c r="D203" s="3"/>
      <c r="E203" s="3"/>
      <c r="F203" s="3"/>
      <c r="G203" s="3"/>
      <c r="H203" s="3"/>
      <c r="I203" s="3"/>
      <c r="J203" s="3"/>
      <c r="K203" s="3"/>
      <c r="L203" s="99"/>
      <c r="O203" s="3"/>
      <c r="P203" s="3"/>
      <c r="Q203" s="3"/>
      <c r="R203" s="3"/>
      <c r="S203" s="3"/>
      <c r="T203" s="3"/>
      <c r="U203" s="3"/>
      <c r="V203" s="3"/>
      <c r="W203" s="3"/>
      <c r="X203" s="3"/>
      <c r="Y203" s="3"/>
      <c r="Z203" s="3"/>
      <c r="AA203" s="3"/>
      <c r="AB203" s="3"/>
      <c r="AC203" s="3"/>
      <c r="AD203" s="3"/>
      <c r="AE203" s="3"/>
      <c r="AF203" s="3"/>
      <c r="AG203" s="3"/>
      <c r="AH203" s="3"/>
      <c r="AI203" s="3"/>
      <c r="AJ203" s="3"/>
      <c r="AK203" s="3"/>
      <c r="AL203" s="3"/>
    </row>
    <row r="204" spans="1:38" x14ac:dyDescent="0.25">
      <c r="A204" s="3"/>
      <c r="D204" s="3"/>
      <c r="E204" s="3"/>
      <c r="F204" s="3"/>
      <c r="G204" s="3"/>
      <c r="H204" s="3"/>
      <c r="I204" s="3"/>
      <c r="J204" s="3"/>
      <c r="K204" s="3"/>
      <c r="L204" s="99"/>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spans="1:38" x14ac:dyDescent="0.25">
      <c r="A205" s="3"/>
      <c r="D205" s="3"/>
      <c r="E205" s="3"/>
      <c r="F205" s="3"/>
      <c r="G205" s="3"/>
      <c r="H205" s="3"/>
      <c r="I205" s="3"/>
      <c r="J205" s="3"/>
      <c r="K205" s="3"/>
      <c r="L205" s="99"/>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spans="1:38" x14ac:dyDescent="0.25">
      <c r="A206" s="3"/>
      <c r="D206" s="3"/>
      <c r="E206" s="3"/>
      <c r="F206" s="3"/>
      <c r="G206" s="3"/>
      <c r="H206" s="3"/>
      <c r="I206" s="3"/>
      <c r="J206" s="3"/>
      <c r="K206" s="3"/>
      <c r="L206" s="99"/>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spans="1:38" x14ac:dyDescent="0.25">
      <c r="A207" s="3"/>
      <c r="D207" s="3"/>
      <c r="E207" s="3"/>
      <c r="F207" s="3"/>
      <c r="G207" s="3"/>
      <c r="H207" s="3"/>
      <c r="I207" s="3"/>
      <c r="J207" s="3"/>
      <c r="K207" s="3"/>
      <c r="L207" s="99"/>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spans="1:38" x14ac:dyDescent="0.25">
      <c r="A208" s="3"/>
      <c r="D208" s="3"/>
      <c r="E208" s="3"/>
      <c r="F208" s="3"/>
      <c r="G208" s="3"/>
      <c r="H208" s="3"/>
      <c r="I208" s="3"/>
      <c r="J208" s="3"/>
      <c r="K208" s="3"/>
      <c r="L208" s="99"/>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spans="1:38" x14ac:dyDescent="0.25">
      <c r="A209" s="3"/>
      <c r="D209" s="3"/>
      <c r="E209" s="3"/>
      <c r="F209" s="3"/>
      <c r="G209" s="3"/>
      <c r="H209" s="3"/>
      <c r="I209" s="3"/>
      <c r="J209" s="3"/>
      <c r="K209" s="3"/>
      <c r="L209" s="99"/>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spans="1:38" x14ac:dyDescent="0.25">
      <c r="A210" s="3"/>
      <c r="D210" s="3"/>
      <c r="E210" s="3"/>
      <c r="F210" s="3"/>
      <c r="G210" s="3"/>
      <c r="H210" s="3"/>
      <c r="I210" s="3"/>
      <c r="J210" s="3"/>
      <c r="K210" s="3"/>
      <c r="L210" s="99"/>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spans="1:38" x14ac:dyDescent="0.25">
      <c r="A211" s="3"/>
      <c r="D211" s="3"/>
      <c r="E211" s="3"/>
      <c r="F211" s="3"/>
      <c r="G211" s="3"/>
      <c r="H211" s="3"/>
      <c r="I211" s="3"/>
      <c r="J211" s="3"/>
      <c r="K211" s="3"/>
      <c r="L211" s="99"/>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spans="1:38" x14ac:dyDescent="0.25">
      <c r="A212" s="3"/>
      <c r="D212" s="3"/>
      <c r="E212" s="3"/>
      <c r="F212" s="3"/>
      <c r="G212" s="3"/>
      <c r="H212" s="3"/>
      <c r="I212" s="3"/>
      <c r="J212" s="3"/>
      <c r="K212" s="3"/>
      <c r="L212" s="99"/>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spans="1:38" x14ac:dyDescent="0.25">
      <c r="A213" s="3"/>
      <c r="D213" s="3"/>
      <c r="E213" s="3"/>
      <c r="F213" s="3"/>
      <c r="G213" s="3"/>
      <c r="H213" s="3"/>
      <c r="I213" s="3"/>
      <c r="J213" s="3"/>
      <c r="K213" s="3"/>
      <c r="L213" s="99"/>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spans="1:38" x14ac:dyDescent="0.25">
      <c r="A214" s="3"/>
      <c r="D214" s="3"/>
      <c r="E214" s="3"/>
      <c r="F214" s="3"/>
      <c r="G214" s="3"/>
      <c r="H214" s="3"/>
      <c r="I214" s="3"/>
      <c r="J214" s="3"/>
      <c r="K214" s="3"/>
      <c r="L214" s="99"/>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spans="1:38" x14ac:dyDescent="0.25">
      <c r="A215" s="3"/>
      <c r="D215" s="3"/>
      <c r="E215" s="3"/>
      <c r="F215" s="3"/>
      <c r="G215" s="3"/>
      <c r="H215" s="3"/>
      <c r="I215" s="3"/>
      <c r="J215" s="3"/>
      <c r="K215" s="3"/>
      <c r="L215" s="99"/>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spans="1:38" x14ac:dyDescent="0.25">
      <c r="A216" s="3"/>
      <c r="D216" s="3"/>
      <c r="E216" s="3"/>
      <c r="F216" s="3"/>
      <c r="G216" s="3"/>
      <c r="H216" s="3"/>
      <c r="I216" s="3"/>
      <c r="J216" s="3"/>
      <c r="K216" s="3"/>
      <c r="L216" s="99"/>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spans="1:38" x14ac:dyDescent="0.25">
      <c r="A217" s="3"/>
      <c r="D217" s="3"/>
      <c r="E217" s="3"/>
      <c r="F217" s="3"/>
      <c r="G217" s="3"/>
      <c r="H217" s="3"/>
      <c r="I217" s="3"/>
      <c r="J217" s="3"/>
      <c r="K217" s="3"/>
      <c r="L217" s="99"/>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spans="1:38" x14ac:dyDescent="0.25">
      <c r="A218" s="3"/>
      <c r="D218" s="3"/>
      <c r="E218" s="3"/>
      <c r="F218" s="3"/>
      <c r="G218" s="3"/>
      <c r="H218" s="3"/>
      <c r="I218" s="3"/>
      <c r="J218" s="3"/>
      <c r="K218" s="3"/>
      <c r="L218" s="99"/>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spans="1:38" x14ac:dyDescent="0.25">
      <c r="A219" s="3"/>
      <c r="D219" s="3"/>
      <c r="E219" s="3"/>
      <c r="F219" s="3"/>
      <c r="G219" s="3"/>
      <c r="H219" s="3"/>
      <c r="I219" s="3"/>
      <c r="J219" s="3"/>
      <c r="K219" s="3"/>
      <c r="L219" s="99"/>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spans="1:38" x14ac:dyDescent="0.25">
      <c r="A220" s="3"/>
      <c r="D220" s="3"/>
      <c r="E220" s="3"/>
      <c r="F220" s="3"/>
      <c r="G220" s="3"/>
      <c r="H220" s="3"/>
      <c r="I220" s="3"/>
      <c r="J220" s="3"/>
      <c r="K220" s="3"/>
      <c r="L220" s="99"/>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spans="1:38" x14ac:dyDescent="0.25">
      <c r="A221" s="3"/>
      <c r="D221" s="3"/>
      <c r="E221" s="3"/>
      <c r="F221" s="3"/>
      <c r="G221" s="3"/>
      <c r="H221" s="3"/>
      <c r="I221" s="3"/>
      <c r="J221" s="3"/>
      <c r="K221" s="3"/>
      <c r="L221" s="99"/>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spans="1:38" x14ac:dyDescent="0.25">
      <c r="A222" s="3"/>
      <c r="D222" s="3"/>
      <c r="E222" s="3"/>
      <c r="F222" s="3"/>
      <c r="G222" s="3"/>
      <c r="H222" s="3"/>
      <c r="I222" s="3"/>
      <c r="J222" s="3"/>
      <c r="K222" s="3"/>
      <c r="L222" s="99"/>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spans="1:38" x14ac:dyDescent="0.25">
      <c r="A223" s="3"/>
      <c r="D223" s="3"/>
      <c r="E223" s="3"/>
      <c r="F223" s="3"/>
      <c r="G223" s="3"/>
      <c r="H223" s="3"/>
      <c r="I223" s="3"/>
      <c r="J223" s="3"/>
      <c r="K223" s="3"/>
      <c r="L223" s="99"/>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spans="1:38" x14ac:dyDescent="0.25">
      <c r="A224" s="3"/>
      <c r="D224" s="3"/>
      <c r="E224" s="3"/>
      <c r="F224" s="3"/>
      <c r="G224" s="3"/>
      <c r="H224" s="3"/>
      <c r="I224" s="3"/>
      <c r="J224" s="3"/>
      <c r="K224" s="3"/>
      <c r="L224" s="99"/>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spans="1:38" x14ac:dyDescent="0.25">
      <c r="A225" s="3"/>
      <c r="D225" s="3"/>
      <c r="E225" s="3"/>
      <c r="F225" s="3"/>
      <c r="G225" s="3"/>
      <c r="H225" s="3"/>
      <c r="I225" s="3"/>
      <c r="J225" s="3"/>
      <c r="K225" s="3"/>
      <c r="L225" s="99"/>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spans="1:38" x14ac:dyDescent="0.25">
      <c r="A226" s="3"/>
      <c r="D226" s="3"/>
      <c r="E226" s="3"/>
      <c r="F226" s="3"/>
      <c r="G226" s="3"/>
      <c r="H226" s="3"/>
      <c r="I226" s="3"/>
      <c r="J226" s="3"/>
      <c r="K226" s="3"/>
      <c r="L226" s="99"/>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row r="227" spans="1:38" x14ac:dyDescent="0.25">
      <c r="A227" s="3"/>
      <c r="D227" s="3"/>
      <c r="E227" s="3"/>
      <c r="F227" s="3"/>
      <c r="G227" s="3"/>
      <c r="H227" s="3"/>
      <c r="I227" s="3"/>
      <c r="J227" s="3"/>
      <c r="K227" s="3"/>
      <c r="L227" s="99"/>
      <c r="O227" s="3"/>
      <c r="P227" s="3"/>
      <c r="Q227" s="3"/>
      <c r="R227" s="3"/>
      <c r="S227" s="3"/>
      <c r="T227" s="3"/>
      <c r="U227" s="3"/>
      <c r="V227" s="3"/>
      <c r="W227" s="3"/>
      <c r="X227" s="3"/>
      <c r="Y227" s="3"/>
      <c r="Z227" s="3"/>
      <c r="AA227" s="3"/>
      <c r="AB227" s="3"/>
      <c r="AC227" s="3"/>
      <c r="AD227" s="3"/>
      <c r="AE227" s="3"/>
      <c r="AF227" s="3"/>
      <c r="AG227" s="3"/>
      <c r="AH227" s="3"/>
      <c r="AI227" s="3"/>
      <c r="AJ227" s="3"/>
      <c r="AK227" s="3"/>
      <c r="AL227" s="3"/>
    </row>
    <row r="228" spans="1:38" x14ac:dyDescent="0.25">
      <c r="A228" s="3"/>
      <c r="D228" s="3"/>
      <c r="E228" s="3"/>
      <c r="F228" s="3"/>
      <c r="G228" s="3"/>
      <c r="H228" s="3"/>
      <c r="I228" s="3"/>
      <c r="J228" s="3"/>
      <c r="K228" s="3"/>
      <c r="L228" s="99"/>
      <c r="O228" s="3"/>
      <c r="P228" s="3"/>
      <c r="Q228" s="3"/>
      <c r="R228" s="3"/>
      <c r="S228" s="3"/>
      <c r="T228" s="3"/>
      <c r="U228" s="3"/>
      <c r="V228" s="3"/>
      <c r="W228" s="3"/>
      <c r="X228" s="3"/>
      <c r="Y228" s="3"/>
      <c r="Z228" s="3"/>
      <c r="AA228" s="3"/>
      <c r="AB228" s="3"/>
      <c r="AC228" s="3"/>
      <c r="AD228" s="3"/>
      <c r="AE228" s="3"/>
      <c r="AF228" s="3"/>
      <c r="AG228" s="3"/>
      <c r="AH228" s="3"/>
      <c r="AI228" s="3"/>
      <c r="AJ228" s="3"/>
      <c r="AK228" s="3"/>
      <c r="AL228" s="3"/>
    </row>
    <row r="229" spans="1:38" x14ac:dyDescent="0.25">
      <c r="A229" s="3"/>
      <c r="D229" s="3"/>
      <c r="E229" s="3"/>
      <c r="F229" s="3"/>
      <c r="G229" s="3"/>
      <c r="H229" s="3"/>
      <c r="I229" s="3"/>
      <c r="J229" s="3"/>
      <c r="K229" s="3"/>
      <c r="L229" s="99"/>
      <c r="O229" s="3"/>
      <c r="P229" s="3"/>
      <c r="Q229" s="3"/>
      <c r="R229" s="3"/>
      <c r="S229" s="3"/>
      <c r="T229" s="3"/>
      <c r="U229" s="3"/>
      <c r="V229" s="3"/>
      <c r="W229" s="3"/>
      <c r="X229" s="3"/>
      <c r="Y229" s="3"/>
      <c r="Z229" s="3"/>
      <c r="AA229" s="3"/>
      <c r="AB229" s="3"/>
      <c r="AC229" s="3"/>
      <c r="AD229" s="3"/>
      <c r="AE229" s="3"/>
      <c r="AF229" s="3"/>
      <c r="AG229" s="3"/>
      <c r="AH229" s="3"/>
      <c r="AI229" s="3"/>
      <c r="AJ229" s="3"/>
      <c r="AK229" s="3"/>
      <c r="AL229" s="3"/>
    </row>
    <row r="230" spans="1:38" x14ac:dyDescent="0.25">
      <c r="A230" s="3"/>
      <c r="D230" s="3"/>
      <c r="E230" s="3"/>
      <c r="F230" s="3"/>
      <c r="G230" s="3"/>
      <c r="H230" s="3"/>
      <c r="I230" s="3"/>
      <c r="J230" s="3"/>
      <c r="K230" s="3"/>
      <c r="L230" s="99"/>
      <c r="O230" s="3"/>
      <c r="P230" s="3"/>
      <c r="Q230" s="3"/>
      <c r="R230" s="3"/>
      <c r="S230" s="3"/>
      <c r="T230" s="3"/>
      <c r="U230" s="3"/>
      <c r="V230" s="3"/>
      <c r="W230" s="3"/>
      <c r="X230" s="3"/>
      <c r="Y230" s="3"/>
      <c r="Z230" s="3"/>
      <c r="AA230" s="3"/>
      <c r="AB230" s="3"/>
      <c r="AC230" s="3"/>
      <c r="AD230" s="3"/>
      <c r="AE230" s="3"/>
      <c r="AF230" s="3"/>
      <c r="AG230" s="3"/>
      <c r="AH230" s="3"/>
      <c r="AI230" s="3"/>
      <c r="AJ230" s="3"/>
      <c r="AK230" s="3"/>
      <c r="AL230" s="3"/>
    </row>
    <row r="231" spans="1:38" x14ac:dyDescent="0.25">
      <c r="A231" s="3"/>
      <c r="D231" s="3"/>
      <c r="E231" s="3"/>
      <c r="F231" s="3"/>
      <c r="G231" s="3"/>
      <c r="H231" s="3"/>
      <c r="I231" s="3"/>
      <c r="J231" s="3"/>
      <c r="K231" s="3"/>
      <c r="L231" s="99"/>
      <c r="O231" s="3"/>
      <c r="P231" s="3"/>
      <c r="Q231" s="3"/>
      <c r="R231" s="3"/>
      <c r="S231" s="3"/>
      <c r="T231" s="3"/>
      <c r="U231" s="3"/>
      <c r="V231" s="3"/>
      <c r="W231" s="3"/>
      <c r="X231" s="3"/>
      <c r="Y231" s="3"/>
      <c r="Z231" s="3"/>
      <c r="AA231" s="3"/>
      <c r="AB231" s="3"/>
      <c r="AC231" s="3"/>
      <c r="AD231" s="3"/>
      <c r="AE231" s="3"/>
      <c r="AF231" s="3"/>
      <c r="AG231" s="3"/>
      <c r="AH231" s="3"/>
      <c r="AI231" s="3"/>
      <c r="AJ231" s="3"/>
      <c r="AK231" s="3"/>
      <c r="AL231" s="3"/>
    </row>
    <row r="232" spans="1:38" x14ac:dyDescent="0.25">
      <c r="A232" s="3"/>
      <c r="D232" s="3"/>
      <c r="E232" s="3"/>
      <c r="F232" s="3"/>
      <c r="G232" s="3"/>
      <c r="H232" s="3"/>
      <c r="I232" s="3"/>
      <c r="J232" s="3"/>
      <c r="K232" s="3"/>
      <c r="L232" s="99"/>
      <c r="O232" s="3"/>
      <c r="P232" s="3"/>
      <c r="Q232" s="3"/>
      <c r="R232" s="3"/>
      <c r="S232" s="3"/>
      <c r="T232" s="3"/>
      <c r="U232" s="3"/>
      <c r="V232" s="3"/>
      <c r="W232" s="3"/>
      <c r="X232" s="3"/>
      <c r="Y232" s="3"/>
      <c r="Z232" s="3"/>
      <c r="AA232" s="3"/>
      <c r="AB232" s="3"/>
      <c r="AC232" s="3"/>
      <c r="AD232" s="3"/>
      <c r="AE232" s="3"/>
      <c r="AF232" s="3"/>
      <c r="AG232" s="3"/>
      <c r="AH232" s="3"/>
      <c r="AI232" s="3"/>
      <c r="AJ232" s="3"/>
      <c r="AK232" s="3"/>
      <c r="AL232" s="3"/>
    </row>
    <row r="233" spans="1:38" x14ac:dyDescent="0.25">
      <c r="A233" s="3"/>
      <c r="D233" s="3"/>
      <c r="E233" s="3"/>
      <c r="F233" s="3"/>
      <c r="G233" s="3"/>
      <c r="H233" s="3"/>
      <c r="I233" s="3"/>
      <c r="J233" s="3"/>
      <c r="K233" s="3"/>
      <c r="L233" s="99"/>
      <c r="O233" s="3"/>
      <c r="P233" s="3"/>
      <c r="Q233" s="3"/>
      <c r="R233" s="3"/>
      <c r="S233" s="3"/>
      <c r="T233" s="3"/>
      <c r="U233" s="3"/>
      <c r="V233" s="3"/>
      <c r="W233" s="3"/>
      <c r="X233" s="3"/>
      <c r="Y233" s="3"/>
      <c r="Z233" s="3"/>
      <c r="AA233" s="3"/>
      <c r="AB233" s="3"/>
      <c r="AC233" s="3"/>
      <c r="AD233" s="3"/>
      <c r="AE233" s="3"/>
      <c r="AF233" s="3"/>
      <c r="AG233" s="3"/>
      <c r="AH233" s="3"/>
      <c r="AI233" s="3"/>
      <c r="AJ233" s="3"/>
      <c r="AK233" s="3"/>
      <c r="AL233" s="3"/>
    </row>
    <row r="234" spans="1:38" x14ac:dyDescent="0.25">
      <c r="A234" s="3"/>
      <c r="D234" s="3"/>
      <c r="E234" s="3"/>
      <c r="F234" s="3"/>
      <c r="G234" s="3"/>
      <c r="H234" s="3"/>
      <c r="I234" s="3"/>
      <c r="J234" s="3"/>
      <c r="K234" s="3"/>
      <c r="L234" s="99"/>
      <c r="O234" s="3"/>
      <c r="P234" s="3"/>
      <c r="Q234" s="3"/>
      <c r="R234" s="3"/>
      <c r="S234" s="3"/>
      <c r="T234" s="3"/>
      <c r="U234" s="3"/>
      <c r="V234" s="3"/>
      <c r="W234" s="3"/>
      <c r="X234" s="3"/>
      <c r="Y234" s="3"/>
      <c r="Z234" s="3"/>
      <c r="AA234" s="3"/>
      <c r="AB234" s="3"/>
      <c r="AC234" s="3"/>
      <c r="AD234" s="3"/>
      <c r="AE234" s="3"/>
      <c r="AF234" s="3"/>
      <c r="AG234" s="3"/>
      <c r="AH234" s="3"/>
      <c r="AI234" s="3"/>
      <c r="AJ234" s="3"/>
      <c r="AK234" s="3"/>
      <c r="AL234" s="3"/>
    </row>
    <row r="235" spans="1:38" x14ac:dyDescent="0.25">
      <c r="A235" s="3"/>
      <c r="D235" s="3"/>
      <c r="E235" s="3"/>
      <c r="F235" s="3"/>
      <c r="G235" s="3"/>
      <c r="H235" s="3"/>
      <c r="I235" s="3"/>
      <c r="J235" s="3"/>
      <c r="K235" s="3"/>
      <c r="L235" s="99"/>
      <c r="O235" s="3"/>
      <c r="P235" s="3"/>
      <c r="Q235" s="3"/>
      <c r="R235" s="3"/>
      <c r="S235" s="3"/>
      <c r="T235" s="3"/>
      <c r="U235" s="3"/>
      <c r="V235" s="3"/>
      <c r="W235" s="3"/>
      <c r="X235" s="3"/>
      <c r="Y235" s="3"/>
      <c r="Z235" s="3"/>
      <c r="AA235" s="3"/>
      <c r="AB235" s="3"/>
      <c r="AC235" s="3"/>
      <c r="AD235" s="3"/>
      <c r="AE235" s="3"/>
      <c r="AF235" s="3"/>
      <c r="AG235" s="3"/>
      <c r="AH235" s="3"/>
      <c r="AI235" s="3"/>
      <c r="AJ235" s="3"/>
      <c r="AK235" s="3"/>
      <c r="AL235" s="3"/>
    </row>
    <row r="236" spans="1:38" x14ac:dyDescent="0.25">
      <c r="A236" s="3"/>
      <c r="D236" s="3"/>
      <c r="E236" s="3"/>
      <c r="F236" s="3"/>
      <c r="G236" s="3"/>
      <c r="H236" s="3"/>
      <c r="I236" s="3"/>
      <c r="J236" s="3"/>
      <c r="K236" s="3"/>
      <c r="L236" s="99"/>
      <c r="O236" s="3"/>
      <c r="P236" s="3"/>
      <c r="Q236" s="3"/>
      <c r="R236" s="3"/>
      <c r="S236" s="3"/>
      <c r="T236" s="3"/>
      <c r="U236" s="3"/>
      <c r="V236" s="3"/>
      <c r="W236" s="3"/>
      <c r="X236" s="3"/>
      <c r="Y236" s="3"/>
      <c r="Z236" s="3"/>
      <c r="AA236" s="3"/>
      <c r="AB236" s="3"/>
      <c r="AC236" s="3"/>
      <c r="AD236" s="3"/>
      <c r="AE236" s="3"/>
      <c r="AF236" s="3"/>
      <c r="AG236" s="3"/>
      <c r="AH236" s="3"/>
      <c r="AI236" s="3"/>
      <c r="AJ236" s="3"/>
      <c r="AK236" s="3"/>
      <c r="AL236" s="3"/>
    </row>
    <row r="237" spans="1:38" x14ac:dyDescent="0.25">
      <c r="A237" s="3"/>
      <c r="D237" s="3"/>
      <c r="E237" s="3"/>
      <c r="F237" s="3"/>
      <c r="G237" s="3"/>
      <c r="H237" s="3"/>
      <c r="I237" s="3"/>
      <c r="J237" s="3"/>
      <c r="K237" s="3"/>
      <c r="L237" s="99"/>
      <c r="O237" s="3"/>
      <c r="P237" s="3"/>
      <c r="Q237" s="3"/>
      <c r="R237" s="3"/>
      <c r="S237" s="3"/>
      <c r="T237" s="3"/>
      <c r="U237" s="3"/>
      <c r="V237" s="3"/>
      <c r="W237" s="3"/>
      <c r="X237" s="3"/>
      <c r="Y237" s="3"/>
      <c r="Z237" s="3"/>
      <c r="AA237" s="3"/>
      <c r="AB237" s="3"/>
      <c r="AC237" s="3"/>
      <c r="AD237" s="3"/>
      <c r="AE237" s="3"/>
      <c r="AF237" s="3"/>
      <c r="AG237" s="3"/>
      <c r="AH237" s="3"/>
      <c r="AI237" s="3"/>
      <c r="AJ237" s="3"/>
      <c r="AK237" s="3"/>
      <c r="AL237" s="3"/>
    </row>
    <row r="238" spans="1:38" x14ac:dyDescent="0.25">
      <c r="A238" s="3"/>
      <c r="D238" s="3"/>
      <c r="E238" s="3"/>
      <c r="F238" s="3"/>
      <c r="G238" s="3"/>
      <c r="H238" s="3"/>
      <c r="I238" s="3"/>
      <c r="J238" s="3"/>
      <c r="K238" s="3"/>
      <c r="L238" s="99"/>
      <c r="O238" s="3"/>
      <c r="P238" s="3"/>
      <c r="Q238" s="3"/>
      <c r="R238" s="3"/>
      <c r="S238" s="3"/>
      <c r="T238" s="3"/>
      <c r="U238" s="3"/>
      <c r="V238" s="3"/>
      <c r="W238" s="3"/>
      <c r="X238" s="3"/>
      <c r="Y238" s="3"/>
      <c r="Z238" s="3"/>
      <c r="AA238" s="3"/>
      <c r="AB238" s="3"/>
      <c r="AC238" s="3"/>
      <c r="AD238" s="3"/>
      <c r="AE238" s="3"/>
      <c r="AF238" s="3"/>
      <c r="AG238" s="3"/>
      <c r="AH238" s="3"/>
      <c r="AI238" s="3"/>
      <c r="AJ238" s="3"/>
      <c r="AK238" s="3"/>
      <c r="AL238" s="3"/>
    </row>
    <row r="239" spans="1:38" x14ac:dyDescent="0.25">
      <c r="A239" s="3"/>
      <c r="D239" s="3"/>
      <c r="E239" s="3"/>
      <c r="F239" s="3"/>
      <c r="G239" s="3"/>
      <c r="H239" s="3"/>
      <c r="I239" s="3"/>
      <c r="J239" s="3"/>
      <c r="K239" s="3"/>
      <c r="L239" s="99"/>
      <c r="O239" s="3"/>
      <c r="P239" s="3"/>
      <c r="Q239" s="3"/>
      <c r="R239" s="3"/>
      <c r="S239" s="3"/>
      <c r="T239" s="3"/>
      <c r="U239" s="3"/>
      <c r="V239" s="3"/>
      <c r="W239" s="3"/>
      <c r="X239" s="3"/>
      <c r="Y239" s="3"/>
      <c r="Z239" s="3"/>
      <c r="AA239" s="3"/>
      <c r="AB239" s="3"/>
      <c r="AC239" s="3"/>
      <c r="AD239" s="3"/>
      <c r="AE239" s="3"/>
      <c r="AF239" s="3"/>
      <c r="AG239" s="3"/>
      <c r="AH239" s="3"/>
      <c r="AI239" s="3"/>
      <c r="AJ239" s="3"/>
      <c r="AK239" s="3"/>
      <c r="AL239" s="3"/>
    </row>
    <row r="240" spans="1:38" x14ac:dyDescent="0.25">
      <c r="A240" s="3"/>
      <c r="D240" s="3"/>
      <c r="E240" s="3"/>
      <c r="F240" s="3"/>
      <c r="G240" s="3"/>
      <c r="H240" s="3"/>
      <c r="I240" s="3"/>
      <c r="J240" s="3"/>
      <c r="K240" s="3"/>
      <c r="L240" s="99"/>
      <c r="O240" s="3"/>
      <c r="P240" s="3"/>
      <c r="Q240" s="3"/>
      <c r="R240" s="3"/>
      <c r="S240" s="3"/>
      <c r="T240" s="3"/>
      <c r="U240" s="3"/>
      <c r="V240" s="3"/>
      <c r="W240" s="3"/>
      <c r="X240" s="3"/>
      <c r="Y240" s="3"/>
      <c r="Z240" s="3"/>
      <c r="AA240" s="3"/>
      <c r="AB240" s="3"/>
      <c r="AC240" s="3"/>
      <c r="AD240" s="3"/>
      <c r="AE240" s="3"/>
      <c r="AF240" s="3"/>
      <c r="AG240" s="3"/>
      <c r="AH240" s="3"/>
      <c r="AI240" s="3"/>
      <c r="AJ240" s="3"/>
      <c r="AK240" s="3"/>
      <c r="AL240" s="3"/>
    </row>
    <row r="241" spans="1:38" x14ac:dyDescent="0.25">
      <c r="A241" s="3"/>
      <c r="D241" s="3"/>
      <c r="E241" s="3"/>
      <c r="F241" s="3"/>
      <c r="G241" s="3"/>
      <c r="H241" s="3"/>
      <c r="I241" s="3"/>
      <c r="J241" s="3"/>
      <c r="K241" s="3"/>
      <c r="L241" s="99"/>
      <c r="O241" s="3"/>
      <c r="P241" s="3"/>
      <c r="Q241" s="3"/>
      <c r="R241" s="3"/>
      <c r="S241" s="3"/>
      <c r="T241" s="3"/>
      <c r="U241" s="3"/>
      <c r="V241" s="3"/>
      <c r="W241" s="3"/>
      <c r="X241" s="3"/>
      <c r="Y241" s="3"/>
      <c r="Z241" s="3"/>
      <c r="AA241" s="3"/>
      <c r="AB241" s="3"/>
      <c r="AC241" s="3"/>
      <c r="AD241" s="3"/>
      <c r="AE241" s="3"/>
      <c r="AF241" s="3"/>
      <c r="AG241" s="3"/>
      <c r="AH241" s="3"/>
      <c r="AI241" s="3"/>
      <c r="AJ241" s="3"/>
      <c r="AK241" s="3"/>
      <c r="AL241" s="3"/>
    </row>
    <row r="242" spans="1:38" x14ac:dyDescent="0.25">
      <c r="A242" s="3"/>
      <c r="D242" s="3"/>
      <c r="E242" s="3"/>
      <c r="F242" s="3"/>
      <c r="G242" s="3"/>
      <c r="H242" s="3"/>
      <c r="I242" s="3"/>
      <c r="J242" s="3"/>
      <c r="K242" s="3"/>
      <c r="L242" s="99"/>
      <c r="O242" s="3"/>
      <c r="P242" s="3"/>
      <c r="Q242" s="3"/>
      <c r="R242" s="3"/>
      <c r="S242" s="3"/>
      <c r="T242" s="3"/>
      <c r="U242" s="3"/>
      <c r="V242" s="3"/>
      <c r="W242" s="3"/>
      <c r="X242" s="3"/>
      <c r="Y242" s="3"/>
      <c r="Z242" s="3"/>
      <c r="AA242" s="3"/>
      <c r="AB242" s="3"/>
      <c r="AC242" s="3"/>
      <c r="AD242" s="3"/>
      <c r="AE242" s="3"/>
      <c r="AF242" s="3"/>
      <c r="AG242" s="3"/>
      <c r="AH242" s="3"/>
      <c r="AI242" s="3"/>
      <c r="AJ242" s="3"/>
      <c r="AK242" s="3"/>
      <c r="AL242" s="3"/>
    </row>
    <row r="243" spans="1:38" x14ac:dyDescent="0.25">
      <c r="A243" s="3"/>
      <c r="D243" s="3"/>
      <c r="E243" s="3"/>
      <c r="F243" s="3"/>
      <c r="G243" s="3"/>
      <c r="H243" s="3"/>
      <c r="I243" s="3"/>
      <c r="J243" s="3"/>
      <c r="K243" s="3"/>
      <c r="L243" s="99"/>
      <c r="O243" s="3"/>
      <c r="P243" s="3"/>
      <c r="Q243" s="3"/>
      <c r="R243" s="3"/>
      <c r="S243" s="3"/>
      <c r="T243" s="3"/>
      <c r="U243" s="3"/>
      <c r="V243" s="3"/>
      <c r="W243" s="3"/>
      <c r="X243" s="3"/>
      <c r="Y243" s="3"/>
      <c r="Z243" s="3"/>
      <c r="AA243" s="3"/>
      <c r="AB243" s="3"/>
      <c r="AC243" s="3"/>
      <c r="AD243" s="3"/>
      <c r="AE243" s="3"/>
      <c r="AF243" s="3"/>
      <c r="AG243" s="3"/>
      <c r="AH243" s="3"/>
      <c r="AI243" s="3"/>
      <c r="AJ243" s="3"/>
      <c r="AK243" s="3"/>
      <c r="AL243" s="3"/>
    </row>
    <row r="244" spans="1:38" x14ac:dyDescent="0.25">
      <c r="A244" s="3"/>
      <c r="D244" s="3"/>
      <c r="E244" s="3"/>
      <c r="F244" s="3"/>
      <c r="G244" s="3"/>
      <c r="H244" s="3"/>
      <c r="I244" s="3"/>
      <c r="J244" s="3"/>
      <c r="K244" s="3"/>
      <c r="L244" s="99"/>
      <c r="O244" s="3"/>
      <c r="P244" s="3"/>
      <c r="Q244" s="3"/>
      <c r="R244" s="3"/>
      <c r="S244" s="3"/>
      <c r="T244" s="3"/>
      <c r="U244" s="3"/>
      <c r="V244" s="3"/>
      <c r="W244" s="3"/>
      <c r="X244" s="3"/>
      <c r="Y244" s="3"/>
      <c r="Z244" s="3"/>
      <c r="AA244" s="3"/>
      <c r="AB244" s="3"/>
      <c r="AC244" s="3"/>
      <c r="AD244" s="3"/>
      <c r="AE244" s="3"/>
      <c r="AF244" s="3"/>
      <c r="AG244" s="3"/>
      <c r="AH244" s="3"/>
      <c r="AI244" s="3"/>
      <c r="AJ244" s="3"/>
      <c r="AK244" s="3"/>
      <c r="AL244" s="3"/>
    </row>
    <row r="245" spans="1:38" x14ac:dyDescent="0.25">
      <c r="A245" s="3"/>
      <c r="D245" s="3"/>
      <c r="E245" s="3"/>
      <c r="F245" s="3"/>
      <c r="G245" s="3"/>
      <c r="H245" s="3"/>
      <c r="I245" s="3"/>
      <c r="J245" s="3"/>
      <c r="K245" s="3"/>
      <c r="L245" s="99"/>
      <c r="O245" s="3"/>
      <c r="P245" s="3"/>
      <c r="Q245" s="3"/>
      <c r="R245" s="3"/>
      <c r="S245" s="3"/>
      <c r="T245" s="3"/>
      <c r="U245" s="3"/>
      <c r="V245" s="3"/>
      <c r="W245" s="3"/>
      <c r="X245" s="3"/>
      <c r="Y245" s="3"/>
      <c r="Z245" s="3"/>
      <c r="AA245" s="3"/>
      <c r="AB245" s="3"/>
      <c r="AC245" s="3"/>
      <c r="AD245" s="3"/>
      <c r="AE245" s="3"/>
      <c r="AF245" s="3"/>
      <c r="AG245" s="3"/>
      <c r="AH245" s="3"/>
      <c r="AI245" s="3"/>
      <c r="AJ245" s="3"/>
      <c r="AK245" s="3"/>
      <c r="AL245" s="3"/>
    </row>
    <row r="246" spans="1:38" x14ac:dyDescent="0.25">
      <c r="A246" s="3"/>
      <c r="D246" s="3"/>
      <c r="E246" s="3"/>
      <c r="F246" s="3"/>
      <c r="G246" s="3"/>
      <c r="H246" s="3"/>
      <c r="I246" s="3"/>
      <c r="J246" s="3"/>
      <c r="K246" s="3"/>
      <c r="L246" s="99"/>
      <c r="O246" s="3"/>
      <c r="P246" s="3"/>
      <c r="Q246" s="3"/>
      <c r="R246" s="3"/>
      <c r="S246" s="3"/>
      <c r="T246" s="3"/>
      <c r="U246" s="3"/>
      <c r="V246" s="3"/>
      <c r="W246" s="3"/>
      <c r="X246" s="3"/>
      <c r="Y246" s="3"/>
      <c r="Z246" s="3"/>
      <c r="AA246" s="3"/>
      <c r="AB246" s="3"/>
      <c r="AC246" s="3"/>
      <c r="AD246" s="3"/>
      <c r="AE246" s="3"/>
      <c r="AF246" s="3"/>
      <c r="AG246" s="3"/>
      <c r="AH246" s="3"/>
      <c r="AI246" s="3"/>
      <c r="AJ246" s="3"/>
      <c r="AK246" s="3"/>
      <c r="AL246" s="3"/>
    </row>
    <row r="247" spans="1:38" x14ac:dyDescent="0.25">
      <c r="A247" s="3"/>
      <c r="D247" s="3"/>
      <c r="E247" s="3"/>
      <c r="F247" s="3"/>
      <c r="G247" s="3"/>
      <c r="H247" s="3"/>
      <c r="I247" s="3"/>
      <c r="J247" s="3"/>
      <c r="K247" s="3"/>
      <c r="L247" s="99"/>
      <c r="O247" s="3"/>
      <c r="P247" s="3"/>
      <c r="Q247" s="3"/>
      <c r="R247" s="3"/>
      <c r="S247" s="3"/>
      <c r="T247" s="3"/>
      <c r="U247" s="3"/>
      <c r="V247" s="3"/>
      <c r="W247" s="3"/>
      <c r="X247" s="3"/>
      <c r="Y247" s="3"/>
      <c r="Z247" s="3"/>
      <c r="AA247" s="3"/>
      <c r="AB247" s="3"/>
      <c r="AC247" s="3"/>
      <c r="AD247" s="3"/>
      <c r="AE247" s="3"/>
      <c r="AF247" s="3"/>
      <c r="AG247" s="3"/>
      <c r="AH247" s="3"/>
      <c r="AI247" s="3"/>
      <c r="AJ247" s="3"/>
      <c r="AK247" s="3"/>
      <c r="AL247" s="3"/>
    </row>
    <row r="248" spans="1:38" x14ac:dyDescent="0.25">
      <c r="A248" s="3"/>
      <c r="D248" s="3"/>
      <c r="E248" s="3"/>
      <c r="F248" s="3"/>
      <c r="G248" s="3"/>
      <c r="H248" s="3"/>
      <c r="I248" s="3"/>
      <c r="J248" s="3"/>
      <c r="K248" s="3"/>
      <c r="L248" s="99"/>
      <c r="O248" s="3"/>
      <c r="P248" s="3"/>
      <c r="Q248" s="3"/>
      <c r="R248" s="3"/>
      <c r="S248" s="3"/>
      <c r="T248" s="3"/>
      <c r="U248" s="3"/>
      <c r="V248" s="3"/>
      <c r="W248" s="3"/>
      <c r="X248" s="3"/>
      <c r="Y248" s="3"/>
      <c r="Z248" s="3"/>
      <c r="AA248" s="3"/>
      <c r="AB248" s="3"/>
      <c r="AC248" s="3"/>
      <c r="AD248" s="3"/>
      <c r="AE248" s="3"/>
      <c r="AF248" s="3"/>
      <c r="AG248" s="3"/>
      <c r="AH248" s="3"/>
      <c r="AI248" s="3"/>
      <c r="AJ248" s="3"/>
      <c r="AK248" s="3"/>
      <c r="AL248" s="3"/>
    </row>
    <row r="249" spans="1:38" x14ac:dyDescent="0.25">
      <c r="A249" s="3"/>
      <c r="D249" s="3"/>
      <c r="E249" s="3"/>
      <c r="F249" s="3"/>
      <c r="G249" s="3"/>
      <c r="H249" s="3"/>
      <c r="I249" s="3"/>
      <c r="J249" s="3"/>
      <c r="K249" s="3"/>
      <c r="L249" s="99"/>
      <c r="O249" s="3"/>
      <c r="P249" s="3"/>
      <c r="Q249" s="3"/>
      <c r="R249" s="3"/>
      <c r="S249" s="3"/>
      <c r="T249" s="3"/>
      <c r="U249" s="3"/>
      <c r="V249" s="3"/>
      <c r="W249" s="3"/>
      <c r="X249" s="3"/>
      <c r="Y249" s="3"/>
      <c r="Z249" s="3"/>
      <c r="AA249" s="3"/>
      <c r="AB249" s="3"/>
      <c r="AC249" s="3"/>
      <c r="AD249" s="3"/>
      <c r="AE249" s="3"/>
      <c r="AF249" s="3"/>
      <c r="AG249" s="3"/>
      <c r="AH249" s="3"/>
      <c r="AI249" s="3"/>
      <c r="AJ249" s="3"/>
      <c r="AK249" s="3"/>
      <c r="AL249" s="3"/>
    </row>
    <row r="250" spans="1:38" x14ac:dyDescent="0.25">
      <c r="A250" s="3"/>
      <c r="D250" s="3"/>
      <c r="E250" s="3"/>
      <c r="F250" s="3"/>
      <c r="G250" s="3"/>
      <c r="H250" s="3"/>
      <c r="I250" s="3"/>
      <c r="J250" s="3"/>
      <c r="K250" s="3"/>
      <c r="L250" s="99"/>
      <c r="O250" s="3"/>
      <c r="P250" s="3"/>
      <c r="Q250" s="3"/>
      <c r="R250" s="3"/>
      <c r="S250" s="3"/>
      <c r="T250" s="3"/>
      <c r="U250" s="3"/>
      <c r="V250" s="3"/>
      <c r="W250" s="3"/>
      <c r="X250" s="3"/>
      <c r="Y250" s="3"/>
      <c r="Z250" s="3"/>
      <c r="AA250" s="3"/>
      <c r="AB250" s="3"/>
      <c r="AC250" s="3"/>
      <c r="AD250" s="3"/>
      <c r="AE250" s="3"/>
      <c r="AF250" s="3"/>
      <c r="AG250" s="3"/>
      <c r="AH250" s="3"/>
      <c r="AI250" s="3"/>
      <c r="AJ250" s="3"/>
      <c r="AK250" s="3"/>
      <c r="AL250" s="3"/>
    </row>
    <row r="251" spans="1:38" x14ac:dyDescent="0.25">
      <c r="A251" s="3"/>
      <c r="D251" s="3"/>
      <c r="E251" s="3"/>
      <c r="F251" s="3"/>
      <c r="G251" s="3"/>
      <c r="H251" s="3"/>
      <c r="I251" s="3"/>
      <c r="J251" s="3"/>
      <c r="K251" s="3"/>
      <c r="L251" s="99"/>
      <c r="O251" s="3"/>
      <c r="P251" s="3"/>
      <c r="Q251" s="3"/>
      <c r="R251" s="3"/>
      <c r="S251" s="3"/>
      <c r="T251" s="3"/>
      <c r="U251" s="3"/>
      <c r="V251" s="3"/>
      <c r="W251" s="3"/>
      <c r="X251" s="3"/>
      <c r="Y251" s="3"/>
      <c r="Z251" s="3"/>
      <c r="AA251" s="3"/>
      <c r="AB251" s="3"/>
      <c r="AC251" s="3"/>
      <c r="AD251" s="3"/>
      <c r="AE251" s="3"/>
      <c r="AF251" s="3"/>
      <c r="AG251" s="3"/>
      <c r="AH251" s="3"/>
      <c r="AI251" s="3"/>
      <c r="AJ251" s="3"/>
      <c r="AK251" s="3"/>
      <c r="AL251" s="3"/>
    </row>
    <row r="252" spans="1:38" x14ac:dyDescent="0.25">
      <c r="A252" s="3"/>
      <c r="D252" s="3"/>
      <c r="E252" s="3"/>
      <c r="F252" s="3"/>
      <c r="G252" s="3"/>
      <c r="H252" s="3"/>
      <c r="I252" s="3"/>
      <c r="J252" s="3"/>
      <c r="K252" s="3"/>
      <c r="L252" s="99"/>
      <c r="O252" s="3"/>
      <c r="P252" s="3"/>
      <c r="Q252" s="3"/>
      <c r="R252" s="3"/>
      <c r="S252" s="3"/>
      <c r="T252" s="3"/>
      <c r="U252" s="3"/>
      <c r="V252" s="3"/>
      <c r="W252" s="3"/>
      <c r="X252" s="3"/>
      <c r="Y252" s="3"/>
      <c r="Z252" s="3"/>
      <c r="AA252" s="3"/>
      <c r="AB252" s="3"/>
      <c r="AC252" s="3"/>
      <c r="AD252" s="3"/>
      <c r="AE252" s="3"/>
      <c r="AF252" s="3"/>
      <c r="AG252" s="3"/>
      <c r="AH252" s="3"/>
      <c r="AI252" s="3"/>
      <c r="AJ252" s="3"/>
      <c r="AK252" s="3"/>
      <c r="AL252" s="3"/>
    </row>
    <row r="253" spans="1:38" x14ac:dyDescent="0.25">
      <c r="A253" s="3"/>
      <c r="D253" s="3"/>
      <c r="E253" s="3"/>
      <c r="F253" s="3"/>
      <c r="G253" s="3"/>
      <c r="H253" s="3"/>
      <c r="I253" s="3"/>
      <c r="J253" s="3"/>
      <c r="K253" s="3"/>
      <c r="L253" s="99"/>
      <c r="O253" s="3"/>
      <c r="P253" s="3"/>
      <c r="Q253" s="3"/>
      <c r="R253" s="3"/>
      <c r="S253" s="3"/>
      <c r="T253" s="3"/>
      <c r="U253" s="3"/>
      <c r="V253" s="3"/>
      <c r="W253" s="3"/>
      <c r="X253" s="3"/>
      <c r="Y253" s="3"/>
      <c r="Z253" s="3"/>
      <c r="AA253" s="3"/>
      <c r="AB253" s="3"/>
      <c r="AC253" s="3"/>
      <c r="AD253" s="3"/>
      <c r="AE253" s="3"/>
      <c r="AF253" s="3"/>
      <c r="AG253" s="3"/>
      <c r="AH253" s="3"/>
      <c r="AI253" s="3"/>
      <c r="AJ253" s="3"/>
      <c r="AK253" s="3"/>
      <c r="AL253" s="3"/>
    </row>
    <row r="254" spans="1:38" x14ac:dyDescent="0.25">
      <c r="A254" s="3"/>
      <c r="D254" s="3"/>
      <c r="E254" s="3"/>
      <c r="F254" s="3"/>
      <c r="G254" s="3"/>
      <c r="H254" s="3"/>
      <c r="I254" s="3"/>
      <c r="J254" s="3"/>
      <c r="K254" s="3"/>
      <c r="L254" s="99"/>
      <c r="O254" s="3"/>
      <c r="P254" s="3"/>
      <c r="Q254" s="3"/>
      <c r="R254" s="3"/>
      <c r="S254" s="3"/>
      <c r="T254" s="3"/>
      <c r="U254" s="3"/>
      <c r="V254" s="3"/>
      <c r="W254" s="3"/>
      <c r="X254" s="3"/>
      <c r="Y254" s="3"/>
      <c r="Z254" s="3"/>
      <c r="AA254" s="3"/>
      <c r="AB254" s="3"/>
      <c r="AC254" s="3"/>
      <c r="AD254" s="3"/>
      <c r="AE254" s="3"/>
      <c r="AF254" s="3"/>
      <c r="AG254" s="3"/>
      <c r="AH254" s="3"/>
      <c r="AI254" s="3"/>
      <c r="AJ254" s="3"/>
      <c r="AK254" s="3"/>
      <c r="AL254" s="3"/>
    </row>
    <row r="255" spans="1:38" x14ac:dyDescent="0.25">
      <c r="A255" s="3"/>
      <c r="D255" s="3"/>
      <c r="E255" s="3"/>
      <c r="F255" s="3"/>
      <c r="G255" s="3"/>
      <c r="H255" s="3"/>
      <c r="I255" s="3"/>
      <c r="J255" s="3"/>
      <c r="K255" s="3"/>
      <c r="L255" s="99"/>
      <c r="O255" s="3"/>
      <c r="P255" s="3"/>
      <c r="Q255" s="3"/>
      <c r="R255" s="3"/>
      <c r="S255" s="3"/>
      <c r="T255" s="3"/>
      <c r="U255" s="3"/>
      <c r="V255" s="3"/>
      <c r="W255" s="3"/>
      <c r="X255" s="3"/>
      <c r="Y255" s="3"/>
      <c r="Z255" s="3"/>
      <c r="AA255" s="3"/>
      <c r="AB255" s="3"/>
      <c r="AC255" s="3"/>
      <c r="AD255" s="3"/>
      <c r="AE255" s="3"/>
      <c r="AF255" s="3"/>
      <c r="AG255" s="3"/>
      <c r="AH255" s="3"/>
      <c r="AI255" s="3"/>
      <c r="AJ255" s="3"/>
      <c r="AK255" s="3"/>
      <c r="AL255" s="3"/>
    </row>
    <row r="256" spans="1:38" x14ac:dyDescent="0.25">
      <c r="A256" s="3"/>
      <c r="D256" s="3"/>
      <c r="E256" s="3"/>
      <c r="F256" s="3"/>
      <c r="G256" s="3"/>
      <c r="H256" s="3"/>
      <c r="I256" s="3"/>
      <c r="J256" s="3"/>
      <c r="K256" s="3"/>
      <c r="L256" s="99"/>
      <c r="O256" s="3"/>
      <c r="P256" s="3"/>
      <c r="Q256" s="3"/>
      <c r="R256" s="3"/>
      <c r="S256" s="3"/>
      <c r="T256" s="3"/>
      <c r="U256" s="3"/>
      <c r="V256" s="3"/>
      <c r="W256" s="3"/>
      <c r="X256" s="3"/>
      <c r="Y256" s="3"/>
      <c r="Z256" s="3"/>
      <c r="AA256" s="3"/>
      <c r="AB256" s="3"/>
      <c r="AC256" s="3"/>
      <c r="AD256" s="3"/>
      <c r="AE256" s="3"/>
      <c r="AF256" s="3"/>
      <c r="AG256" s="3"/>
      <c r="AH256" s="3"/>
      <c r="AI256" s="3"/>
      <c r="AJ256" s="3"/>
      <c r="AK256" s="3"/>
      <c r="AL256" s="3"/>
    </row>
    <row r="257" spans="1:38" x14ac:dyDescent="0.25">
      <c r="A257" s="3"/>
      <c r="D257" s="3"/>
      <c r="E257" s="3"/>
      <c r="F257" s="3"/>
      <c r="G257" s="3"/>
      <c r="H257" s="3"/>
      <c r="I257" s="3"/>
      <c r="J257" s="3"/>
      <c r="K257" s="3"/>
      <c r="L257" s="99"/>
      <c r="O257" s="3"/>
      <c r="P257" s="3"/>
      <c r="Q257" s="3"/>
      <c r="R257" s="3"/>
      <c r="S257" s="3"/>
      <c r="T257" s="3"/>
      <c r="U257" s="3"/>
      <c r="V257" s="3"/>
      <c r="W257" s="3"/>
      <c r="X257" s="3"/>
      <c r="Y257" s="3"/>
      <c r="Z257" s="3"/>
      <c r="AA257" s="3"/>
      <c r="AB257" s="3"/>
      <c r="AC257" s="3"/>
      <c r="AD257" s="3"/>
      <c r="AE257" s="3"/>
      <c r="AF257" s="3"/>
      <c r="AG257" s="3"/>
      <c r="AH257" s="3"/>
      <c r="AI257" s="3"/>
      <c r="AJ257" s="3"/>
      <c r="AK257" s="3"/>
      <c r="AL257" s="3"/>
    </row>
    <row r="258" spans="1:38" x14ac:dyDescent="0.25">
      <c r="A258" s="3"/>
      <c r="D258" s="3"/>
      <c r="E258" s="3"/>
      <c r="F258" s="3"/>
      <c r="G258" s="3"/>
      <c r="H258" s="3"/>
      <c r="I258" s="3"/>
      <c r="J258" s="3"/>
      <c r="K258" s="3"/>
      <c r="L258" s="99"/>
      <c r="O258" s="3"/>
      <c r="P258" s="3"/>
      <c r="Q258" s="3"/>
      <c r="R258" s="3"/>
      <c r="S258" s="3"/>
      <c r="T258" s="3"/>
      <c r="U258" s="3"/>
      <c r="V258" s="3"/>
      <c r="W258" s="3"/>
      <c r="X258" s="3"/>
      <c r="Y258" s="3"/>
      <c r="Z258" s="3"/>
      <c r="AA258" s="3"/>
      <c r="AB258" s="3"/>
      <c r="AC258" s="3"/>
      <c r="AD258" s="3"/>
      <c r="AE258" s="3"/>
      <c r="AF258" s="3"/>
      <c r="AG258" s="3"/>
      <c r="AH258" s="3"/>
      <c r="AI258" s="3"/>
      <c r="AJ258" s="3"/>
      <c r="AK258" s="3"/>
      <c r="AL258" s="3"/>
    </row>
    <row r="259" spans="1:38" x14ac:dyDescent="0.25">
      <c r="A259" s="3"/>
      <c r="D259" s="3"/>
      <c r="E259" s="3"/>
      <c r="F259" s="3"/>
      <c r="G259" s="3"/>
      <c r="H259" s="3"/>
      <c r="I259" s="3"/>
      <c r="J259" s="3"/>
      <c r="K259" s="3"/>
      <c r="L259" s="99"/>
      <c r="O259" s="3"/>
      <c r="P259" s="3"/>
      <c r="Q259" s="3"/>
      <c r="R259" s="3"/>
      <c r="S259" s="3"/>
      <c r="T259" s="3"/>
      <c r="U259" s="3"/>
      <c r="V259" s="3"/>
      <c r="W259" s="3"/>
      <c r="X259" s="3"/>
      <c r="Y259" s="3"/>
      <c r="Z259" s="3"/>
      <c r="AA259" s="3"/>
      <c r="AB259" s="3"/>
      <c r="AC259" s="3"/>
      <c r="AD259" s="3"/>
      <c r="AE259" s="3"/>
      <c r="AF259" s="3"/>
      <c r="AG259" s="3"/>
      <c r="AH259" s="3"/>
      <c r="AI259" s="3"/>
      <c r="AJ259" s="3"/>
      <c r="AK259" s="3"/>
      <c r="AL259" s="3"/>
    </row>
    <row r="260" spans="1:38" x14ac:dyDescent="0.25">
      <c r="A260" s="3"/>
      <c r="D260" s="3"/>
      <c r="E260" s="3"/>
      <c r="F260" s="3"/>
      <c r="G260" s="3"/>
      <c r="H260" s="3"/>
      <c r="I260" s="3"/>
      <c r="J260" s="3"/>
      <c r="K260" s="3"/>
      <c r="L260" s="99"/>
      <c r="O260" s="3"/>
      <c r="P260" s="3"/>
      <c r="Q260" s="3"/>
      <c r="R260" s="3"/>
      <c r="S260" s="3"/>
      <c r="T260" s="3"/>
      <c r="U260" s="3"/>
      <c r="V260" s="3"/>
      <c r="W260" s="3"/>
      <c r="X260" s="3"/>
      <c r="Y260" s="3"/>
      <c r="Z260" s="3"/>
      <c r="AA260" s="3"/>
      <c r="AB260" s="3"/>
      <c r="AC260" s="3"/>
      <c r="AD260" s="3"/>
      <c r="AE260" s="3"/>
      <c r="AF260" s="3"/>
      <c r="AG260" s="3"/>
      <c r="AH260" s="3"/>
      <c r="AI260" s="3"/>
      <c r="AJ260" s="3"/>
      <c r="AK260" s="3"/>
      <c r="AL260" s="3"/>
    </row>
    <row r="261" spans="1:38" x14ac:dyDescent="0.25">
      <c r="A261" s="3"/>
      <c r="D261" s="3"/>
      <c r="E261" s="3"/>
      <c r="F261" s="3"/>
      <c r="G261" s="3"/>
      <c r="H261" s="3"/>
      <c r="I261" s="3"/>
      <c r="J261" s="3"/>
      <c r="K261" s="3"/>
      <c r="L261" s="99"/>
      <c r="O261" s="3"/>
      <c r="P261" s="3"/>
      <c r="Q261" s="3"/>
      <c r="R261" s="3"/>
      <c r="S261" s="3"/>
      <c r="T261" s="3"/>
      <c r="U261" s="3"/>
      <c r="V261" s="3"/>
      <c r="W261" s="3"/>
      <c r="X261" s="3"/>
      <c r="Y261" s="3"/>
      <c r="Z261" s="3"/>
      <c r="AA261" s="3"/>
      <c r="AB261" s="3"/>
      <c r="AC261" s="3"/>
      <c r="AD261" s="3"/>
      <c r="AE261" s="3"/>
      <c r="AF261" s="3"/>
      <c r="AG261" s="3"/>
      <c r="AH261" s="3"/>
      <c r="AI261" s="3"/>
      <c r="AJ261" s="3"/>
      <c r="AK261" s="3"/>
      <c r="AL261" s="3"/>
    </row>
    <row r="262" spans="1:38" x14ac:dyDescent="0.25">
      <c r="A262" s="3"/>
      <c r="D262" s="3"/>
      <c r="E262" s="3"/>
      <c r="F262" s="3"/>
      <c r="G262" s="3"/>
      <c r="H262" s="3"/>
      <c r="I262" s="3"/>
      <c r="J262" s="3"/>
      <c r="K262" s="3"/>
      <c r="L262" s="99"/>
      <c r="O262" s="3"/>
      <c r="P262" s="3"/>
      <c r="Q262" s="3"/>
      <c r="R262" s="3"/>
      <c r="S262" s="3"/>
      <c r="T262" s="3"/>
      <c r="U262" s="3"/>
      <c r="V262" s="3"/>
      <c r="W262" s="3"/>
      <c r="X262" s="3"/>
      <c r="Y262" s="3"/>
      <c r="Z262" s="3"/>
      <c r="AA262" s="3"/>
      <c r="AB262" s="3"/>
      <c r="AC262" s="3"/>
      <c r="AD262" s="3"/>
      <c r="AE262" s="3"/>
      <c r="AF262" s="3"/>
      <c r="AG262" s="3"/>
      <c r="AH262" s="3"/>
      <c r="AI262" s="3"/>
      <c r="AJ262" s="3"/>
      <c r="AK262" s="3"/>
      <c r="AL262" s="3"/>
    </row>
    <row r="263" spans="1:38" x14ac:dyDescent="0.25">
      <c r="A263" s="3"/>
      <c r="D263" s="3"/>
      <c r="E263" s="3"/>
      <c r="F263" s="3"/>
      <c r="G263" s="3"/>
      <c r="H263" s="3"/>
      <c r="I263" s="3"/>
      <c r="J263" s="3"/>
      <c r="K263" s="3"/>
      <c r="L263" s="99"/>
      <c r="O263" s="3"/>
      <c r="P263" s="3"/>
      <c r="Q263" s="3"/>
      <c r="R263" s="3"/>
      <c r="S263" s="3"/>
      <c r="T263" s="3"/>
      <c r="U263" s="3"/>
      <c r="V263" s="3"/>
      <c r="W263" s="3"/>
      <c r="X263" s="3"/>
      <c r="Y263" s="3"/>
      <c r="Z263" s="3"/>
      <c r="AA263" s="3"/>
      <c r="AB263" s="3"/>
      <c r="AC263" s="3"/>
      <c r="AD263" s="3"/>
      <c r="AE263" s="3"/>
      <c r="AF263" s="3"/>
      <c r="AG263" s="3"/>
      <c r="AH263" s="3"/>
      <c r="AI263" s="3"/>
      <c r="AJ263" s="3"/>
      <c r="AK263" s="3"/>
      <c r="AL263" s="3"/>
    </row>
    <row r="264" spans="1:38" x14ac:dyDescent="0.25">
      <c r="A264" s="3"/>
      <c r="D264" s="3"/>
      <c r="E264" s="3"/>
      <c r="F264" s="3"/>
      <c r="G264" s="3"/>
      <c r="H264" s="3"/>
      <c r="I264" s="3"/>
      <c r="J264" s="3"/>
      <c r="K264" s="3"/>
      <c r="L264" s="99"/>
      <c r="O264" s="3"/>
      <c r="P264" s="3"/>
      <c r="Q264" s="3"/>
      <c r="R264" s="3"/>
      <c r="S264" s="3"/>
      <c r="T264" s="3"/>
      <c r="U264" s="3"/>
      <c r="V264" s="3"/>
      <c r="W264" s="3"/>
      <c r="X264" s="3"/>
      <c r="Y264" s="3"/>
      <c r="Z264" s="3"/>
      <c r="AA264" s="3"/>
      <c r="AB264" s="3"/>
      <c r="AC264" s="3"/>
      <c r="AD264" s="3"/>
      <c r="AE264" s="3"/>
      <c r="AF264" s="3"/>
      <c r="AG264" s="3"/>
      <c r="AH264" s="3"/>
      <c r="AI264" s="3"/>
      <c r="AJ264" s="3"/>
      <c r="AK264" s="3"/>
      <c r="AL264" s="3"/>
    </row>
    <row r="265" spans="1:38" x14ac:dyDescent="0.25">
      <c r="A265" s="3"/>
      <c r="D265" s="3"/>
      <c r="E265" s="3"/>
      <c r="F265" s="3"/>
      <c r="G265" s="3"/>
      <c r="H265" s="3"/>
      <c r="I265" s="3"/>
      <c r="J265" s="3"/>
      <c r="K265" s="3"/>
      <c r="L265" s="99"/>
      <c r="O265" s="3"/>
      <c r="P265" s="3"/>
      <c r="Q265" s="3"/>
      <c r="R265" s="3"/>
      <c r="S265" s="3"/>
      <c r="T265" s="3"/>
      <c r="U265" s="3"/>
      <c r="V265" s="3"/>
      <c r="W265" s="3"/>
      <c r="X265" s="3"/>
      <c r="Y265" s="3"/>
      <c r="Z265" s="3"/>
      <c r="AA265" s="3"/>
      <c r="AB265" s="3"/>
      <c r="AC265" s="3"/>
      <c r="AD265" s="3"/>
      <c r="AE265" s="3"/>
      <c r="AF265" s="3"/>
      <c r="AG265" s="3"/>
      <c r="AH265" s="3"/>
      <c r="AI265" s="3"/>
      <c r="AJ265" s="3"/>
      <c r="AK265" s="3"/>
      <c r="AL265" s="3"/>
    </row>
    <row r="266" spans="1:38" x14ac:dyDescent="0.25">
      <c r="A266" s="3"/>
      <c r="D266" s="3"/>
      <c r="E266" s="3"/>
      <c r="F266" s="3"/>
      <c r="G266" s="3"/>
      <c r="H266" s="3"/>
      <c r="I266" s="3"/>
      <c r="J266" s="3"/>
      <c r="K266" s="3"/>
      <c r="L266" s="99"/>
      <c r="O266" s="3"/>
      <c r="P266" s="3"/>
      <c r="Q266" s="3"/>
      <c r="R266" s="3"/>
      <c r="S266" s="3"/>
      <c r="T266" s="3"/>
      <c r="U266" s="3"/>
      <c r="V266" s="3"/>
      <c r="W266" s="3"/>
      <c r="X266" s="3"/>
      <c r="Y266" s="3"/>
      <c r="Z266" s="3"/>
      <c r="AA266" s="3"/>
      <c r="AB266" s="3"/>
      <c r="AC266" s="3"/>
      <c r="AD266" s="3"/>
      <c r="AE266" s="3"/>
      <c r="AF266" s="3"/>
      <c r="AG266" s="3"/>
      <c r="AH266" s="3"/>
      <c r="AI266" s="3"/>
      <c r="AJ266" s="3"/>
      <c r="AK266" s="3"/>
      <c r="AL266" s="3"/>
    </row>
    <row r="267" spans="1:38" x14ac:dyDescent="0.25">
      <c r="A267" s="3"/>
      <c r="D267" s="3"/>
      <c r="E267" s="3"/>
      <c r="F267" s="3"/>
      <c r="G267" s="3"/>
      <c r="H267" s="3"/>
      <c r="I267" s="3"/>
      <c r="J267" s="3"/>
      <c r="K267" s="3"/>
      <c r="L267" s="99"/>
      <c r="O267" s="3"/>
      <c r="P267" s="3"/>
      <c r="Q267" s="3"/>
      <c r="R267" s="3"/>
      <c r="S267" s="3"/>
      <c r="T267" s="3"/>
      <c r="U267" s="3"/>
      <c r="V267" s="3"/>
      <c r="W267" s="3"/>
      <c r="X267" s="3"/>
      <c r="Y267" s="3"/>
      <c r="Z267" s="3"/>
      <c r="AA267" s="3"/>
      <c r="AB267" s="3"/>
      <c r="AC267" s="3"/>
      <c r="AD267" s="3"/>
      <c r="AE267" s="3"/>
      <c r="AF267" s="3"/>
      <c r="AG267" s="3"/>
      <c r="AH267" s="3"/>
      <c r="AI267" s="3"/>
      <c r="AJ267" s="3"/>
      <c r="AK267" s="3"/>
      <c r="AL267" s="3"/>
    </row>
    <row r="268" spans="1:38" x14ac:dyDescent="0.25">
      <c r="A268" s="3"/>
      <c r="D268" s="3"/>
      <c r="E268" s="3"/>
      <c r="F268" s="3"/>
      <c r="G268" s="3"/>
      <c r="H268" s="3"/>
      <c r="I268" s="3"/>
      <c r="J268" s="3"/>
      <c r="K268" s="3"/>
      <c r="L268" s="99"/>
      <c r="O268" s="3"/>
      <c r="P268" s="3"/>
      <c r="Q268" s="3"/>
      <c r="R268" s="3"/>
      <c r="S268" s="3"/>
      <c r="T268" s="3"/>
      <c r="U268" s="3"/>
      <c r="V268" s="3"/>
      <c r="W268" s="3"/>
      <c r="X268" s="3"/>
      <c r="Y268" s="3"/>
      <c r="Z268" s="3"/>
      <c r="AA268" s="3"/>
      <c r="AB268" s="3"/>
      <c r="AC268" s="3"/>
      <c r="AD268" s="3"/>
      <c r="AE268" s="3"/>
      <c r="AF268" s="3"/>
      <c r="AG268" s="3"/>
      <c r="AH268" s="3"/>
      <c r="AI268" s="3"/>
      <c r="AJ268" s="3"/>
      <c r="AK268" s="3"/>
      <c r="AL268" s="3"/>
    </row>
    <row r="269" spans="1:38" x14ac:dyDescent="0.25">
      <c r="A269" s="3"/>
      <c r="D269" s="3"/>
      <c r="E269" s="3"/>
      <c r="F269" s="3"/>
      <c r="G269" s="3"/>
      <c r="H269" s="3"/>
      <c r="I269" s="3"/>
      <c r="J269" s="3"/>
      <c r="K269" s="3"/>
      <c r="L269" s="99"/>
      <c r="O269" s="3"/>
      <c r="P269" s="3"/>
      <c r="Q269" s="3"/>
      <c r="R269" s="3"/>
      <c r="S269" s="3"/>
      <c r="T269" s="3"/>
      <c r="U269" s="3"/>
      <c r="V269" s="3"/>
      <c r="W269" s="3"/>
      <c r="X269" s="3"/>
      <c r="Y269" s="3"/>
      <c r="Z269" s="3"/>
      <c r="AA269" s="3"/>
      <c r="AB269" s="3"/>
      <c r="AC269" s="3"/>
      <c r="AD269" s="3"/>
      <c r="AE269" s="3"/>
      <c r="AF269" s="3"/>
      <c r="AG269" s="3"/>
      <c r="AH269" s="3"/>
      <c r="AI269" s="3"/>
      <c r="AJ269" s="3"/>
      <c r="AK269" s="3"/>
      <c r="AL269" s="3"/>
    </row>
    <row r="270" spans="1:38" x14ac:dyDescent="0.25">
      <c r="A270" s="3"/>
      <c r="D270" s="3"/>
      <c r="E270" s="3"/>
      <c r="F270" s="3"/>
      <c r="G270" s="3"/>
      <c r="H270" s="3"/>
      <c r="I270" s="3"/>
      <c r="J270" s="3"/>
      <c r="K270" s="3"/>
      <c r="L270" s="99"/>
      <c r="O270" s="3"/>
      <c r="P270" s="3"/>
      <c r="Q270" s="3"/>
      <c r="R270" s="3"/>
      <c r="S270" s="3"/>
      <c r="T270" s="3"/>
      <c r="U270" s="3"/>
      <c r="V270" s="3"/>
      <c r="W270" s="3"/>
      <c r="X270" s="3"/>
      <c r="Y270" s="3"/>
      <c r="Z270" s="3"/>
      <c r="AA270" s="3"/>
      <c r="AB270" s="3"/>
      <c r="AC270" s="3"/>
      <c r="AD270" s="3"/>
      <c r="AE270" s="3"/>
      <c r="AF270" s="3"/>
      <c r="AG270" s="3"/>
      <c r="AH270" s="3"/>
      <c r="AI270" s="3"/>
      <c r="AJ270" s="3"/>
      <c r="AK270" s="3"/>
      <c r="AL270" s="3"/>
    </row>
    <row r="271" spans="1:38" x14ac:dyDescent="0.25">
      <c r="A271" s="3"/>
      <c r="D271" s="3"/>
      <c r="E271" s="3"/>
      <c r="F271" s="3"/>
      <c r="G271" s="3"/>
      <c r="H271" s="3"/>
      <c r="I271" s="3"/>
      <c r="J271" s="3"/>
      <c r="K271" s="3"/>
      <c r="L271" s="99"/>
      <c r="O271" s="3"/>
      <c r="P271" s="3"/>
      <c r="Q271" s="3"/>
      <c r="R271" s="3"/>
      <c r="S271" s="3"/>
      <c r="T271" s="3"/>
      <c r="U271" s="3"/>
      <c r="V271" s="3"/>
      <c r="W271" s="3"/>
      <c r="X271" s="3"/>
      <c r="Y271" s="3"/>
      <c r="Z271" s="3"/>
      <c r="AA271" s="3"/>
      <c r="AB271" s="3"/>
      <c r="AC271" s="3"/>
      <c r="AD271" s="3"/>
      <c r="AE271" s="3"/>
      <c r="AF271" s="3"/>
      <c r="AG271" s="3"/>
      <c r="AH271" s="3"/>
      <c r="AI271" s="3"/>
      <c r="AJ271" s="3"/>
      <c r="AK271" s="3"/>
      <c r="AL271" s="3"/>
    </row>
    <row r="272" spans="1:38" x14ac:dyDescent="0.25">
      <c r="A272" s="3"/>
      <c r="D272" s="3"/>
      <c r="E272" s="3"/>
      <c r="F272" s="3"/>
      <c r="G272" s="3"/>
      <c r="H272" s="3"/>
      <c r="I272" s="3"/>
      <c r="J272" s="3"/>
      <c r="K272" s="3"/>
      <c r="L272" s="99"/>
      <c r="O272" s="3"/>
      <c r="P272" s="3"/>
      <c r="Q272" s="3"/>
      <c r="R272" s="3"/>
      <c r="S272" s="3"/>
      <c r="T272" s="3"/>
      <c r="U272" s="3"/>
      <c r="V272" s="3"/>
      <c r="W272" s="3"/>
      <c r="X272" s="3"/>
      <c r="Y272" s="3"/>
      <c r="Z272" s="3"/>
      <c r="AA272" s="3"/>
      <c r="AB272" s="3"/>
      <c r="AC272" s="3"/>
      <c r="AD272" s="3"/>
      <c r="AE272" s="3"/>
      <c r="AF272" s="3"/>
      <c r="AG272" s="3"/>
      <c r="AH272" s="3"/>
      <c r="AI272" s="3"/>
      <c r="AJ272" s="3"/>
      <c r="AK272" s="3"/>
      <c r="AL272" s="3"/>
    </row>
    <row r="273" spans="1:38" x14ac:dyDescent="0.25">
      <c r="A273" s="3"/>
      <c r="D273" s="3"/>
      <c r="E273" s="3"/>
      <c r="F273" s="3"/>
      <c r="G273" s="3"/>
      <c r="H273" s="3"/>
      <c r="I273" s="3"/>
      <c r="J273" s="3"/>
      <c r="K273" s="3"/>
      <c r="L273" s="99"/>
      <c r="O273" s="3"/>
      <c r="P273" s="3"/>
      <c r="Q273" s="3"/>
      <c r="R273" s="3"/>
      <c r="S273" s="3"/>
      <c r="T273" s="3"/>
      <c r="U273" s="3"/>
      <c r="V273" s="3"/>
      <c r="W273" s="3"/>
      <c r="X273" s="3"/>
      <c r="Y273" s="3"/>
      <c r="Z273" s="3"/>
      <c r="AA273" s="3"/>
      <c r="AB273" s="3"/>
      <c r="AC273" s="3"/>
      <c r="AD273" s="3"/>
      <c r="AE273" s="3"/>
      <c r="AF273" s="3"/>
      <c r="AG273" s="3"/>
      <c r="AH273" s="3"/>
      <c r="AI273" s="3"/>
      <c r="AJ273" s="3"/>
      <c r="AK273" s="3"/>
      <c r="AL273" s="3"/>
    </row>
    <row r="274" spans="1:38" x14ac:dyDescent="0.25">
      <c r="A274" s="3"/>
      <c r="D274" s="3"/>
      <c r="E274" s="3"/>
      <c r="F274" s="3"/>
      <c r="G274" s="3"/>
      <c r="H274" s="3"/>
      <c r="I274" s="3"/>
      <c r="J274" s="3"/>
      <c r="K274" s="3"/>
      <c r="L274" s="99"/>
      <c r="O274" s="3"/>
      <c r="P274" s="3"/>
      <c r="Q274" s="3"/>
      <c r="R274" s="3"/>
      <c r="S274" s="3"/>
      <c r="T274" s="3"/>
      <c r="U274" s="3"/>
      <c r="V274" s="3"/>
      <c r="W274" s="3"/>
      <c r="X274" s="3"/>
      <c r="Y274" s="3"/>
      <c r="Z274" s="3"/>
      <c r="AA274" s="3"/>
      <c r="AB274" s="3"/>
      <c r="AC274" s="3"/>
      <c r="AD274" s="3"/>
      <c r="AE274" s="3"/>
      <c r="AF274" s="3"/>
      <c r="AG274" s="3"/>
      <c r="AH274" s="3"/>
      <c r="AI274" s="3"/>
      <c r="AJ274" s="3"/>
      <c r="AK274" s="3"/>
      <c r="AL274" s="3"/>
    </row>
    <row r="275" spans="1:38" x14ac:dyDescent="0.25">
      <c r="A275" s="3"/>
      <c r="D275" s="3"/>
      <c r="E275" s="3"/>
      <c r="F275" s="3"/>
      <c r="G275" s="3"/>
      <c r="H275" s="3"/>
      <c r="I275" s="3"/>
      <c r="J275" s="3"/>
      <c r="K275" s="3"/>
      <c r="L275" s="99"/>
      <c r="O275" s="3"/>
      <c r="P275" s="3"/>
      <c r="Q275" s="3"/>
      <c r="R275" s="3"/>
      <c r="S275" s="3"/>
      <c r="T275" s="3"/>
      <c r="U275" s="3"/>
      <c r="V275" s="3"/>
      <c r="W275" s="3"/>
      <c r="X275" s="3"/>
      <c r="Y275" s="3"/>
      <c r="Z275" s="3"/>
      <c r="AA275" s="3"/>
      <c r="AB275" s="3"/>
      <c r="AC275" s="3"/>
      <c r="AD275" s="3"/>
      <c r="AE275" s="3"/>
      <c r="AF275" s="3"/>
      <c r="AG275" s="3"/>
      <c r="AH275" s="3"/>
      <c r="AI275" s="3"/>
      <c r="AJ275" s="3"/>
      <c r="AK275" s="3"/>
      <c r="AL275" s="3"/>
    </row>
    <row r="276" spans="1:38" x14ac:dyDescent="0.25">
      <c r="A276" s="3"/>
      <c r="D276" s="3"/>
      <c r="E276" s="3"/>
      <c r="F276" s="3"/>
      <c r="G276" s="3"/>
      <c r="H276" s="3"/>
      <c r="I276" s="3"/>
      <c r="J276" s="3"/>
      <c r="K276" s="3"/>
      <c r="L276" s="99"/>
      <c r="O276" s="3"/>
      <c r="P276" s="3"/>
      <c r="Q276" s="3"/>
      <c r="R276" s="3"/>
      <c r="S276" s="3"/>
      <c r="T276" s="3"/>
      <c r="U276" s="3"/>
      <c r="V276" s="3"/>
      <c r="W276" s="3"/>
      <c r="X276" s="3"/>
      <c r="Y276" s="3"/>
      <c r="Z276" s="3"/>
      <c r="AA276" s="3"/>
      <c r="AB276" s="3"/>
      <c r="AC276" s="3"/>
      <c r="AD276" s="3"/>
      <c r="AE276" s="3"/>
      <c r="AF276" s="3"/>
      <c r="AG276" s="3"/>
      <c r="AH276" s="3"/>
      <c r="AI276" s="3"/>
      <c r="AJ276" s="3"/>
      <c r="AK276" s="3"/>
      <c r="AL276" s="3"/>
    </row>
    <row r="277" spans="1:38" x14ac:dyDescent="0.25">
      <c r="A277" s="3"/>
      <c r="D277" s="3"/>
      <c r="E277" s="3"/>
      <c r="F277" s="3"/>
      <c r="G277" s="3"/>
      <c r="H277" s="3"/>
      <c r="I277" s="3"/>
      <c r="J277" s="3"/>
      <c r="K277" s="3"/>
      <c r="L277" s="99"/>
      <c r="O277" s="3"/>
      <c r="P277" s="3"/>
      <c r="Q277" s="3"/>
      <c r="R277" s="3"/>
      <c r="S277" s="3"/>
      <c r="T277" s="3"/>
      <c r="U277" s="3"/>
      <c r="V277" s="3"/>
      <c r="W277" s="3"/>
      <c r="X277" s="3"/>
      <c r="Y277" s="3"/>
      <c r="Z277" s="3"/>
      <c r="AA277" s="3"/>
      <c r="AB277" s="3"/>
      <c r="AC277" s="3"/>
      <c r="AD277" s="3"/>
      <c r="AE277" s="3"/>
      <c r="AF277" s="3"/>
      <c r="AG277" s="3"/>
      <c r="AH277" s="3"/>
      <c r="AI277" s="3"/>
      <c r="AJ277" s="3"/>
      <c r="AK277" s="3"/>
      <c r="AL277" s="3"/>
    </row>
    <row r="278" spans="1:38" x14ac:dyDescent="0.25">
      <c r="A278" s="3"/>
      <c r="D278" s="3"/>
      <c r="E278" s="3"/>
      <c r="F278" s="3"/>
      <c r="G278" s="3"/>
      <c r="H278" s="3"/>
      <c r="I278" s="3"/>
      <c r="J278" s="3"/>
      <c r="K278" s="3"/>
      <c r="L278" s="99"/>
      <c r="O278" s="3"/>
      <c r="P278" s="3"/>
      <c r="Q278" s="3"/>
      <c r="R278" s="3"/>
      <c r="S278" s="3"/>
      <c r="T278" s="3"/>
      <c r="U278" s="3"/>
      <c r="V278" s="3"/>
      <c r="W278" s="3"/>
      <c r="X278" s="3"/>
      <c r="Y278" s="3"/>
      <c r="Z278" s="3"/>
      <c r="AA278" s="3"/>
      <c r="AB278" s="3"/>
      <c r="AC278" s="3"/>
      <c r="AD278" s="3"/>
      <c r="AE278" s="3"/>
      <c r="AF278" s="3"/>
      <c r="AG278" s="3"/>
      <c r="AH278" s="3"/>
      <c r="AI278" s="3"/>
      <c r="AJ278" s="3"/>
      <c r="AK278" s="3"/>
      <c r="AL278" s="3"/>
    </row>
    <row r="279" spans="1:38" x14ac:dyDescent="0.25">
      <c r="A279" s="3"/>
      <c r="D279" s="3"/>
      <c r="E279" s="3"/>
      <c r="F279" s="3"/>
      <c r="G279" s="3"/>
      <c r="H279" s="3"/>
      <c r="I279" s="3"/>
      <c r="J279" s="3"/>
      <c r="K279" s="3"/>
      <c r="L279" s="99"/>
      <c r="O279" s="3"/>
      <c r="P279" s="3"/>
      <c r="Q279" s="3"/>
      <c r="R279" s="3"/>
      <c r="S279" s="3"/>
      <c r="T279" s="3"/>
      <c r="U279" s="3"/>
      <c r="V279" s="3"/>
      <c r="W279" s="3"/>
      <c r="X279" s="3"/>
      <c r="Y279" s="3"/>
      <c r="Z279" s="3"/>
      <c r="AA279" s="3"/>
      <c r="AB279" s="3"/>
      <c r="AC279" s="3"/>
      <c r="AD279" s="3"/>
      <c r="AE279" s="3"/>
      <c r="AF279" s="3"/>
      <c r="AG279" s="3"/>
      <c r="AH279" s="3"/>
      <c r="AI279" s="3"/>
      <c r="AJ279" s="3"/>
      <c r="AK279" s="3"/>
      <c r="AL279" s="3"/>
    </row>
    <row r="280" spans="1:38" x14ac:dyDescent="0.25">
      <c r="A280" s="3"/>
      <c r="D280" s="3"/>
      <c r="E280" s="3"/>
      <c r="F280" s="3"/>
      <c r="G280" s="3"/>
      <c r="H280" s="3"/>
      <c r="I280" s="3"/>
      <c r="J280" s="3"/>
      <c r="K280" s="3"/>
      <c r="L280" s="99"/>
      <c r="O280" s="3"/>
      <c r="P280" s="3"/>
      <c r="Q280" s="3"/>
      <c r="R280" s="3"/>
      <c r="S280" s="3"/>
      <c r="T280" s="3"/>
      <c r="U280" s="3"/>
      <c r="V280" s="3"/>
      <c r="W280" s="3"/>
      <c r="X280" s="3"/>
      <c r="Y280" s="3"/>
      <c r="Z280" s="3"/>
      <c r="AA280" s="3"/>
      <c r="AB280" s="3"/>
      <c r="AC280" s="3"/>
      <c r="AD280" s="3"/>
      <c r="AE280" s="3"/>
      <c r="AF280" s="3"/>
      <c r="AG280" s="3"/>
      <c r="AH280" s="3"/>
      <c r="AI280" s="3"/>
      <c r="AJ280" s="3"/>
      <c r="AK280" s="3"/>
      <c r="AL280" s="3"/>
    </row>
    <row r="281" spans="1:38" x14ac:dyDescent="0.25">
      <c r="A281" s="3"/>
      <c r="D281" s="3"/>
      <c r="E281" s="3"/>
      <c r="F281" s="3"/>
      <c r="G281" s="3"/>
      <c r="H281" s="3"/>
      <c r="I281" s="3"/>
      <c r="J281" s="3"/>
      <c r="K281" s="3"/>
      <c r="L281" s="99"/>
      <c r="O281" s="3"/>
      <c r="P281" s="3"/>
      <c r="Q281" s="3"/>
      <c r="R281" s="3"/>
      <c r="S281" s="3"/>
      <c r="T281" s="3"/>
      <c r="U281" s="3"/>
      <c r="V281" s="3"/>
      <c r="W281" s="3"/>
      <c r="X281" s="3"/>
      <c r="Y281" s="3"/>
      <c r="Z281" s="3"/>
      <c r="AA281" s="3"/>
      <c r="AB281" s="3"/>
      <c r="AC281" s="3"/>
      <c r="AD281" s="3"/>
      <c r="AE281" s="3"/>
      <c r="AF281" s="3"/>
      <c r="AG281" s="3"/>
      <c r="AH281" s="3"/>
      <c r="AI281" s="3"/>
      <c r="AJ281" s="3"/>
      <c r="AK281" s="3"/>
      <c r="AL281" s="3"/>
    </row>
    <row r="282" spans="1:38" x14ac:dyDescent="0.25">
      <c r="A282" s="3"/>
      <c r="D282" s="3"/>
      <c r="E282" s="3"/>
      <c r="F282" s="3"/>
      <c r="G282" s="3"/>
      <c r="H282" s="3"/>
      <c r="I282" s="3"/>
      <c r="J282" s="3"/>
      <c r="K282" s="3"/>
      <c r="L282" s="99"/>
      <c r="O282" s="3"/>
      <c r="P282" s="3"/>
      <c r="Q282" s="3"/>
      <c r="R282" s="3"/>
      <c r="S282" s="3"/>
      <c r="T282" s="3"/>
      <c r="U282" s="3"/>
      <c r="V282" s="3"/>
      <c r="W282" s="3"/>
      <c r="X282" s="3"/>
      <c r="Y282" s="3"/>
      <c r="Z282" s="3"/>
      <c r="AA282" s="3"/>
      <c r="AB282" s="3"/>
      <c r="AC282" s="3"/>
      <c r="AD282" s="3"/>
      <c r="AE282" s="3"/>
      <c r="AF282" s="3"/>
      <c r="AG282" s="3"/>
      <c r="AH282" s="3"/>
      <c r="AI282" s="3"/>
      <c r="AJ282" s="3"/>
      <c r="AK282" s="3"/>
      <c r="AL282" s="3"/>
    </row>
    <row r="283" spans="1:38" x14ac:dyDescent="0.25">
      <c r="A283" s="3"/>
      <c r="D283" s="3"/>
      <c r="E283" s="3"/>
      <c r="F283" s="3"/>
      <c r="G283" s="3"/>
      <c r="H283" s="3"/>
      <c r="I283" s="3"/>
      <c r="J283" s="3"/>
      <c r="K283" s="3"/>
      <c r="L283" s="99"/>
      <c r="O283" s="3"/>
      <c r="P283" s="3"/>
      <c r="Q283" s="3"/>
      <c r="R283" s="3"/>
      <c r="S283" s="3"/>
      <c r="T283" s="3"/>
      <c r="U283" s="3"/>
      <c r="V283" s="3"/>
      <c r="W283" s="3"/>
      <c r="X283" s="3"/>
      <c r="Y283" s="3"/>
      <c r="Z283" s="3"/>
      <c r="AA283" s="3"/>
      <c r="AB283" s="3"/>
      <c r="AC283" s="3"/>
      <c r="AD283" s="3"/>
      <c r="AE283" s="3"/>
      <c r="AF283" s="3"/>
      <c r="AG283" s="3"/>
      <c r="AH283" s="3"/>
      <c r="AI283" s="3"/>
      <c r="AJ283" s="3"/>
      <c r="AK283" s="3"/>
      <c r="AL283" s="3"/>
    </row>
    <row r="284" spans="1:38" x14ac:dyDescent="0.25">
      <c r="A284" s="3"/>
      <c r="D284" s="3"/>
      <c r="E284" s="3"/>
      <c r="F284" s="3"/>
      <c r="G284" s="3"/>
      <c r="H284" s="3"/>
      <c r="I284" s="3"/>
      <c r="J284" s="3"/>
      <c r="K284" s="3"/>
      <c r="L284" s="99"/>
      <c r="O284" s="3"/>
      <c r="P284" s="3"/>
      <c r="Q284" s="3"/>
      <c r="R284" s="3"/>
      <c r="S284" s="3"/>
      <c r="T284" s="3"/>
      <c r="U284" s="3"/>
      <c r="V284" s="3"/>
      <c r="W284" s="3"/>
      <c r="X284" s="3"/>
      <c r="Y284" s="3"/>
      <c r="Z284" s="3"/>
      <c r="AA284" s="3"/>
      <c r="AB284" s="3"/>
      <c r="AC284" s="3"/>
      <c r="AD284" s="3"/>
      <c r="AE284" s="3"/>
      <c r="AF284" s="3"/>
      <c r="AG284" s="3"/>
      <c r="AH284" s="3"/>
      <c r="AI284" s="3"/>
      <c r="AJ284" s="3"/>
      <c r="AK284" s="3"/>
      <c r="AL284" s="3"/>
    </row>
    <row r="285" spans="1:38" x14ac:dyDescent="0.25">
      <c r="A285" s="3"/>
      <c r="D285" s="3"/>
      <c r="E285" s="3"/>
      <c r="F285" s="3"/>
      <c r="G285" s="3"/>
      <c r="H285" s="3"/>
      <c r="I285" s="3"/>
      <c r="J285" s="3"/>
      <c r="K285" s="3"/>
      <c r="L285" s="99"/>
      <c r="O285" s="3"/>
      <c r="P285" s="3"/>
      <c r="Q285" s="3"/>
      <c r="R285" s="3"/>
      <c r="S285" s="3"/>
      <c r="T285" s="3"/>
      <c r="U285" s="3"/>
      <c r="V285" s="3"/>
      <c r="W285" s="3"/>
      <c r="X285" s="3"/>
      <c r="Y285" s="3"/>
      <c r="Z285" s="3"/>
      <c r="AA285" s="3"/>
      <c r="AB285" s="3"/>
      <c r="AC285" s="3"/>
      <c r="AD285" s="3"/>
      <c r="AE285" s="3"/>
      <c r="AF285" s="3"/>
      <c r="AG285" s="3"/>
      <c r="AH285" s="3"/>
      <c r="AI285" s="3"/>
      <c r="AJ285" s="3"/>
      <c r="AK285" s="3"/>
      <c r="AL285" s="3"/>
    </row>
    <row r="286" spans="1:38" x14ac:dyDescent="0.25">
      <c r="A286" s="3"/>
      <c r="D286" s="3"/>
      <c r="E286" s="3"/>
      <c r="F286" s="3"/>
      <c r="G286" s="3"/>
      <c r="H286" s="3"/>
      <c r="I286" s="3"/>
      <c r="J286" s="3"/>
      <c r="K286" s="3"/>
      <c r="L286" s="99"/>
      <c r="O286" s="3"/>
      <c r="P286" s="3"/>
      <c r="Q286" s="3"/>
      <c r="R286" s="3"/>
      <c r="S286" s="3"/>
      <c r="T286" s="3"/>
      <c r="U286" s="3"/>
      <c r="V286" s="3"/>
      <c r="W286" s="3"/>
      <c r="X286" s="3"/>
      <c r="Y286" s="3"/>
      <c r="Z286" s="3"/>
      <c r="AA286" s="3"/>
      <c r="AB286" s="3"/>
      <c r="AC286" s="3"/>
      <c r="AD286" s="3"/>
      <c r="AE286" s="3"/>
      <c r="AF286" s="3"/>
      <c r="AG286" s="3"/>
      <c r="AH286" s="3"/>
      <c r="AI286" s="3"/>
      <c r="AJ286" s="3"/>
      <c r="AK286" s="3"/>
      <c r="AL286" s="3"/>
    </row>
    <row r="287" spans="1:38" x14ac:dyDescent="0.25">
      <c r="A287" s="3"/>
      <c r="D287" s="3"/>
      <c r="E287" s="3"/>
      <c r="F287" s="3"/>
      <c r="G287" s="3"/>
      <c r="H287" s="3"/>
      <c r="I287" s="3"/>
      <c r="J287" s="3"/>
      <c r="K287" s="3"/>
      <c r="L287" s="99"/>
      <c r="O287" s="3"/>
      <c r="P287" s="3"/>
      <c r="Q287" s="3"/>
      <c r="R287" s="3"/>
      <c r="S287" s="3"/>
      <c r="T287" s="3"/>
      <c r="U287" s="3"/>
      <c r="V287" s="3"/>
      <c r="W287" s="3"/>
      <c r="X287" s="3"/>
      <c r="Y287" s="3"/>
      <c r="Z287" s="3"/>
      <c r="AA287" s="3"/>
      <c r="AB287" s="3"/>
      <c r="AC287" s="3"/>
      <c r="AD287" s="3"/>
      <c r="AE287" s="3"/>
      <c r="AF287" s="3"/>
      <c r="AG287" s="3"/>
      <c r="AH287" s="3"/>
      <c r="AI287" s="3"/>
      <c r="AJ287" s="3"/>
      <c r="AK287" s="3"/>
      <c r="AL287" s="3"/>
    </row>
    <row r="288" spans="1:38" x14ac:dyDescent="0.25">
      <c r="A288" s="3"/>
      <c r="D288" s="3"/>
      <c r="E288" s="3"/>
      <c r="F288" s="3"/>
      <c r="G288" s="3"/>
      <c r="H288" s="3"/>
      <c r="I288" s="3"/>
      <c r="J288" s="3"/>
      <c r="K288" s="3"/>
      <c r="L288" s="99"/>
      <c r="O288" s="3"/>
      <c r="P288" s="3"/>
      <c r="Q288" s="3"/>
      <c r="R288" s="3"/>
      <c r="S288" s="3"/>
      <c r="T288" s="3"/>
      <c r="U288" s="3"/>
      <c r="V288" s="3"/>
      <c r="W288" s="3"/>
      <c r="X288" s="3"/>
      <c r="Y288" s="3"/>
      <c r="Z288" s="3"/>
      <c r="AA288" s="3"/>
      <c r="AB288" s="3"/>
      <c r="AC288" s="3"/>
      <c r="AD288" s="3"/>
      <c r="AE288" s="3"/>
      <c r="AF288" s="3"/>
      <c r="AG288" s="3"/>
      <c r="AH288" s="3"/>
      <c r="AI288" s="3"/>
      <c r="AJ288" s="3"/>
      <c r="AK288" s="3"/>
      <c r="AL288" s="3"/>
    </row>
    <row r="289" spans="1:38" x14ac:dyDescent="0.25">
      <c r="A289" s="3"/>
      <c r="D289" s="3"/>
      <c r="E289" s="3"/>
      <c r="F289" s="3"/>
      <c r="G289" s="3"/>
      <c r="H289" s="3"/>
      <c r="I289" s="3"/>
      <c r="J289" s="3"/>
      <c r="K289" s="3"/>
      <c r="L289" s="99"/>
      <c r="O289" s="3"/>
      <c r="P289" s="3"/>
      <c r="Q289" s="3"/>
      <c r="R289" s="3"/>
      <c r="S289" s="3"/>
      <c r="T289" s="3"/>
      <c r="U289" s="3"/>
      <c r="V289" s="3"/>
      <c r="W289" s="3"/>
      <c r="X289" s="3"/>
      <c r="Y289" s="3"/>
      <c r="Z289" s="3"/>
      <c r="AA289" s="3"/>
      <c r="AB289" s="3"/>
      <c r="AC289" s="3"/>
      <c r="AD289" s="3"/>
      <c r="AE289" s="3"/>
      <c r="AF289" s="3"/>
      <c r="AG289" s="3"/>
      <c r="AH289" s="3"/>
      <c r="AI289" s="3"/>
      <c r="AJ289" s="3"/>
      <c r="AK289" s="3"/>
      <c r="AL289" s="3"/>
    </row>
    <row r="290" spans="1:38" x14ac:dyDescent="0.25">
      <c r="A290" s="3"/>
      <c r="D290" s="3"/>
      <c r="E290" s="3"/>
      <c r="F290" s="3"/>
      <c r="G290" s="3"/>
      <c r="H290" s="3"/>
      <c r="I290" s="3"/>
      <c r="J290" s="3"/>
      <c r="K290" s="3"/>
      <c r="L290" s="99"/>
      <c r="O290" s="3"/>
      <c r="P290" s="3"/>
      <c r="Q290" s="3"/>
      <c r="R290" s="3"/>
      <c r="S290" s="3"/>
      <c r="T290" s="3"/>
      <c r="U290" s="3"/>
      <c r="V290" s="3"/>
      <c r="W290" s="3"/>
      <c r="X290" s="3"/>
      <c r="Y290" s="3"/>
      <c r="Z290" s="3"/>
      <c r="AA290" s="3"/>
      <c r="AB290" s="3"/>
      <c r="AC290" s="3"/>
      <c r="AD290" s="3"/>
      <c r="AE290" s="3"/>
      <c r="AF290" s="3"/>
      <c r="AG290" s="3"/>
      <c r="AH290" s="3"/>
      <c r="AI290" s="3"/>
      <c r="AJ290" s="3"/>
      <c r="AK290" s="3"/>
      <c r="AL290" s="3"/>
    </row>
    <row r="291" spans="1:38" x14ac:dyDescent="0.25">
      <c r="A291" s="3"/>
      <c r="D291" s="3"/>
      <c r="E291" s="3"/>
      <c r="F291" s="3"/>
      <c r="G291" s="3"/>
      <c r="H291" s="3"/>
      <c r="I291" s="3"/>
      <c r="J291" s="3"/>
      <c r="K291" s="3"/>
      <c r="L291" s="99"/>
      <c r="O291" s="3"/>
      <c r="P291" s="3"/>
      <c r="Q291" s="3"/>
      <c r="R291" s="3"/>
      <c r="S291" s="3"/>
      <c r="T291" s="3"/>
      <c r="U291" s="3"/>
      <c r="V291" s="3"/>
      <c r="W291" s="3"/>
      <c r="X291" s="3"/>
      <c r="Y291" s="3"/>
      <c r="Z291" s="3"/>
      <c r="AA291" s="3"/>
      <c r="AB291" s="3"/>
      <c r="AC291" s="3"/>
      <c r="AD291" s="3"/>
      <c r="AE291" s="3"/>
      <c r="AF291" s="3"/>
      <c r="AG291" s="3"/>
      <c r="AH291" s="3"/>
      <c r="AI291" s="3"/>
      <c r="AJ291" s="3"/>
      <c r="AK291" s="3"/>
      <c r="AL291" s="3"/>
    </row>
    <row r="292" spans="1:38" x14ac:dyDescent="0.25">
      <c r="A292" s="3"/>
      <c r="D292" s="3"/>
      <c r="E292" s="3"/>
      <c r="F292" s="3"/>
      <c r="G292" s="3"/>
      <c r="H292" s="3"/>
      <c r="I292" s="3"/>
      <c r="J292" s="3"/>
      <c r="K292" s="3"/>
      <c r="L292" s="99"/>
      <c r="O292" s="3"/>
      <c r="P292" s="3"/>
      <c r="Q292" s="3"/>
      <c r="R292" s="3"/>
      <c r="S292" s="3"/>
      <c r="T292" s="3"/>
      <c r="U292" s="3"/>
      <c r="V292" s="3"/>
      <c r="W292" s="3"/>
      <c r="X292" s="3"/>
      <c r="Y292" s="3"/>
      <c r="Z292" s="3"/>
      <c r="AA292" s="3"/>
      <c r="AB292" s="3"/>
      <c r="AC292" s="3"/>
      <c r="AD292" s="3"/>
      <c r="AE292" s="3"/>
      <c r="AF292" s="3"/>
      <c r="AG292" s="3"/>
      <c r="AH292" s="3"/>
      <c r="AI292" s="3"/>
      <c r="AJ292" s="3"/>
      <c r="AK292" s="3"/>
      <c r="AL292" s="3"/>
    </row>
    <row r="293" spans="1:38" x14ac:dyDescent="0.25">
      <c r="A293" s="3"/>
      <c r="D293" s="3"/>
      <c r="E293" s="3"/>
      <c r="F293" s="3"/>
      <c r="G293" s="3"/>
      <c r="H293" s="3"/>
      <c r="I293" s="3"/>
      <c r="J293" s="3"/>
      <c r="K293" s="3"/>
      <c r="L293" s="99"/>
      <c r="O293" s="3"/>
      <c r="P293" s="3"/>
      <c r="Q293" s="3"/>
      <c r="R293" s="3"/>
      <c r="S293" s="3"/>
      <c r="T293" s="3"/>
      <c r="U293" s="3"/>
      <c r="V293" s="3"/>
      <c r="W293" s="3"/>
      <c r="X293" s="3"/>
      <c r="Y293" s="3"/>
      <c r="Z293" s="3"/>
      <c r="AA293" s="3"/>
      <c r="AB293" s="3"/>
      <c r="AC293" s="3"/>
      <c r="AD293" s="3"/>
      <c r="AE293" s="3"/>
      <c r="AF293" s="3"/>
      <c r="AG293" s="3"/>
      <c r="AH293" s="3"/>
      <c r="AI293" s="3"/>
      <c r="AJ293" s="3"/>
      <c r="AK293" s="3"/>
      <c r="AL293" s="3"/>
    </row>
    <row r="294" spans="1:38" x14ac:dyDescent="0.25">
      <c r="A294" s="3"/>
      <c r="D294" s="3"/>
      <c r="E294" s="3"/>
      <c r="F294" s="3"/>
      <c r="G294" s="3"/>
      <c r="H294" s="3"/>
      <c r="I294" s="3"/>
      <c r="J294" s="3"/>
      <c r="K294" s="3"/>
      <c r="L294" s="99"/>
      <c r="O294" s="3"/>
      <c r="P294" s="3"/>
      <c r="Q294" s="3"/>
      <c r="R294" s="3"/>
      <c r="S294" s="3"/>
      <c r="T294" s="3"/>
      <c r="U294" s="3"/>
      <c r="V294" s="3"/>
      <c r="W294" s="3"/>
      <c r="X294" s="3"/>
      <c r="Y294" s="3"/>
      <c r="Z294" s="3"/>
      <c r="AA294" s="3"/>
      <c r="AB294" s="3"/>
      <c r="AC294" s="3"/>
      <c r="AD294" s="3"/>
      <c r="AE294" s="3"/>
      <c r="AF294" s="3"/>
      <c r="AG294" s="3"/>
      <c r="AH294" s="3"/>
      <c r="AI294" s="3"/>
      <c r="AJ294" s="3"/>
      <c r="AK294" s="3"/>
      <c r="AL294" s="3"/>
    </row>
    <row r="295" spans="1:38" x14ac:dyDescent="0.25">
      <c r="A295" s="3"/>
      <c r="D295" s="3"/>
      <c r="E295" s="3"/>
      <c r="F295" s="3"/>
      <c r="G295" s="3"/>
      <c r="H295" s="3"/>
      <c r="I295" s="3"/>
      <c r="J295" s="3"/>
      <c r="K295" s="3"/>
      <c r="L295" s="99"/>
      <c r="O295" s="3"/>
      <c r="P295" s="3"/>
      <c r="Q295" s="3"/>
      <c r="R295" s="3"/>
      <c r="S295" s="3"/>
      <c r="T295" s="3"/>
      <c r="U295" s="3"/>
      <c r="V295" s="3"/>
      <c r="W295" s="3"/>
      <c r="X295" s="3"/>
      <c r="Y295" s="3"/>
      <c r="Z295" s="3"/>
      <c r="AA295" s="3"/>
      <c r="AB295" s="3"/>
      <c r="AC295" s="3"/>
      <c r="AD295" s="3"/>
      <c r="AE295" s="3"/>
      <c r="AF295" s="3"/>
      <c r="AG295" s="3"/>
      <c r="AH295" s="3"/>
      <c r="AI295" s="3"/>
      <c r="AJ295" s="3"/>
      <c r="AK295" s="3"/>
      <c r="AL295" s="3"/>
    </row>
    <row r="296" spans="1:38" x14ac:dyDescent="0.25">
      <c r="A296" s="3"/>
      <c r="D296" s="3"/>
      <c r="E296" s="3"/>
      <c r="F296" s="3"/>
      <c r="G296" s="3"/>
      <c r="H296" s="3"/>
      <c r="I296" s="3"/>
      <c r="J296" s="3"/>
      <c r="K296" s="3"/>
      <c r="L296" s="99"/>
      <c r="O296" s="3"/>
      <c r="P296" s="3"/>
      <c r="Q296" s="3"/>
      <c r="R296" s="3"/>
      <c r="S296" s="3"/>
      <c r="T296" s="3"/>
      <c r="U296" s="3"/>
      <c r="V296" s="3"/>
      <c r="W296" s="3"/>
      <c r="X296" s="3"/>
      <c r="Y296" s="3"/>
      <c r="Z296" s="3"/>
      <c r="AA296" s="3"/>
      <c r="AB296" s="3"/>
      <c r="AC296" s="3"/>
      <c r="AD296" s="3"/>
      <c r="AE296" s="3"/>
      <c r="AF296" s="3"/>
      <c r="AG296" s="3"/>
      <c r="AH296" s="3"/>
      <c r="AI296" s="3"/>
      <c r="AJ296" s="3"/>
      <c r="AK296" s="3"/>
      <c r="AL296" s="3"/>
    </row>
    <row r="297" spans="1:38" x14ac:dyDescent="0.25">
      <c r="A297" s="3"/>
      <c r="D297" s="3"/>
      <c r="E297" s="3"/>
      <c r="F297" s="3"/>
      <c r="G297" s="3"/>
      <c r="H297" s="3"/>
      <c r="I297" s="3"/>
      <c r="J297" s="3"/>
      <c r="K297" s="3"/>
      <c r="L297" s="99"/>
      <c r="O297" s="3"/>
      <c r="P297" s="3"/>
      <c r="Q297" s="3"/>
      <c r="R297" s="3"/>
      <c r="S297" s="3"/>
      <c r="T297" s="3"/>
      <c r="U297" s="3"/>
      <c r="V297" s="3"/>
      <c r="W297" s="3"/>
      <c r="X297" s="3"/>
      <c r="Y297" s="3"/>
      <c r="Z297" s="3"/>
      <c r="AA297" s="3"/>
      <c r="AB297" s="3"/>
      <c r="AC297" s="3"/>
      <c r="AD297" s="3"/>
      <c r="AE297" s="3"/>
      <c r="AF297" s="3"/>
      <c r="AG297" s="3"/>
      <c r="AH297" s="3"/>
      <c r="AI297" s="3"/>
      <c r="AJ297" s="3"/>
      <c r="AK297" s="3"/>
      <c r="AL297" s="3"/>
    </row>
    <row r="298" spans="1:38" x14ac:dyDescent="0.25">
      <c r="A298" s="3"/>
      <c r="D298" s="3"/>
      <c r="E298" s="3"/>
      <c r="F298" s="3"/>
      <c r="G298" s="3"/>
      <c r="H298" s="3"/>
      <c r="I298" s="3"/>
      <c r="J298" s="3"/>
      <c r="K298" s="3"/>
      <c r="L298" s="99"/>
      <c r="O298" s="3"/>
      <c r="P298" s="3"/>
      <c r="Q298" s="3"/>
      <c r="R298" s="3"/>
      <c r="S298" s="3"/>
      <c r="T298" s="3"/>
      <c r="U298" s="3"/>
      <c r="V298" s="3"/>
      <c r="W298" s="3"/>
      <c r="X298" s="3"/>
      <c r="Y298" s="3"/>
      <c r="Z298" s="3"/>
      <c r="AA298" s="3"/>
      <c r="AB298" s="3"/>
      <c r="AC298" s="3"/>
      <c r="AD298" s="3"/>
      <c r="AE298" s="3"/>
      <c r="AF298" s="3"/>
      <c r="AG298" s="3"/>
      <c r="AH298" s="3"/>
      <c r="AI298" s="3"/>
      <c r="AJ298" s="3"/>
      <c r="AK298" s="3"/>
      <c r="AL298" s="3"/>
    </row>
    <row r="299" spans="1:38" x14ac:dyDescent="0.25">
      <c r="A299" s="3"/>
      <c r="D299" s="3"/>
      <c r="E299" s="3"/>
      <c r="F299" s="3"/>
      <c r="G299" s="3"/>
      <c r="H299" s="3"/>
      <c r="I299" s="3"/>
      <c r="J299" s="3"/>
      <c r="K299" s="3"/>
      <c r="L299" s="99"/>
      <c r="O299" s="3"/>
      <c r="P299" s="3"/>
      <c r="Q299" s="3"/>
      <c r="R299" s="3"/>
      <c r="S299" s="3"/>
      <c r="T299" s="3"/>
      <c r="U299" s="3"/>
      <c r="V299" s="3"/>
      <c r="W299" s="3"/>
      <c r="X299" s="3"/>
      <c r="Y299" s="3"/>
      <c r="Z299" s="3"/>
      <c r="AA299" s="3"/>
      <c r="AB299" s="3"/>
      <c r="AC299" s="3"/>
      <c r="AD299" s="3"/>
      <c r="AE299" s="3"/>
      <c r="AF299" s="3"/>
      <c r="AG299" s="3"/>
      <c r="AH299" s="3"/>
      <c r="AI299" s="3"/>
      <c r="AJ299" s="3"/>
      <c r="AK299" s="3"/>
      <c r="AL299" s="3"/>
    </row>
    <row r="300" spans="1:38" x14ac:dyDescent="0.25">
      <c r="A300" s="3"/>
      <c r="D300" s="3"/>
      <c r="E300" s="3"/>
      <c r="F300" s="3"/>
      <c r="G300" s="3"/>
      <c r="H300" s="3"/>
      <c r="I300" s="3"/>
      <c r="J300" s="3"/>
      <c r="K300" s="3"/>
      <c r="L300" s="99"/>
      <c r="O300" s="3"/>
      <c r="P300" s="3"/>
      <c r="Q300" s="3"/>
      <c r="R300" s="3"/>
      <c r="S300" s="3"/>
      <c r="T300" s="3"/>
      <c r="U300" s="3"/>
      <c r="V300" s="3"/>
      <c r="W300" s="3"/>
      <c r="X300" s="3"/>
      <c r="Y300" s="3"/>
      <c r="Z300" s="3"/>
      <c r="AA300" s="3"/>
      <c r="AB300" s="3"/>
      <c r="AC300" s="3"/>
      <c r="AD300" s="3"/>
      <c r="AE300" s="3"/>
      <c r="AF300" s="3"/>
      <c r="AG300" s="3"/>
      <c r="AH300" s="3"/>
      <c r="AI300" s="3"/>
      <c r="AJ300" s="3"/>
      <c r="AK300" s="3"/>
      <c r="AL300" s="3"/>
    </row>
    <row r="301" spans="1:38" x14ac:dyDescent="0.25">
      <c r="A301" s="3"/>
      <c r="D301" s="3"/>
      <c r="E301" s="3"/>
      <c r="F301" s="3"/>
      <c r="G301" s="3"/>
      <c r="H301" s="3"/>
      <c r="I301" s="3"/>
      <c r="J301" s="3"/>
      <c r="K301" s="3"/>
      <c r="L301" s="99"/>
      <c r="O301" s="3"/>
      <c r="P301" s="3"/>
      <c r="Q301" s="3"/>
      <c r="R301" s="3"/>
      <c r="S301" s="3"/>
      <c r="T301" s="3"/>
      <c r="U301" s="3"/>
      <c r="V301" s="3"/>
      <c r="W301" s="3"/>
      <c r="X301" s="3"/>
      <c r="Y301" s="3"/>
      <c r="Z301" s="3"/>
      <c r="AA301" s="3"/>
      <c r="AB301" s="3"/>
      <c r="AC301" s="3"/>
      <c r="AD301" s="3"/>
      <c r="AE301" s="3"/>
      <c r="AF301" s="3"/>
      <c r="AG301" s="3"/>
      <c r="AH301" s="3"/>
      <c r="AI301" s="3"/>
      <c r="AJ301" s="3"/>
      <c r="AK301" s="3"/>
      <c r="AL301" s="3"/>
    </row>
    <row r="302" spans="1:38" x14ac:dyDescent="0.25">
      <c r="A302" s="3"/>
      <c r="D302" s="3"/>
      <c r="E302" s="3"/>
      <c r="F302" s="3"/>
      <c r="G302" s="3"/>
      <c r="H302" s="3"/>
      <c r="I302" s="3"/>
      <c r="J302" s="3"/>
      <c r="K302" s="3"/>
      <c r="L302" s="99"/>
      <c r="O302" s="3"/>
      <c r="P302" s="3"/>
      <c r="Q302" s="3"/>
      <c r="R302" s="3"/>
      <c r="S302" s="3"/>
      <c r="T302" s="3"/>
      <c r="U302" s="3"/>
      <c r="V302" s="3"/>
      <c r="W302" s="3"/>
      <c r="X302" s="3"/>
      <c r="Y302" s="3"/>
      <c r="Z302" s="3"/>
      <c r="AA302" s="3"/>
      <c r="AB302" s="3"/>
      <c r="AC302" s="3"/>
      <c r="AD302" s="3"/>
      <c r="AE302" s="3"/>
      <c r="AF302" s="3"/>
      <c r="AG302" s="3"/>
      <c r="AH302" s="3"/>
      <c r="AI302" s="3"/>
      <c r="AJ302" s="3"/>
      <c r="AK302" s="3"/>
      <c r="AL302" s="3"/>
    </row>
    <row r="303" spans="1:38" x14ac:dyDescent="0.25">
      <c r="A303" s="3"/>
      <c r="D303" s="3"/>
      <c r="E303" s="3"/>
      <c r="F303" s="3"/>
      <c r="G303" s="3"/>
      <c r="H303" s="3"/>
      <c r="I303" s="3"/>
      <c r="J303" s="3"/>
      <c r="K303" s="3"/>
      <c r="L303" s="99"/>
      <c r="O303" s="3"/>
      <c r="P303" s="3"/>
      <c r="Q303" s="3"/>
      <c r="R303" s="3"/>
      <c r="S303" s="3"/>
      <c r="T303" s="3"/>
      <c r="U303" s="3"/>
      <c r="V303" s="3"/>
      <c r="W303" s="3"/>
      <c r="X303" s="3"/>
      <c r="Y303" s="3"/>
      <c r="Z303" s="3"/>
      <c r="AA303" s="3"/>
      <c r="AB303" s="3"/>
      <c r="AC303" s="3"/>
      <c r="AD303" s="3"/>
      <c r="AE303" s="3"/>
      <c r="AF303" s="3"/>
      <c r="AG303" s="3"/>
      <c r="AH303" s="3"/>
      <c r="AI303" s="3"/>
      <c r="AJ303" s="3"/>
      <c r="AK303" s="3"/>
      <c r="AL303" s="3"/>
    </row>
    <row r="304" spans="1:38" x14ac:dyDescent="0.25">
      <c r="A304" s="3"/>
      <c r="D304" s="3"/>
      <c r="E304" s="3"/>
      <c r="F304" s="3"/>
      <c r="G304" s="3"/>
      <c r="H304" s="3"/>
      <c r="I304" s="3"/>
      <c r="J304" s="3"/>
      <c r="K304" s="3"/>
      <c r="L304" s="99"/>
      <c r="O304" s="3"/>
      <c r="P304" s="3"/>
      <c r="Q304" s="3"/>
      <c r="R304" s="3"/>
      <c r="S304" s="3"/>
      <c r="T304" s="3"/>
      <c r="U304" s="3"/>
      <c r="V304" s="3"/>
      <c r="W304" s="3"/>
      <c r="X304" s="3"/>
      <c r="Y304" s="3"/>
      <c r="Z304" s="3"/>
      <c r="AA304" s="3"/>
      <c r="AB304" s="3"/>
      <c r="AC304" s="3"/>
      <c r="AD304" s="3"/>
      <c r="AE304" s="3"/>
      <c r="AF304" s="3"/>
      <c r="AG304" s="3"/>
      <c r="AH304" s="3"/>
      <c r="AI304" s="3"/>
      <c r="AJ304" s="3"/>
      <c r="AK304" s="3"/>
      <c r="AL304" s="3"/>
    </row>
    <row r="305" spans="1:38" x14ac:dyDescent="0.25">
      <c r="A305" s="3"/>
      <c r="D305" s="3"/>
      <c r="E305" s="3"/>
      <c r="F305" s="3"/>
      <c r="G305" s="3"/>
      <c r="H305" s="3"/>
      <c r="I305" s="3"/>
      <c r="J305" s="3"/>
      <c r="K305" s="3"/>
      <c r="L305" s="99"/>
      <c r="O305" s="3"/>
      <c r="P305" s="3"/>
      <c r="Q305" s="3"/>
      <c r="R305" s="3"/>
      <c r="S305" s="3"/>
      <c r="T305" s="3"/>
      <c r="U305" s="3"/>
      <c r="V305" s="3"/>
      <c r="W305" s="3"/>
      <c r="X305" s="3"/>
      <c r="Y305" s="3"/>
      <c r="Z305" s="3"/>
      <c r="AA305" s="3"/>
      <c r="AB305" s="3"/>
      <c r="AC305" s="3"/>
      <c r="AD305" s="3"/>
      <c r="AE305" s="3"/>
      <c r="AF305" s="3"/>
      <c r="AG305" s="3"/>
      <c r="AH305" s="3"/>
      <c r="AI305" s="3"/>
      <c r="AJ305" s="3"/>
      <c r="AK305" s="3"/>
      <c r="AL305" s="3"/>
    </row>
    <row r="306" spans="1:38" x14ac:dyDescent="0.25">
      <c r="A306" s="3"/>
      <c r="D306" s="3"/>
      <c r="E306" s="3"/>
      <c r="F306" s="3"/>
      <c r="G306" s="3"/>
      <c r="H306" s="3"/>
      <c r="I306" s="3"/>
      <c r="J306" s="3"/>
      <c r="K306" s="3"/>
      <c r="L306" s="99"/>
      <c r="O306" s="3"/>
      <c r="P306" s="3"/>
      <c r="Q306" s="3"/>
      <c r="R306" s="3"/>
      <c r="S306" s="3"/>
      <c r="T306" s="3"/>
      <c r="U306" s="3"/>
      <c r="V306" s="3"/>
      <c r="W306" s="3"/>
      <c r="X306" s="3"/>
      <c r="Y306" s="3"/>
      <c r="Z306" s="3"/>
      <c r="AA306" s="3"/>
      <c r="AB306" s="3"/>
      <c r="AC306" s="3"/>
      <c r="AD306" s="3"/>
      <c r="AE306" s="3"/>
      <c r="AF306" s="3"/>
      <c r="AG306" s="3"/>
      <c r="AH306" s="3"/>
      <c r="AI306" s="3"/>
      <c r="AJ306" s="3"/>
      <c r="AK306" s="3"/>
      <c r="AL306" s="3"/>
    </row>
    <row r="307" spans="1:38" x14ac:dyDescent="0.25">
      <c r="A307" s="3"/>
      <c r="D307" s="3"/>
      <c r="E307" s="3"/>
      <c r="F307" s="3"/>
      <c r="G307" s="3"/>
      <c r="H307" s="3"/>
      <c r="I307" s="3"/>
      <c r="J307" s="3"/>
      <c r="K307" s="3"/>
      <c r="L307" s="99"/>
      <c r="O307" s="3"/>
      <c r="P307" s="3"/>
      <c r="Q307" s="3"/>
      <c r="R307" s="3"/>
      <c r="S307" s="3"/>
      <c r="T307" s="3"/>
      <c r="U307" s="3"/>
      <c r="V307" s="3"/>
      <c r="W307" s="3"/>
      <c r="X307" s="3"/>
      <c r="Y307" s="3"/>
      <c r="Z307" s="3"/>
      <c r="AA307" s="3"/>
      <c r="AB307" s="3"/>
      <c r="AC307" s="3"/>
      <c r="AD307" s="3"/>
      <c r="AE307" s="3"/>
      <c r="AF307" s="3"/>
      <c r="AG307" s="3"/>
      <c r="AH307" s="3"/>
      <c r="AI307" s="3"/>
      <c r="AJ307" s="3"/>
      <c r="AK307" s="3"/>
      <c r="AL307" s="3"/>
    </row>
    <row r="308" spans="1:38" x14ac:dyDescent="0.25">
      <c r="A308" s="3"/>
      <c r="D308" s="3"/>
      <c r="E308" s="3"/>
      <c r="F308" s="3"/>
      <c r="G308" s="3"/>
      <c r="H308" s="3"/>
      <c r="I308" s="3"/>
      <c r="J308" s="3"/>
      <c r="K308" s="3"/>
      <c r="L308" s="99"/>
      <c r="O308" s="3"/>
      <c r="P308" s="3"/>
      <c r="Q308" s="3"/>
      <c r="R308" s="3"/>
      <c r="S308" s="3"/>
      <c r="T308" s="3"/>
      <c r="U308" s="3"/>
      <c r="V308" s="3"/>
      <c r="W308" s="3"/>
      <c r="X308" s="3"/>
      <c r="Y308" s="3"/>
      <c r="Z308" s="3"/>
      <c r="AA308" s="3"/>
      <c r="AB308" s="3"/>
      <c r="AC308" s="3"/>
      <c r="AD308" s="3"/>
      <c r="AE308" s="3"/>
      <c r="AF308" s="3"/>
      <c r="AG308" s="3"/>
      <c r="AH308" s="3"/>
      <c r="AI308" s="3"/>
      <c r="AJ308" s="3"/>
      <c r="AK308" s="3"/>
      <c r="AL308" s="3"/>
    </row>
    <row r="309" spans="1:38" x14ac:dyDescent="0.25">
      <c r="A309" s="3"/>
      <c r="D309" s="3"/>
      <c r="E309" s="3"/>
      <c r="F309" s="3"/>
      <c r="G309" s="3"/>
      <c r="H309" s="3"/>
      <c r="I309" s="3"/>
      <c r="J309" s="3"/>
      <c r="K309" s="3"/>
      <c r="L309" s="99"/>
      <c r="O309" s="3"/>
      <c r="P309" s="3"/>
      <c r="Q309" s="3"/>
      <c r="R309" s="3"/>
      <c r="S309" s="3"/>
      <c r="T309" s="3"/>
      <c r="U309" s="3"/>
      <c r="V309" s="3"/>
      <c r="W309" s="3"/>
      <c r="X309" s="3"/>
      <c r="Y309" s="3"/>
      <c r="Z309" s="3"/>
      <c r="AA309" s="3"/>
      <c r="AB309" s="3"/>
      <c r="AC309" s="3"/>
      <c r="AD309" s="3"/>
      <c r="AE309" s="3"/>
      <c r="AF309" s="3"/>
      <c r="AG309" s="3"/>
      <c r="AH309" s="3"/>
      <c r="AI309" s="3"/>
      <c r="AJ309" s="3"/>
      <c r="AK309" s="3"/>
      <c r="AL309" s="3"/>
    </row>
    <row r="310" spans="1:38" x14ac:dyDescent="0.25">
      <c r="A310" s="3"/>
      <c r="D310" s="3"/>
      <c r="E310" s="3"/>
      <c r="F310" s="3"/>
      <c r="G310" s="3"/>
      <c r="H310" s="3"/>
      <c r="I310" s="3"/>
      <c r="J310" s="3"/>
      <c r="K310" s="3"/>
      <c r="L310" s="99"/>
      <c r="O310" s="3"/>
      <c r="P310" s="3"/>
      <c r="Q310" s="3"/>
      <c r="R310" s="3"/>
      <c r="S310" s="3"/>
      <c r="T310" s="3"/>
      <c r="U310" s="3"/>
      <c r="V310" s="3"/>
      <c r="W310" s="3"/>
      <c r="X310" s="3"/>
      <c r="Y310" s="3"/>
      <c r="Z310" s="3"/>
      <c r="AA310" s="3"/>
      <c r="AB310" s="3"/>
      <c r="AC310" s="3"/>
      <c r="AD310" s="3"/>
      <c r="AE310" s="3"/>
      <c r="AF310" s="3"/>
      <c r="AG310" s="3"/>
      <c r="AH310" s="3"/>
      <c r="AI310" s="3"/>
      <c r="AJ310" s="3"/>
      <c r="AK310" s="3"/>
      <c r="AL310" s="3"/>
    </row>
    <row r="311" spans="1:38" x14ac:dyDescent="0.25">
      <c r="A311" s="3"/>
      <c r="D311" s="3"/>
      <c r="E311" s="3"/>
      <c r="F311" s="3"/>
      <c r="G311" s="3"/>
      <c r="H311" s="3"/>
      <c r="I311" s="3"/>
      <c r="J311" s="3"/>
      <c r="K311" s="3"/>
      <c r="L311" s="99"/>
      <c r="O311" s="3"/>
      <c r="P311" s="3"/>
      <c r="Q311" s="3"/>
      <c r="R311" s="3"/>
      <c r="S311" s="3"/>
      <c r="T311" s="3"/>
      <c r="U311" s="3"/>
      <c r="V311" s="3"/>
      <c r="W311" s="3"/>
      <c r="X311" s="3"/>
      <c r="Y311" s="3"/>
      <c r="Z311" s="3"/>
      <c r="AA311" s="3"/>
      <c r="AB311" s="3"/>
      <c r="AC311" s="3"/>
      <c r="AD311" s="3"/>
      <c r="AE311" s="3"/>
      <c r="AF311" s="3"/>
      <c r="AG311" s="3"/>
      <c r="AH311" s="3"/>
      <c r="AI311" s="3"/>
      <c r="AJ311" s="3"/>
      <c r="AK311" s="3"/>
      <c r="AL311" s="3"/>
    </row>
    <row r="312" spans="1:38" x14ac:dyDescent="0.25">
      <c r="A312" s="3"/>
      <c r="D312" s="3"/>
      <c r="E312" s="3"/>
      <c r="F312" s="3"/>
      <c r="G312" s="3"/>
      <c r="H312" s="3"/>
      <c r="I312" s="3"/>
      <c r="J312" s="3"/>
      <c r="K312" s="3"/>
      <c r="L312" s="99"/>
      <c r="O312" s="3"/>
      <c r="P312" s="3"/>
      <c r="Q312" s="3"/>
      <c r="R312" s="3"/>
      <c r="S312" s="3"/>
      <c r="T312" s="3"/>
      <c r="U312" s="3"/>
      <c r="V312" s="3"/>
      <c r="W312" s="3"/>
      <c r="X312" s="3"/>
      <c r="Y312" s="3"/>
      <c r="Z312" s="3"/>
      <c r="AA312" s="3"/>
      <c r="AB312" s="3"/>
      <c r="AC312" s="3"/>
      <c r="AD312" s="3"/>
      <c r="AE312" s="3"/>
      <c r="AF312" s="3"/>
      <c r="AG312" s="3"/>
      <c r="AH312" s="3"/>
      <c r="AI312" s="3"/>
      <c r="AJ312" s="3"/>
      <c r="AK312" s="3"/>
      <c r="AL312" s="3"/>
    </row>
    <row r="313" spans="1:38" x14ac:dyDescent="0.25">
      <c r="A313" s="3"/>
      <c r="D313" s="3"/>
      <c r="E313" s="3"/>
      <c r="F313" s="3"/>
      <c r="G313" s="3"/>
      <c r="H313" s="3"/>
      <c r="I313" s="3"/>
      <c r="J313" s="3"/>
      <c r="K313" s="3"/>
      <c r="L313" s="99"/>
      <c r="O313" s="3"/>
      <c r="P313" s="3"/>
      <c r="Q313" s="3"/>
      <c r="R313" s="3"/>
      <c r="S313" s="3"/>
      <c r="T313" s="3"/>
      <c r="U313" s="3"/>
      <c r="V313" s="3"/>
      <c r="W313" s="3"/>
      <c r="X313" s="3"/>
      <c r="Y313" s="3"/>
      <c r="Z313" s="3"/>
      <c r="AA313" s="3"/>
      <c r="AB313" s="3"/>
      <c r="AC313" s="3"/>
      <c r="AD313" s="3"/>
      <c r="AE313" s="3"/>
      <c r="AF313" s="3"/>
      <c r="AG313" s="3"/>
      <c r="AH313" s="3"/>
      <c r="AI313" s="3"/>
      <c r="AJ313" s="3"/>
      <c r="AK313" s="3"/>
      <c r="AL313" s="3"/>
    </row>
    <row r="314" spans="1:38" x14ac:dyDescent="0.25">
      <c r="A314" s="3"/>
      <c r="D314" s="3"/>
      <c r="E314" s="3"/>
      <c r="F314" s="3"/>
      <c r="G314" s="3"/>
      <c r="H314" s="3"/>
      <c r="I314" s="3"/>
      <c r="J314" s="3"/>
      <c r="K314" s="3"/>
      <c r="L314" s="99"/>
      <c r="O314" s="3"/>
      <c r="P314" s="3"/>
      <c r="Q314" s="3"/>
      <c r="R314" s="3"/>
      <c r="S314" s="3"/>
      <c r="T314" s="3"/>
      <c r="U314" s="3"/>
      <c r="V314" s="3"/>
      <c r="W314" s="3"/>
      <c r="X314" s="3"/>
      <c r="Y314" s="3"/>
      <c r="Z314" s="3"/>
      <c r="AA314" s="3"/>
      <c r="AB314" s="3"/>
      <c r="AC314" s="3"/>
      <c r="AD314" s="3"/>
      <c r="AE314" s="3"/>
      <c r="AF314" s="3"/>
      <c r="AG314" s="3"/>
      <c r="AH314" s="3"/>
      <c r="AI314" s="3"/>
      <c r="AJ314" s="3"/>
      <c r="AK314" s="3"/>
      <c r="AL314" s="3"/>
    </row>
    <row r="315" spans="1:38" x14ac:dyDescent="0.25">
      <c r="A315" s="3"/>
      <c r="D315" s="3"/>
      <c r="E315" s="3"/>
      <c r="F315" s="3"/>
      <c r="G315" s="3"/>
      <c r="H315" s="3"/>
      <c r="I315" s="3"/>
      <c r="J315" s="3"/>
      <c r="K315" s="3"/>
      <c r="L315" s="99"/>
      <c r="O315" s="3"/>
      <c r="P315" s="3"/>
      <c r="Q315" s="3"/>
      <c r="R315" s="3"/>
      <c r="S315" s="3"/>
      <c r="T315" s="3"/>
      <c r="U315" s="3"/>
      <c r="V315" s="3"/>
      <c r="W315" s="3"/>
      <c r="X315" s="3"/>
      <c r="Y315" s="3"/>
      <c r="Z315" s="3"/>
      <c r="AA315" s="3"/>
      <c r="AB315" s="3"/>
      <c r="AC315" s="3"/>
      <c r="AD315" s="3"/>
      <c r="AE315" s="3"/>
      <c r="AF315" s="3"/>
      <c r="AG315" s="3"/>
      <c r="AH315" s="3"/>
      <c r="AI315" s="3"/>
      <c r="AJ315" s="3"/>
      <c r="AK315" s="3"/>
      <c r="AL315" s="3"/>
    </row>
    <row r="316" spans="1:38" x14ac:dyDescent="0.25">
      <c r="A316" s="3"/>
      <c r="D316" s="3"/>
      <c r="E316" s="3"/>
      <c r="F316" s="3"/>
      <c r="G316" s="3"/>
      <c r="H316" s="3"/>
      <c r="I316" s="3"/>
      <c r="J316" s="3"/>
      <c r="K316" s="3"/>
      <c r="L316" s="99"/>
      <c r="O316" s="3"/>
      <c r="P316" s="3"/>
      <c r="Q316" s="3"/>
      <c r="R316" s="3"/>
      <c r="S316" s="3"/>
      <c r="T316" s="3"/>
      <c r="U316" s="3"/>
      <c r="V316" s="3"/>
      <c r="W316" s="3"/>
      <c r="X316" s="3"/>
      <c r="Y316" s="3"/>
      <c r="Z316" s="3"/>
      <c r="AA316" s="3"/>
      <c r="AB316" s="3"/>
      <c r="AC316" s="3"/>
      <c r="AD316" s="3"/>
      <c r="AE316" s="3"/>
      <c r="AF316" s="3"/>
      <c r="AG316" s="3"/>
      <c r="AH316" s="3"/>
      <c r="AI316" s="3"/>
      <c r="AJ316" s="3"/>
      <c r="AK316" s="3"/>
      <c r="AL316" s="3"/>
    </row>
    <row r="317" spans="1:38" x14ac:dyDescent="0.25">
      <c r="A317" s="3"/>
      <c r="D317" s="3"/>
      <c r="E317" s="3"/>
      <c r="F317" s="3"/>
      <c r="G317" s="3"/>
      <c r="H317" s="3"/>
      <c r="I317" s="3"/>
      <c r="J317" s="3"/>
      <c r="K317" s="3"/>
      <c r="L317" s="99"/>
      <c r="O317" s="3"/>
      <c r="P317" s="3"/>
      <c r="Q317" s="3"/>
      <c r="R317" s="3"/>
      <c r="S317" s="3"/>
      <c r="T317" s="3"/>
      <c r="U317" s="3"/>
      <c r="V317" s="3"/>
      <c r="W317" s="3"/>
      <c r="X317" s="3"/>
      <c r="Y317" s="3"/>
      <c r="Z317" s="3"/>
      <c r="AA317" s="3"/>
      <c r="AB317" s="3"/>
      <c r="AC317" s="3"/>
      <c r="AD317" s="3"/>
      <c r="AE317" s="3"/>
      <c r="AF317" s="3"/>
      <c r="AG317" s="3"/>
      <c r="AH317" s="3"/>
      <c r="AI317" s="3"/>
      <c r="AJ317" s="3"/>
      <c r="AK317" s="3"/>
      <c r="AL317" s="3"/>
    </row>
    <row r="318" spans="1:38" x14ac:dyDescent="0.25">
      <c r="A318" s="3"/>
      <c r="D318" s="3"/>
      <c r="E318" s="3"/>
      <c r="F318" s="3"/>
      <c r="G318" s="3"/>
      <c r="H318" s="3"/>
      <c r="I318" s="3"/>
      <c r="J318" s="3"/>
      <c r="K318" s="3"/>
      <c r="L318" s="99"/>
      <c r="O318" s="3"/>
      <c r="P318" s="3"/>
      <c r="Q318" s="3"/>
      <c r="R318" s="3"/>
      <c r="S318" s="3"/>
      <c r="T318" s="3"/>
      <c r="U318" s="3"/>
      <c r="V318" s="3"/>
      <c r="W318" s="3"/>
      <c r="X318" s="3"/>
      <c r="Y318" s="3"/>
      <c r="Z318" s="3"/>
      <c r="AA318" s="3"/>
      <c r="AB318" s="3"/>
      <c r="AC318" s="3"/>
      <c r="AD318" s="3"/>
      <c r="AE318" s="3"/>
      <c r="AF318" s="3"/>
      <c r="AG318" s="3"/>
      <c r="AH318" s="3"/>
      <c r="AI318" s="3"/>
      <c r="AJ318" s="3"/>
      <c r="AK318" s="3"/>
      <c r="AL318" s="3"/>
    </row>
    <row r="319" spans="1:38" x14ac:dyDescent="0.25">
      <c r="A319" s="3"/>
      <c r="D319" s="3"/>
      <c r="E319" s="3"/>
      <c r="F319" s="3"/>
      <c r="G319" s="3"/>
      <c r="H319" s="3"/>
      <c r="I319" s="3"/>
      <c r="J319" s="3"/>
      <c r="K319" s="3"/>
      <c r="L319" s="99"/>
      <c r="O319" s="3"/>
      <c r="P319" s="3"/>
      <c r="Q319" s="3"/>
      <c r="R319" s="3"/>
      <c r="S319" s="3"/>
      <c r="T319" s="3"/>
      <c r="U319" s="3"/>
      <c r="V319" s="3"/>
      <c r="W319" s="3"/>
      <c r="X319" s="3"/>
      <c r="Y319" s="3"/>
      <c r="Z319" s="3"/>
      <c r="AA319" s="3"/>
      <c r="AB319" s="3"/>
      <c r="AC319" s="3"/>
      <c r="AD319" s="3"/>
      <c r="AE319" s="3"/>
      <c r="AF319" s="3"/>
      <c r="AG319" s="3"/>
      <c r="AH319" s="3"/>
      <c r="AI319" s="3"/>
      <c r="AJ319" s="3"/>
      <c r="AK319" s="3"/>
      <c r="AL319" s="3"/>
    </row>
    <row r="320" spans="1:38" x14ac:dyDescent="0.25">
      <c r="A320" s="3"/>
      <c r="D320" s="3"/>
      <c r="E320" s="3"/>
      <c r="F320" s="3"/>
      <c r="G320" s="3"/>
      <c r="H320" s="3"/>
      <c r="I320" s="3"/>
      <c r="J320" s="3"/>
      <c r="K320" s="3"/>
      <c r="L320" s="99"/>
      <c r="O320" s="3"/>
      <c r="P320" s="3"/>
      <c r="Q320" s="3"/>
      <c r="R320" s="3"/>
      <c r="S320" s="3"/>
      <c r="T320" s="3"/>
      <c r="U320" s="3"/>
      <c r="V320" s="3"/>
      <c r="W320" s="3"/>
      <c r="X320" s="3"/>
      <c r="Y320" s="3"/>
      <c r="Z320" s="3"/>
      <c r="AA320" s="3"/>
      <c r="AB320" s="3"/>
      <c r="AC320" s="3"/>
      <c r="AD320" s="3"/>
      <c r="AE320" s="3"/>
      <c r="AF320" s="3"/>
      <c r="AG320" s="3"/>
      <c r="AH320" s="3"/>
      <c r="AI320" s="3"/>
      <c r="AJ320" s="3"/>
      <c r="AK320" s="3"/>
      <c r="AL320" s="3"/>
    </row>
    <row r="321" spans="1:38" x14ac:dyDescent="0.25">
      <c r="A321" s="3"/>
      <c r="D321" s="3"/>
      <c r="E321" s="3"/>
      <c r="F321" s="3"/>
      <c r="G321" s="3"/>
      <c r="H321" s="3"/>
      <c r="I321" s="3"/>
      <c r="J321" s="3"/>
      <c r="K321" s="3"/>
      <c r="L321" s="99"/>
      <c r="O321" s="3"/>
      <c r="P321" s="3"/>
      <c r="Q321" s="3"/>
      <c r="R321" s="3"/>
      <c r="S321" s="3"/>
      <c r="T321" s="3"/>
      <c r="U321" s="3"/>
      <c r="V321" s="3"/>
      <c r="W321" s="3"/>
      <c r="X321" s="3"/>
      <c r="Y321" s="3"/>
      <c r="Z321" s="3"/>
      <c r="AA321" s="3"/>
      <c r="AB321" s="3"/>
      <c r="AC321" s="3"/>
      <c r="AD321" s="3"/>
      <c r="AE321" s="3"/>
      <c r="AF321" s="3"/>
      <c r="AG321" s="3"/>
      <c r="AH321" s="3"/>
      <c r="AI321" s="3"/>
      <c r="AJ321" s="3"/>
      <c r="AK321" s="3"/>
      <c r="AL321" s="3"/>
    </row>
    <row r="322" spans="1:38" x14ac:dyDescent="0.25">
      <c r="A322" s="3"/>
      <c r="D322" s="3"/>
      <c r="E322" s="3"/>
      <c r="F322" s="3"/>
      <c r="G322" s="3"/>
      <c r="H322" s="3"/>
      <c r="I322" s="3"/>
      <c r="J322" s="3"/>
      <c r="K322" s="3"/>
      <c r="L322" s="99"/>
      <c r="O322" s="3"/>
      <c r="P322" s="3"/>
      <c r="Q322" s="3"/>
      <c r="R322" s="3"/>
      <c r="S322" s="3"/>
      <c r="T322" s="3"/>
      <c r="U322" s="3"/>
      <c r="V322" s="3"/>
      <c r="W322" s="3"/>
      <c r="X322" s="3"/>
      <c r="Y322" s="3"/>
      <c r="Z322" s="3"/>
      <c r="AA322" s="3"/>
      <c r="AB322" s="3"/>
      <c r="AC322" s="3"/>
      <c r="AD322" s="3"/>
      <c r="AE322" s="3"/>
      <c r="AF322" s="3"/>
      <c r="AG322" s="3"/>
      <c r="AH322" s="3"/>
      <c r="AI322" s="3"/>
      <c r="AJ322" s="3"/>
      <c r="AK322" s="3"/>
      <c r="AL322" s="3"/>
    </row>
    <row r="323" spans="1:38" x14ac:dyDescent="0.25">
      <c r="A323" s="3"/>
      <c r="D323" s="3"/>
      <c r="E323" s="3"/>
      <c r="F323" s="3"/>
      <c r="G323" s="3"/>
      <c r="H323" s="3"/>
      <c r="I323" s="3"/>
      <c r="J323" s="3"/>
      <c r="K323" s="3"/>
      <c r="L323" s="99"/>
      <c r="O323" s="3"/>
      <c r="P323" s="3"/>
      <c r="Q323" s="3"/>
      <c r="R323" s="3"/>
      <c r="S323" s="3"/>
      <c r="T323" s="3"/>
      <c r="U323" s="3"/>
      <c r="V323" s="3"/>
      <c r="W323" s="3"/>
      <c r="X323" s="3"/>
      <c r="Y323" s="3"/>
      <c r="Z323" s="3"/>
      <c r="AA323" s="3"/>
      <c r="AB323" s="3"/>
      <c r="AC323" s="3"/>
      <c r="AD323" s="3"/>
      <c r="AE323" s="3"/>
      <c r="AF323" s="3"/>
      <c r="AG323" s="3"/>
      <c r="AH323" s="3"/>
      <c r="AI323" s="3"/>
      <c r="AJ323" s="3"/>
      <c r="AK323" s="3"/>
      <c r="AL323" s="3"/>
    </row>
    <row r="324" spans="1:38" x14ac:dyDescent="0.25">
      <c r="A324" s="3"/>
      <c r="D324" s="3"/>
      <c r="E324" s="3"/>
      <c r="F324" s="3"/>
      <c r="G324" s="3"/>
      <c r="H324" s="3"/>
      <c r="I324" s="3"/>
      <c r="J324" s="3"/>
      <c r="K324" s="3"/>
      <c r="L324" s="99"/>
      <c r="O324" s="3"/>
      <c r="P324" s="3"/>
      <c r="Q324" s="3"/>
      <c r="R324" s="3"/>
      <c r="S324" s="3"/>
      <c r="T324" s="3"/>
      <c r="U324" s="3"/>
      <c r="V324" s="3"/>
      <c r="W324" s="3"/>
      <c r="X324" s="3"/>
      <c r="Y324" s="3"/>
      <c r="Z324" s="3"/>
      <c r="AA324" s="3"/>
      <c r="AB324" s="3"/>
      <c r="AC324" s="3"/>
      <c r="AD324" s="3"/>
      <c r="AE324" s="3"/>
      <c r="AF324" s="3"/>
      <c r="AG324" s="3"/>
      <c r="AH324" s="3"/>
      <c r="AI324" s="3"/>
      <c r="AJ324" s="3"/>
      <c r="AK324" s="3"/>
      <c r="AL324" s="3"/>
    </row>
    <row r="325" spans="1:38" x14ac:dyDescent="0.25">
      <c r="A325" s="3"/>
      <c r="D325" s="3"/>
      <c r="E325" s="3"/>
      <c r="F325" s="3"/>
      <c r="G325" s="3"/>
      <c r="H325" s="3"/>
      <c r="I325" s="3"/>
      <c r="J325" s="3"/>
      <c r="K325" s="3"/>
      <c r="L325" s="99"/>
      <c r="O325" s="3"/>
      <c r="P325" s="3"/>
      <c r="Q325" s="3"/>
      <c r="R325" s="3"/>
      <c r="S325" s="3"/>
      <c r="T325" s="3"/>
      <c r="U325" s="3"/>
      <c r="V325" s="3"/>
      <c r="W325" s="3"/>
      <c r="X325" s="3"/>
      <c r="Y325" s="3"/>
      <c r="Z325" s="3"/>
      <c r="AA325" s="3"/>
      <c r="AB325" s="3"/>
      <c r="AC325" s="3"/>
      <c r="AD325" s="3"/>
      <c r="AE325" s="3"/>
      <c r="AF325" s="3"/>
      <c r="AG325" s="3"/>
      <c r="AH325" s="3"/>
      <c r="AI325" s="3"/>
      <c r="AJ325" s="3"/>
      <c r="AK325" s="3"/>
      <c r="AL325" s="3"/>
    </row>
    <row r="326" spans="1:38" x14ac:dyDescent="0.25">
      <c r="A326" s="3"/>
      <c r="D326" s="3"/>
      <c r="E326" s="3"/>
      <c r="F326" s="3"/>
      <c r="G326" s="3"/>
      <c r="H326" s="3"/>
      <c r="I326" s="3"/>
      <c r="J326" s="3"/>
      <c r="K326" s="3"/>
      <c r="L326" s="99"/>
      <c r="O326" s="3"/>
      <c r="P326" s="3"/>
      <c r="Q326" s="3"/>
      <c r="R326" s="3"/>
      <c r="S326" s="3"/>
      <c r="T326" s="3"/>
      <c r="U326" s="3"/>
      <c r="V326" s="3"/>
      <c r="W326" s="3"/>
      <c r="X326" s="3"/>
      <c r="Y326" s="3"/>
      <c r="Z326" s="3"/>
      <c r="AA326" s="3"/>
      <c r="AB326" s="3"/>
      <c r="AC326" s="3"/>
      <c r="AD326" s="3"/>
      <c r="AE326" s="3"/>
      <c r="AF326" s="3"/>
      <c r="AG326" s="3"/>
      <c r="AH326" s="3"/>
      <c r="AI326" s="3"/>
      <c r="AJ326" s="3"/>
      <c r="AK326" s="3"/>
      <c r="AL326" s="3"/>
    </row>
    <row r="327" spans="1:38" x14ac:dyDescent="0.25">
      <c r="A327" s="3"/>
      <c r="D327" s="3"/>
      <c r="E327" s="3"/>
      <c r="F327" s="3"/>
      <c r="G327" s="3"/>
      <c r="H327" s="3"/>
      <c r="I327" s="3"/>
      <c r="J327" s="3"/>
      <c r="K327" s="3"/>
      <c r="L327" s="99"/>
      <c r="O327" s="3"/>
      <c r="P327" s="3"/>
      <c r="Q327" s="3"/>
      <c r="R327" s="3"/>
      <c r="S327" s="3"/>
      <c r="T327" s="3"/>
      <c r="U327" s="3"/>
      <c r="V327" s="3"/>
      <c r="W327" s="3"/>
      <c r="X327" s="3"/>
      <c r="Y327" s="3"/>
      <c r="Z327" s="3"/>
      <c r="AA327" s="3"/>
      <c r="AB327" s="3"/>
      <c r="AC327" s="3"/>
      <c r="AD327" s="3"/>
      <c r="AE327" s="3"/>
      <c r="AF327" s="3"/>
      <c r="AG327" s="3"/>
      <c r="AH327" s="3"/>
      <c r="AI327" s="3"/>
      <c r="AJ327" s="3"/>
      <c r="AK327" s="3"/>
      <c r="AL327" s="3"/>
    </row>
    <row r="328" spans="1:38" x14ac:dyDescent="0.25">
      <c r="A328" s="3"/>
      <c r="D328" s="3"/>
      <c r="E328" s="3"/>
      <c r="F328" s="3"/>
      <c r="G328" s="3"/>
      <c r="H328" s="3"/>
      <c r="I328" s="3"/>
      <c r="J328" s="3"/>
      <c r="K328" s="3"/>
      <c r="L328" s="99"/>
      <c r="O328" s="3"/>
      <c r="P328" s="3"/>
      <c r="Q328" s="3"/>
      <c r="R328" s="3"/>
      <c r="S328" s="3"/>
      <c r="T328" s="3"/>
      <c r="U328" s="3"/>
      <c r="V328" s="3"/>
      <c r="W328" s="3"/>
      <c r="X328" s="3"/>
      <c r="Y328" s="3"/>
      <c r="Z328" s="3"/>
      <c r="AA328" s="3"/>
      <c r="AB328" s="3"/>
      <c r="AC328" s="3"/>
      <c r="AD328" s="3"/>
      <c r="AE328" s="3"/>
      <c r="AF328" s="3"/>
      <c r="AG328" s="3"/>
      <c r="AH328" s="3"/>
      <c r="AI328" s="3"/>
      <c r="AJ328" s="3"/>
      <c r="AK328" s="3"/>
      <c r="AL328" s="3"/>
    </row>
    <row r="329" spans="1:38" x14ac:dyDescent="0.25">
      <c r="A329" s="3"/>
      <c r="D329" s="3"/>
      <c r="E329" s="3"/>
      <c r="F329" s="3"/>
      <c r="G329" s="3"/>
      <c r="H329" s="3"/>
      <c r="I329" s="3"/>
      <c r="J329" s="3"/>
      <c r="K329" s="3"/>
      <c r="L329" s="99"/>
      <c r="O329" s="3"/>
      <c r="P329" s="3"/>
      <c r="Q329" s="3"/>
      <c r="R329" s="3"/>
      <c r="S329" s="3"/>
      <c r="T329" s="3"/>
      <c r="U329" s="3"/>
      <c r="V329" s="3"/>
      <c r="W329" s="3"/>
      <c r="X329" s="3"/>
      <c r="Y329" s="3"/>
      <c r="Z329" s="3"/>
      <c r="AA329" s="3"/>
      <c r="AB329" s="3"/>
      <c r="AC329" s="3"/>
      <c r="AD329" s="3"/>
      <c r="AE329" s="3"/>
      <c r="AF329" s="3"/>
      <c r="AG329" s="3"/>
      <c r="AH329" s="3"/>
      <c r="AI329" s="3"/>
      <c r="AJ329" s="3"/>
      <c r="AK329" s="3"/>
      <c r="AL329" s="3"/>
    </row>
    <row r="330" spans="1:38" x14ac:dyDescent="0.25">
      <c r="A330" s="3"/>
      <c r="D330" s="3"/>
      <c r="E330" s="3"/>
      <c r="F330" s="3"/>
      <c r="G330" s="3"/>
      <c r="H330" s="3"/>
      <c r="I330" s="3"/>
      <c r="J330" s="3"/>
      <c r="K330" s="3"/>
      <c r="L330" s="99"/>
      <c r="O330" s="3"/>
      <c r="P330" s="3"/>
      <c r="Q330" s="3"/>
      <c r="R330" s="3"/>
      <c r="S330" s="3"/>
      <c r="T330" s="3"/>
      <c r="U330" s="3"/>
      <c r="V330" s="3"/>
      <c r="W330" s="3"/>
      <c r="X330" s="3"/>
      <c r="Y330" s="3"/>
      <c r="Z330" s="3"/>
      <c r="AA330" s="3"/>
      <c r="AB330" s="3"/>
      <c r="AC330" s="3"/>
      <c r="AD330" s="3"/>
      <c r="AE330" s="3"/>
      <c r="AF330" s="3"/>
      <c r="AG330" s="3"/>
      <c r="AH330" s="3"/>
      <c r="AI330" s="3"/>
      <c r="AJ330" s="3"/>
      <c r="AK330" s="3"/>
      <c r="AL330" s="3"/>
    </row>
    <row r="331" spans="1:38" x14ac:dyDescent="0.25">
      <c r="A331" s="3"/>
      <c r="D331" s="3"/>
      <c r="E331" s="3"/>
      <c r="F331" s="3"/>
      <c r="G331" s="3"/>
      <c r="H331" s="3"/>
      <c r="I331" s="3"/>
      <c r="J331" s="3"/>
      <c r="K331" s="3"/>
      <c r="L331" s="99"/>
      <c r="O331" s="3"/>
      <c r="P331" s="3"/>
      <c r="Q331" s="3"/>
      <c r="R331" s="3"/>
      <c r="S331" s="3"/>
      <c r="T331" s="3"/>
      <c r="U331" s="3"/>
      <c r="V331" s="3"/>
      <c r="W331" s="3"/>
      <c r="X331" s="3"/>
      <c r="Y331" s="3"/>
      <c r="Z331" s="3"/>
      <c r="AA331" s="3"/>
      <c r="AB331" s="3"/>
      <c r="AC331" s="3"/>
      <c r="AD331" s="3"/>
      <c r="AE331" s="3"/>
      <c r="AF331" s="3"/>
      <c r="AG331" s="3"/>
      <c r="AH331" s="3"/>
      <c r="AI331" s="3"/>
      <c r="AJ331" s="3"/>
      <c r="AK331" s="3"/>
      <c r="AL331" s="3"/>
    </row>
    <row r="332" spans="1:38" x14ac:dyDescent="0.25">
      <c r="A332" s="3"/>
      <c r="D332" s="3"/>
      <c r="E332" s="3"/>
      <c r="F332" s="3"/>
      <c r="G332" s="3"/>
      <c r="H332" s="3"/>
      <c r="I332" s="3"/>
      <c r="J332" s="3"/>
      <c r="K332" s="3"/>
      <c r="L332" s="99"/>
      <c r="O332" s="3"/>
      <c r="P332" s="3"/>
      <c r="Q332" s="3"/>
      <c r="R332" s="3"/>
      <c r="S332" s="3"/>
      <c r="T332" s="3"/>
      <c r="U332" s="3"/>
      <c r="V332" s="3"/>
      <c r="W332" s="3"/>
      <c r="X332" s="3"/>
      <c r="Y332" s="3"/>
      <c r="Z332" s="3"/>
      <c r="AA332" s="3"/>
      <c r="AB332" s="3"/>
      <c r="AC332" s="3"/>
      <c r="AD332" s="3"/>
      <c r="AE332" s="3"/>
      <c r="AF332" s="3"/>
      <c r="AG332" s="3"/>
      <c r="AH332" s="3"/>
      <c r="AI332" s="3"/>
      <c r="AJ332" s="3"/>
      <c r="AK332" s="3"/>
      <c r="AL332" s="3"/>
    </row>
    <row r="333" spans="1:38" x14ac:dyDescent="0.25">
      <c r="A333" s="3"/>
      <c r="D333" s="3"/>
      <c r="E333" s="3"/>
      <c r="F333" s="3"/>
      <c r="G333" s="3"/>
      <c r="H333" s="3"/>
      <c r="I333" s="3"/>
      <c r="J333" s="3"/>
      <c r="K333" s="3"/>
      <c r="L333" s="99"/>
      <c r="O333" s="3"/>
      <c r="P333" s="3"/>
      <c r="Q333" s="3"/>
      <c r="R333" s="3"/>
      <c r="S333" s="3"/>
      <c r="T333" s="3"/>
      <c r="U333" s="3"/>
      <c r="V333" s="3"/>
      <c r="W333" s="3"/>
      <c r="X333" s="3"/>
      <c r="Y333" s="3"/>
      <c r="Z333" s="3"/>
      <c r="AA333" s="3"/>
      <c r="AB333" s="3"/>
      <c r="AC333" s="3"/>
      <c r="AD333" s="3"/>
      <c r="AE333" s="3"/>
      <c r="AF333" s="3"/>
      <c r="AG333" s="3"/>
      <c r="AH333" s="3"/>
      <c r="AI333" s="3"/>
      <c r="AJ333" s="3"/>
      <c r="AK333" s="3"/>
      <c r="AL333" s="3"/>
    </row>
    <row r="334" spans="1:38" x14ac:dyDescent="0.25">
      <c r="A334" s="3"/>
      <c r="D334" s="3"/>
      <c r="E334" s="3"/>
      <c r="F334" s="3"/>
      <c r="G334" s="3"/>
      <c r="H334" s="3"/>
      <c r="I334" s="3"/>
      <c r="J334" s="3"/>
      <c r="K334" s="3"/>
      <c r="L334" s="99"/>
      <c r="O334" s="3"/>
      <c r="P334" s="3"/>
      <c r="Q334" s="3"/>
      <c r="R334" s="3"/>
      <c r="S334" s="3"/>
      <c r="T334" s="3"/>
      <c r="U334" s="3"/>
      <c r="V334" s="3"/>
      <c r="W334" s="3"/>
      <c r="X334" s="3"/>
      <c r="Y334" s="3"/>
      <c r="Z334" s="3"/>
      <c r="AA334" s="3"/>
      <c r="AB334" s="3"/>
      <c r="AC334" s="3"/>
      <c r="AD334" s="3"/>
      <c r="AE334" s="3"/>
      <c r="AF334" s="3"/>
      <c r="AG334" s="3"/>
      <c r="AH334" s="3"/>
      <c r="AI334" s="3"/>
      <c r="AJ334" s="3"/>
      <c r="AK334" s="3"/>
      <c r="AL334" s="3"/>
    </row>
    <row r="335" spans="1:38" x14ac:dyDescent="0.25">
      <c r="A335" s="3"/>
      <c r="D335" s="3"/>
      <c r="E335" s="3"/>
      <c r="F335" s="3"/>
      <c r="G335" s="3"/>
      <c r="H335" s="3"/>
      <c r="I335" s="3"/>
      <c r="J335" s="3"/>
      <c r="K335" s="3"/>
      <c r="L335" s="99"/>
      <c r="O335" s="3"/>
      <c r="P335" s="3"/>
      <c r="Q335" s="3"/>
      <c r="R335" s="3"/>
      <c r="S335" s="3"/>
      <c r="T335" s="3"/>
      <c r="U335" s="3"/>
      <c r="V335" s="3"/>
      <c r="W335" s="3"/>
      <c r="X335" s="3"/>
      <c r="Y335" s="3"/>
      <c r="Z335" s="3"/>
      <c r="AA335" s="3"/>
      <c r="AB335" s="3"/>
      <c r="AC335" s="3"/>
      <c r="AD335" s="3"/>
      <c r="AE335" s="3"/>
      <c r="AF335" s="3"/>
      <c r="AG335" s="3"/>
      <c r="AH335" s="3"/>
      <c r="AI335" s="3"/>
      <c r="AJ335" s="3"/>
      <c r="AK335" s="3"/>
      <c r="AL335" s="3"/>
    </row>
    <row r="336" spans="1:38" x14ac:dyDescent="0.25">
      <c r="A336" s="3"/>
      <c r="D336" s="3"/>
      <c r="E336" s="3"/>
      <c r="F336" s="3"/>
      <c r="G336" s="3"/>
      <c r="H336" s="3"/>
      <c r="I336" s="3"/>
      <c r="J336" s="3"/>
      <c r="K336" s="3"/>
      <c r="L336" s="99"/>
      <c r="O336" s="3"/>
      <c r="P336" s="3"/>
      <c r="Q336" s="3"/>
      <c r="R336" s="3"/>
      <c r="S336" s="3"/>
      <c r="T336" s="3"/>
      <c r="U336" s="3"/>
      <c r="V336" s="3"/>
      <c r="W336" s="3"/>
      <c r="X336" s="3"/>
      <c r="Y336" s="3"/>
      <c r="Z336" s="3"/>
      <c r="AA336" s="3"/>
      <c r="AB336" s="3"/>
      <c r="AC336" s="3"/>
      <c r="AD336" s="3"/>
      <c r="AE336" s="3"/>
      <c r="AF336" s="3"/>
      <c r="AG336" s="3"/>
      <c r="AH336" s="3"/>
      <c r="AI336" s="3"/>
      <c r="AJ336" s="3"/>
      <c r="AK336" s="3"/>
      <c r="AL336" s="3"/>
    </row>
    <row r="337" spans="1:38" x14ac:dyDescent="0.25">
      <c r="A337" s="3"/>
      <c r="D337" s="3"/>
      <c r="E337" s="3"/>
      <c r="F337" s="3"/>
      <c r="G337" s="3"/>
      <c r="H337" s="3"/>
      <c r="I337" s="3"/>
      <c r="J337" s="3"/>
      <c r="K337" s="3"/>
      <c r="L337" s="99"/>
      <c r="O337" s="3"/>
      <c r="P337" s="3"/>
      <c r="Q337" s="3"/>
      <c r="R337" s="3"/>
      <c r="S337" s="3"/>
      <c r="T337" s="3"/>
      <c r="U337" s="3"/>
      <c r="V337" s="3"/>
      <c r="W337" s="3"/>
      <c r="X337" s="3"/>
      <c r="Y337" s="3"/>
      <c r="Z337" s="3"/>
      <c r="AA337" s="3"/>
      <c r="AB337" s="3"/>
      <c r="AC337" s="3"/>
      <c r="AD337" s="3"/>
      <c r="AE337" s="3"/>
      <c r="AF337" s="3"/>
      <c r="AG337" s="3"/>
      <c r="AH337" s="3"/>
      <c r="AI337" s="3"/>
      <c r="AJ337" s="3"/>
      <c r="AK337" s="3"/>
      <c r="AL337" s="3"/>
    </row>
    <row r="338" spans="1:38" x14ac:dyDescent="0.25">
      <c r="A338" s="3"/>
      <c r="D338" s="3"/>
      <c r="E338" s="3"/>
      <c r="F338" s="3"/>
      <c r="G338" s="3"/>
      <c r="H338" s="3"/>
      <c r="I338" s="3"/>
      <c r="J338" s="3"/>
      <c r="K338" s="3"/>
      <c r="L338" s="99"/>
      <c r="O338" s="3"/>
      <c r="P338" s="3"/>
      <c r="Q338" s="3"/>
      <c r="R338" s="3"/>
      <c r="S338" s="3"/>
      <c r="T338" s="3"/>
      <c r="U338" s="3"/>
      <c r="V338" s="3"/>
      <c r="W338" s="3"/>
      <c r="X338" s="3"/>
      <c r="Y338" s="3"/>
      <c r="Z338" s="3"/>
      <c r="AA338" s="3"/>
      <c r="AB338" s="3"/>
      <c r="AC338" s="3"/>
      <c r="AD338" s="3"/>
      <c r="AE338" s="3"/>
      <c r="AF338" s="3"/>
      <c r="AG338" s="3"/>
      <c r="AH338" s="3"/>
      <c r="AI338" s="3"/>
      <c r="AJ338" s="3"/>
      <c r="AK338" s="3"/>
      <c r="AL338" s="3"/>
    </row>
    <row r="339" spans="1:38" x14ac:dyDescent="0.25">
      <c r="A339" s="3"/>
      <c r="D339" s="3"/>
      <c r="E339" s="3"/>
      <c r="F339" s="3"/>
      <c r="G339" s="3"/>
      <c r="H339" s="3"/>
      <c r="I339" s="3"/>
      <c r="J339" s="3"/>
      <c r="K339" s="3"/>
      <c r="L339" s="99"/>
      <c r="O339" s="3"/>
      <c r="P339" s="3"/>
      <c r="Q339" s="3"/>
      <c r="R339" s="3"/>
      <c r="S339" s="3"/>
      <c r="T339" s="3"/>
      <c r="U339" s="3"/>
      <c r="V339" s="3"/>
      <c r="W339" s="3"/>
      <c r="X339" s="3"/>
      <c r="Y339" s="3"/>
      <c r="Z339" s="3"/>
      <c r="AA339" s="3"/>
      <c r="AB339" s="3"/>
      <c r="AC339" s="3"/>
      <c r="AD339" s="3"/>
      <c r="AE339" s="3"/>
      <c r="AF339" s="3"/>
      <c r="AG339" s="3"/>
      <c r="AH339" s="3"/>
      <c r="AI339" s="3"/>
      <c r="AJ339" s="3"/>
      <c r="AK339" s="3"/>
      <c r="AL339" s="3"/>
    </row>
    <row r="340" spans="1:38" x14ac:dyDescent="0.25">
      <c r="A340" s="3"/>
      <c r="D340" s="3"/>
      <c r="E340" s="3"/>
      <c r="F340" s="3"/>
      <c r="G340" s="3"/>
      <c r="H340" s="3"/>
      <c r="I340" s="3"/>
      <c r="J340" s="3"/>
      <c r="K340" s="3"/>
      <c r="L340" s="99"/>
      <c r="O340" s="3"/>
      <c r="P340" s="3"/>
      <c r="Q340" s="3"/>
      <c r="R340" s="3"/>
      <c r="S340" s="3"/>
      <c r="T340" s="3"/>
      <c r="U340" s="3"/>
      <c r="V340" s="3"/>
      <c r="W340" s="3"/>
      <c r="X340" s="3"/>
      <c r="Y340" s="3"/>
      <c r="Z340" s="3"/>
      <c r="AA340" s="3"/>
      <c r="AB340" s="3"/>
      <c r="AC340" s="3"/>
      <c r="AD340" s="3"/>
      <c r="AE340" s="3"/>
      <c r="AF340" s="3"/>
      <c r="AG340" s="3"/>
      <c r="AH340" s="3"/>
      <c r="AI340" s="3"/>
      <c r="AJ340" s="3"/>
      <c r="AK340" s="3"/>
      <c r="AL340" s="3"/>
    </row>
    <row r="341" spans="1:38" x14ac:dyDescent="0.25">
      <c r="A341" s="3"/>
      <c r="D341" s="3"/>
      <c r="E341" s="3"/>
      <c r="F341" s="3"/>
      <c r="G341" s="3"/>
      <c r="H341" s="3"/>
      <c r="I341" s="3"/>
      <c r="J341" s="3"/>
      <c r="K341" s="3"/>
      <c r="L341" s="99"/>
      <c r="O341" s="3"/>
      <c r="P341" s="3"/>
      <c r="Q341" s="3"/>
      <c r="R341" s="3"/>
      <c r="S341" s="3"/>
      <c r="T341" s="3"/>
      <c r="U341" s="3"/>
      <c r="V341" s="3"/>
      <c r="W341" s="3"/>
      <c r="X341" s="3"/>
      <c r="Y341" s="3"/>
      <c r="Z341" s="3"/>
      <c r="AA341" s="3"/>
      <c r="AB341" s="3"/>
      <c r="AC341" s="3"/>
      <c r="AD341" s="3"/>
      <c r="AE341" s="3"/>
      <c r="AF341" s="3"/>
      <c r="AG341" s="3"/>
      <c r="AH341" s="3"/>
      <c r="AI341" s="3"/>
      <c r="AJ341" s="3"/>
      <c r="AK341" s="3"/>
      <c r="AL341" s="3"/>
    </row>
    <row r="342" spans="1:38" x14ac:dyDescent="0.25">
      <c r="A342" s="3"/>
      <c r="D342" s="3"/>
      <c r="E342" s="3"/>
      <c r="F342" s="3"/>
      <c r="G342" s="3"/>
      <c r="H342" s="3"/>
      <c r="I342" s="3"/>
      <c r="J342" s="3"/>
      <c r="K342" s="3"/>
      <c r="L342" s="99"/>
      <c r="O342" s="3"/>
      <c r="P342" s="3"/>
      <c r="Q342" s="3"/>
      <c r="R342" s="3"/>
      <c r="S342" s="3"/>
      <c r="T342" s="3"/>
      <c r="U342" s="3"/>
      <c r="V342" s="3"/>
      <c r="W342" s="3"/>
      <c r="X342" s="3"/>
      <c r="Y342" s="3"/>
      <c r="Z342" s="3"/>
      <c r="AA342" s="3"/>
      <c r="AB342" s="3"/>
      <c r="AC342" s="3"/>
      <c r="AD342" s="3"/>
      <c r="AE342" s="3"/>
      <c r="AF342" s="3"/>
      <c r="AG342" s="3"/>
      <c r="AH342" s="3"/>
      <c r="AI342" s="3"/>
      <c r="AJ342" s="3"/>
      <c r="AK342" s="3"/>
      <c r="AL342" s="3"/>
    </row>
    <row r="343" spans="1:38" x14ac:dyDescent="0.25">
      <c r="A343" s="3"/>
      <c r="D343" s="3"/>
      <c r="E343" s="3"/>
      <c r="F343" s="3"/>
      <c r="G343" s="3"/>
      <c r="H343" s="3"/>
      <c r="I343" s="3"/>
      <c r="J343" s="3"/>
      <c r="K343" s="3"/>
      <c r="L343" s="99"/>
      <c r="O343" s="3"/>
      <c r="P343" s="3"/>
      <c r="Q343" s="3"/>
      <c r="R343" s="3"/>
      <c r="S343" s="3"/>
      <c r="T343" s="3"/>
      <c r="U343" s="3"/>
      <c r="V343" s="3"/>
      <c r="W343" s="3"/>
      <c r="X343" s="3"/>
      <c r="Y343" s="3"/>
      <c r="Z343" s="3"/>
      <c r="AA343" s="3"/>
      <c r="AB343" s="3"/>
      <c r="AC343" s="3"/>
      <c r="AD343" s="3"/>
      <c r="AE343" s="3"/>
      <c r="AF343" s="3"/>
      <c r="AG343" s="3"/>
      <c r="AH343" s="3"/>
      <c r="AI343" s="3"/>
      <c r="AJ343" s="3"/>
      <c r="AK343" s="3"/>
      <c r="AL343" s="3"/>
    </row>
    <row r="344" spans="1:38" x14ac:dyDescent="0.25">
      <c r="A344" s="3"/>
      <c r="D344" s="3"/>
      <c r="E344" s="3"/>
      <c r="F344" s="3"/>
      <c r="G344" s="3"/>
      <c r="H344" s="3"/>
      <c r="I344" s="3"/>
      <c r="J344" s="3"/>
      <c r="K344" s="3"/>
      <c r="L344" s="99"/>
      <c r="O344" s="3"/>
      <c r="P344" s="3"/>
      <c r="Q344" s="3"/>
      <c r="R344" s="3"/>
      <c r="S344" s="3"/>
      <c r="T344" s="3"/>
      <c r="U344" s="3"/>
      <c r="V344" s="3"/>
      <c r="W344" s="3"/>
      <c r="X344" s="3"/>
      <c r="Y344" s="3"/>
      <c r="Z344" s="3"/>
      <c r="AA344" s="3"/>
      <c r="AB344" s="3"/>
      <c r="AC344" s="3"/>
      <c r="AD344" s="3"/>
      <c r="AE344" s="3"/>
      <c r="AF344" s="3"/>
      <c r="AG344" s="3"/>
      <c r="AH344" s="3"/>
      <c r="AI344" s="3"/>
      <c r="AJ344" s="3"/>
      <c r="AK344" s="3"/>
      <c r="AL344" s="3"/>
    </row>
    <row r="345" spans="1:38" x14ac:dyDescent="0.25">
      <c r="A345" s="3"/>
      <c r="D345" s="3"/>
      <c r="E345" s="3"/>
      <c r="F345" s="3"/>
      <c r="G345" s="3"/>
      <c r="H345" s="3"/>
      <c r="I345" s="3"/>
      <c r="J345" s="3"/>
      <c r="K345" s="3"/>
      <c r="L345" s="99"/>
      <c r="O345" s="3"/>
      <c r="P345" s="3"/>
      <c r="Q345" s="3"/>
      <c r="R345" s="3"/>
      <c r="S345" s="3"/>
      <c r="T345" s="3"/>
      <c r="U345" s="3"/>
      <c r="V345" s="3"/>
      <c r="W345" s="3"/>
      <c r="X345" s="3"/>
      <c r="Y345" s="3"/>
      <c r="Z345" s="3"/>
      <c r="AA345" s="3"/>
      <c r="AB345" s="3"/>
      <c r="AC345" s="3"/>
      <c r="AD345" s="3"/>
      <c r="AE345" s="3"/>
      <c r="AF345" s="3"/>
      <c r="AG345" s="3"/>
      <c r="AH345" s="3"/>
      <c r="AI345" s="3"/>
      <c r="AJ345" s="3"/>
      <c r="AK345" s="3"/>
      <c r="AL345" s="3"/>
    </row>
    <row r="346" spans="1:38" x14ac:dyDescent="0.25">
      <c r="A346" s="3"/>
      <c r="D346" s="3"/>
      <c r="E346" s="3"/>
      <c r="F346" s="3"/>
      <c r="G346" s="3"/>
      <c r="H346" s="3"/>
      <c r="I346" s="3"/>
      <c r="J346" s="3"/>
      <c r="K346" s="3"/>
      <c r="L346" s="99"/>
      <c r="O346" s="3"/>
      <c r="P346" s="3"/>
      <c r="Q346" s="3"/>
      <c r="R346" s="3"/>
      <c r="S346" s="3"/>
      <c r="T346" s="3"/>
      <c r="U346" s="3"/>
      <c r="V346" s="3"/>
      <c r="W346" s="3"/>
      <c r="X346" s="3"/>
      <c r="Y346" s="3"/>
      <c r="Z346" s="3"/>
      <c r="AA346" s="3"/>
      <c r="AB346" s="3"/>
      <c r="AC346" s="3"/>
      <c r="AD346" s="3"/>
      <c r="AE346" s="3"/>
      <c r="AF346" s="3"/>
      <c r="AG346" s="3"/>
      <c r="AH346" s="3"/>
      <c r="AI346" s="3"/>
      <c r="AJ346" s="3"/>
      <c r="AK346" s="3"/>
      <c r="AL346" s="3"/>
    </row>
    <row r="347" spans="1:38" x14ac:dyDescent="0.25">
      <c r="A347" s="3"/>
      <c r="D347" s="3"/>
      <c r="E347" s="3"/>
      <c r="F347" s="3"/>
      <c r="G347" s="3"/>
      <c r="H347" s="3"/>
      <c r="I347" s="3"/>
      <c r="J347" s="3"/>
      <c r="K347" s="3"/>
      <c r="L347" s="99"/>
      <c r="O347" s="3"/>
      <c r="P347" s="3"/>
      <c r="Q347" s="3"/>
      <c r="R347" s="3"/>
      <c r="S347" s="3"/>
      <c r="T347" s="3"/>
      <c r="U347" s="3"/>
      <c r="V347" s="3"/>
      <c r="W347" s="3"/>
      <c r="X347" s="3"/>
      <c r="Y347" s="3"/>
      <c r="Z347" s="3"/>
      <c r="AA347" s="3"/>
      <c r="AB347" s="3"/>
      <c r="AC347" s="3"/>
      <c r="AD347" s="3"/>
      <c r="AE347" s="3"/>
      <c r="AF347" s="3"/>
      <c r="AG347" s="3"/>
      <c r="AH347" s="3"/>
      <c r="AI347" s="3"/>
      <c r="AJ347" s="3"/>
      <c r="AK347" s="3"/>
      <c r="AL347" s="3"/>
    </row>
    <row r="348" spans="1:38" x14ac:dyDescent="0.25">
      <c r="A348" s="3"/>
      <c r="D348" s="3"/>
      <c r="E348" s="3"/>
      <c r="F348" s="3"/>
      <c r="G348" s="3"/>
      <c r="H348" s="3"/>
      <c r="I348" s="3"/>
      <c r="J348" s="3"/>
      <c r="K348" s="3"/>
      <c r="L348" s="99"/>
      <c r="O348" s="3"/>
      <c r="P348" s="3"/>
      <c r="Q348" s="3"/>
      <c r="R348" s="3"/>
      <c r="S348" s="3"/>
      <c r="T348" s="3"/>
      <c r="U348" s="3"/>
      <c r="V348" s="3"/>
      <c r="W348" s="3"/>
      <c r="X348" s="3"/>
      <c r="Y348" s="3"/>
      <c r="Z348" s="3"/>
      <c r="AA348" s="3"/>
      <c r="AB348" s="3"/>
      <c r="AC348" s="3"/>
      <c r="AD348" s="3"/>
      <c r="AE348" s="3"/>
      <c r="AF348" s="3"/>
      <c r="AG348" s="3"/>
      <c r="AH348" s="3"/>
      <c r="AI348" s="3"/>
      <c r="AJ348" s="3"/>
      <c r="AK348" s="3"/>
      <c r="AL348" s="3"/>
    </row>
    <row r="349" spans="1:38" x14ac:dyDescent="0.25">
      <c r="A349" s="3"/>
      <c r="D349" s="3"/>
      <c r="E349" s="3"/>
      <c r="F349" s="3"/>
      <c r="G349" s="3"/>
      <c r="H349" s="3"/>
      <c r="I349" s="3"/>
      <c r="J349" s="3"/>
      <c r="K349" s="3"/>
      <c r="L349" s="99"/>
      <c r="O349" s="3"/>
      <c r="P349" s="3"/>
      <c r="Q349" s="3"/>
      <c r="R349" s="3"/>
      <c r="S349" s="3"/>
      <c r="T349" s="3"/>
      <c r="U349" s="3"/>
      <c r="V349" s="3"/>
      <c r="W349" s="3"/>
      <c r="X349" s="3"/>
      <c r="Y349" s="3"/>
      <c r="Z349" s="3"/>
      <c r="AA349" s="3"/>
      <c r="AB349" s="3"/>
      <c r="AC349" s="3"/>
      <c r="AD349" s="3"/>
      <c r="AE349" s="3"/>
      <c r="AF349" s="3"/>
      <c r="AG349" s="3"/>
      <c r="AH349" s="3"/>
      <c r="AI349" s="3"/>
      <c r="AJ349" s="3"/>
      <c r="AK349" s="3"/>
      <c r="AL349" s="3"/>
    </row>
    <row r="350" spans="1:38" x14ac:dyDescent="0.25">
      <c r="A350" s="3"/>
      <c r="D350" s="3"/>
      <c r="E350" s="3"/>
      <c r="F350" s="3"/>
      <c r="G350" s="3"/>
      <c r="H350" s="3"/>
      <c r="I350" s="3"/>
      <c r="J350" s="3"/>
      <c r="K350" s="3"/>
      <c r="L350" s="99"/>
      <c r="O350" s="3"/>
      <c r="P350" s="3"/>
      <c r="Q350" s="3"/>
      <c r="R350" s="3"/>
      <c r="S350" s="3"/>
      <c r="T350" s="3"/>
      <c r="U350" s="3"/>
      <c r="V350" s="3"/>
      <c r="W350" s="3"/>
      <c r="X350" s="3"/>
      <c r="Y350" s="3"/>
      <c r="Z350" s="3"/>
      <c r="AA350" s="3"/>
      <c r="AB350" s="3"/>
      <c r="AC350" s="3"/>
      <c r="AD350" s="3"/>
      <c r="AE350" s="3"/>
      <c r="AF350" s="3"/>
      <c r="AG350" s="3"/>
      <c r="AH350" s="3"/>
      <c r="AI350" s="3"/>
      <c r="AJ350" s="3"/>
      <c r="AK350" s="3"/>
      <c r="AL350" s="3"/>
    </row>
    <row r="351" spans="1:38" x14ac:dyDescent="0.25">
      <c r="A351" s="3"/>
      <c r="D351" s="3"/>
      <c r="E351" s="3"/>
      <c r="F351" s="3"/>
      <c r="G351" s="3"/>
      <c r="H351" s="3"/>
      <c r="I351" s="3"/>
      <c r="J351" s="3"/>
      <c r="K351" s="3"/>
      <c r="L351" s="99"/>
      <c r="O351" s="3"/>
      <c r="P351" s="3"/>
      <c r="Q351" s="3"/>
      <c r="R351" s="3"/>
      <c r="S351" s="3"/>
      <c r="T351" s="3"/>
      <c r="U351" s="3"/>
      <c r="V351" s="3"/>
      <c r="W351" s="3"/>
      <c r="X351" s="3"/>
    </row>
  </sheetData>
  <sheetProtection algorithmName="SHA-512" hashValue="R4fyXpHDaR5zcpXNO5kfnmNad1qLR3ZPY9v1vDP/ymzMV5WVq25bwbQs3fSrRlLnDQs1gb2/YP4NmtimGW7e3g==" saltValue="z0wu4beJ455aAxdMxRlEqQ==" spinCount="100000" sheet="1" formatColumns="0" formatRows="0"/>
  <phoneticPr fontId="3" type="noConversion"/>
  <conditionalFormatting sqref="C3">
    <cfRule type="cellIs" dxfId="19" priority="1" operator="equal">
      <formula>0</formula>
    </cfRule>
  </conditionalFormatting>
  <dataValidations xWindow="892" yWindow="700" count="7">
    <dataValidation allowBlank="1" showErrorMessage="1" promptTitle="Note:" prompt="Do not forget to enter base date at the top of this form._x000a_" sqref="M161" xr:uid="{00000000-0002-0000-0500-000000000000}"/>
    <dataValidation allowBlank="1" showInputMessage="1" showErrorMessage="1" promptTitle="Note:" prompt="Please enter Minimum, Ad Valorem Rate and Base Amount for this rating category/sub-category on the same row._x000a__x000a_Section 500 permits a maximum of 50% of category/sub-category income as a Base Amount." sqref="G94:G142 G19:G38 G40:G64 G66:G75 G77:G86" xr:uid="{00000000-0002-0000-0500-000001000000}"/>
    <dataValidation allowBlank="1" showInputMessage="1" showErrorMessage="1" promptTitle="Note:" prompt="Total land value includes all rateable parcels including those parcels subject to a minimum." sqref="K19:K38 K40:K64 K66:K75 K77:K86 K94:K132 K134:K142" xr:uid="{00000000-0002-0000-0500-000002000000}"/>
    <dataValidation operator="greaterThan" allowBlank="1" showInputMessage="1" showErrorMessage="1" errorTitle="Data Entry Error" error="Number must be greater than zero." promptTitle="Note:" prompt="Please enter Minimum, Ad Valorem Rate and Base Amount for this rating category/sub-category on the same row." sqref="F94:F142 F19:F38 F40:F64 F66:F75 F77:F86" xr:uid="{00000000-0002-0000-0500-000003000000}"/>
    <dataValidation allowBlank="1" showInputMessage="1" showErrorMessage="1" promptTitle="Note:" prompt="Please enter Minimum, Ad Valorem Rate and Base Amount for this rating category/sub-category on the same row." sqref="I94:I142 I19:I38 I40:I64 I66:I75 I77:I86" xr:uid="{00000000-0002-0000-0500-000004000000}"/>
    <dataValidation allowBlank="1" showInputMessage="1" showErrorMessage="1" promptTitle="Annual Charges" prompt="Enter in the name of the annual charge and the group of ratepayers the charge is levied on." sqref="C150:J157" xr:uid="{00000000-0002-0000-0500-000005000000}"/>
    <dataValidation type="custom" showDropDown="1" showInputMessage="1" showErrorMessage="1" errorTitle="Data Entry Error" error="You must select a rating category before entering the sub-category." promptTitle="Note:" prompt="Enter the name of the sub-category,  if applicable._x000a__x000a_Please use a meaningful description, ie. Centre of Population, Intensity of Use or Economic Factors, Kind of Mining, Centre of Activity. " sqref="D66:D75 D19:D38 D40:D64 D77:D86" xr:uid="{00000000-0002-0000-0500-000006000000}">
      <formula1>NOT(ISBLANK(C19))</formula1>
    </dataValidation>
  </dataValidations>
  <printOptions horizontalCentered="1"/>
  <pageMargins left="0.74803149606299213" right="0.74803149606299213" top="0.62992125984251968" bottom="0.47244094488188981" header="0.19685039370078741" footer="0.31496062992125984"/>
  <pageSetup paperSize="9" scale="84" fitToHeight="0" orientation="landscape" r:id="rId1"/>
  <headerFooter alignWithMargins="0"/>
  <rowBreaks count="1" manualBreakCount="1">
    <brk id="89" min="1"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XFA193"/>
  <sheetViews>
    <sheetView showGridLines="0" topLeftCell="A102" zoomScaleNormal="100" workbookViewId="0">
      <selection activeCell="K133" sqref="K133"/>
    </sheetView>
  </sheetViews>
  <sheetFormatPr defaultColWidth="9.125" defaultRowHeight="13.2" x14ac:dyDescent="0.25"/>
  <cols>
    <col min="1" max="1" width="2.25" customWidth="1"/>
    <col min="2" max="2" width="2.75" customWidth="1"/>
    <col min="3" max="3" width="14.25" customWidth="1"/>
    <col min="4" max="4" width="20.125" customWidth="1"/>
    <col min="5" max="5" width="17.125" customWidth="1"/>
    <col min="6" max="6" width="11.75" customWidth="1"/>
    <col min="7" max="7" width="11.375" customWidth="1"/>
    <col min="8" max="8" width="11.25" customWidth="1"/>
    <col min="9" max="9" width="10.625" customWidth="1"/>
    <col min="10" max="10" width="13.25" customWidth="1"/>
    <col min="11" max="11" width="20.25" customWidth="1"/>
    <col min="12" max="12" width="16.125" style="71" customWidth="1"/>
    <col min="13" max="13" width="18.75" style="71" customWidth="1"/>
    <col min="14" max="14" width="2.75" customWidth="1"/>
    <col min="15" max="15" width="8.125" bestFit="1" customWidth="1"/>
    <col min="16" max="17" width="9.125" customWidth="1"/>
    <col min="18" max="18" width="5.625" customWidth="1"/>
    <col min="19" max="19" width="5.25" customWidth="1"/>
    <col min="20" max="20" width="7.875" customWidth="1"/>
    <col min="21" max="21" width="8.875" customWidth="1"/>
    <col min="22" max="22" width="7.75" customWidth="1"/>
    <col min="23" max="23" width="14.75" customWidth="1"/>
    <col min="24" max="24" width="12.25" bestFit="1" customWidth="1"/>
    <col min="28" max="28" width="10.875" bestFit="1" customWidth="1"/>
  </cols>
  <sheetData>
    <row r="1" spans="1:1015 1026:2042 2053:3069 3080:4096 4107:5110 5121:6137 6148:7164 7175:8191 8202:10232 10243:11259 11270:12286 12297:14327 14338:15354 15365:16381" ht="12" thickBot="1" x14ac:dyDescent="0.2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spans="1:1015 1026:2042 2053:3069 3080:4096 4107:5110 5121:6137 6148:7164 7175:8191 8202:10232 10243:11259 11270:12286 12297:14327 14338:15354 15365:16381" x14ac:dyDescent="0.25">
      <c r="A2" s="3"/>
      <c r="B2" s="209"/>
      <c r="C2" s="231"/>
      <c r="D2" s="231"/>
      <c r="E2" s="210"/>
      <c r="F2" s="210"/>
      <c r="G2" s="210"/>
      <c r="H2" s="210"/>
      <c r="I2" s="210"/>
      <c r="J2" s="210"/>
      <c r="K2" s="210"/>
      <c r="L2" s="232"/>
      <c r="M2" s="233"/>
      <c r="N2" s="234"/>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1015 1026:2042 2053:3069 3080:4096 4107:5110 5121:6137 6148:7164 7175:8191 8202:10232 10243:11259 11270:12286 12297:14327 14338:15354 15365:16381" ht="12" x14ac:dyDescent="0.25">
      <c r="A3" s="3"/>
      <c r="B3" s="212"/>
      <c r="C3" s="695" t="str">
        <f>'WK2 - Notional General Income'!$C$3</f>
        <v>Hornsby, The Council of the Shire of</v>
      </c>
      <c r="D3" s="226"/>
      <c r="E3" s="226"/>
      <c r="F3" s="226"/>
      <c r="G3" s="227"/>
      <c r="H3" s="3"/>
      <c r="I3" s="3"/>
      <c r="J3" s="3"/>
      <c r="K3" s="3"/>
      <c r="L3" s="3"/>
      <c r="M3" s="151"/>
      <c r="N3" s="235"/>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1015 1026:2042 2053:3069 3080:4096 4107:5110 5121:6137 6148:7164 7175:8191 8202:10232 10243:11259 11270:12286 12297:14327 14338:15354 15365:16381" s="142" customFormat="1" ht="15" x14ac:dyDescent="0.25">
      <c r="A4" s="129"/>
      <c r="B4" s="215"/>
      <c r="C4" s="1"/>
      <c r="D4" s="1"/>
      <c r="E4" s="1"/>
      <c r="F4" s="1"/>
      <c r="G4" s="1"/>
      <c r="H4" s="129"/>
      <c r="I4" s="3"/>
      <c r="J4" s="3"/>
      <c r="K4" s="3"/>
      <c r="L4" s="3"/>
      <c r="M4" s="151"/>
      <c r="N4" s="214"/>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row>
    <row r="5" spans="1:1015 1026:2042 2053:3069 3080:4096 4107:5110 5121:6137 6148:7164 7175:8191 8202:10232 10243:11259 11270:12286 12297:14327 14338:15354 15365:16381" s="142" customFormat="1" ht="15.6" x14ac:dyDescent="0.3">
      <c r="A5" s="129"/>
      <c r="B5" s="215"/>
      <c r="C5"/>
      <c r="D5" s="80"/>
      <c r="F5" s="80"/>
      <c r="G5" s="120"/>
      <c r="H5" s="101" t="s">
        <v>745</v>
      </c>
      <c r="I5" s="120"/>
      <c r="J5" s="120"/>
      <c r="K5" s="120"/>
      <c r="L5" s="120"/>
      <c r="M5" s="151"/>
      <c r="N5" s="218"/>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row>
    <row r="6" spans="1:1015 1026:2042 2053:3069 3080:4096 4107:5110 5121:6137 6148:7164 7175:8191 8202:10232 10243:11259 11270:12286 12297:14327 14338:15354 15365:16381" s="142" customFormat="1" ht="15" x14ac:dyDescent="0.25">
      <c r="A6" s="129"/>
      <c r="B6" s="215"/>
      <c r="C6" s="122"/>
      <c r="D6" s="3"/>
      <c r="E6" s="3"/>
      <c r="F6" s="3"/>
      <c r="G6" s="3"/>
      <c r="H6" s="129"/>
      <c r="I6" s="3"/>
      <c r="J6" s="3"/>
      <c r="K6" s="3"/>
      <c r="L6" s="3"/>
      <c r="M6" s="151"/>
      <c r="N6" s="2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row>
    <row r="7" spans="1:1015 1026:2042 2053:3069 3080:4096 4107:5110 5121:6137 6148:7164 7175:8191 8202:10232 10243:11259 11270:12286 12297:14327 14338:15354 15365:16381" s="142" customFormat="1" ht="15.6" x14ac:dyDescent="0.3">
      <c r="A7" s="129"/>
      <c r="B7" s="215"/>
      <c r="C7"/>
      <c r="D7" s="151"/>
      <c r="E7" s="151"/>
      <c r="F7" s="151"/>
      <c r="G7" s="151"/>
      <c r="H7" s="134" t="str">
        <f>"CALCULATION OF NOTIONAL GENERAL INCOME "&amp;'WK0 - Input data'!$I$58</f>
        <v>CALCULATION OF NOTIONAL GENERAL INCOME 2023-24</v>
      </c>
      <c r="I7" s="151"/>
      <c r="J7" s="151"/>
      <c r="K7" s="151"/>
      <c r="M7" s="151"/>
      <c r="N7" s="2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row>
    <row r="8" spans="1:1015 1026:2042 2053:3069 3080:4096 4107:5110 5121:6137 6148:7164 7175:8191 8202:10232 10243:11259 11270:12286 12297:14327 14338:15354 15365:16381" s="142" customFormat="1" ht="15.6" x14ac:dyDescent="0.3">
      <c r="A8" s="129"/>
      <c r="B8" s="215"/>
      <c r="C8" s="2"/>
      <c r="D8" s="151"/>
      <c r="E8" s="151"/>
      <c r="F8" s="151"/>
      <c r="G8" s="151"/>
      <c r="H8" s="134"/>
      <c r="I8" s="151"/>
      <c r="J8" s="151"/>
      <c r="K8" s="151"/>
      <c r="L8" s="151"/>
      <c r="M8" s="151"/>
      <c r="N8" s="2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row>
    <row r="9" spans="1:1015 1026:2042 2053:3069 3080:4096 4107:5110 5121:6137 6148:7164 7175:8191 8202:10232 10243:11259 11270:12286 12297:14327 14338:15354 15365:16381" ht="20.399999999999999" x14ac:dyDescent="0.35">
      <c r="A9" s="3"/>
      <c r="B9" s="212"/>
      <c r="C9" s="3"/>
      <c r="D9" s="1"/>
      <c r="E9" s="1"/>
      <c r="F9" s="1"/>
      <c r="G9" s="1"/>
      <c r="H9" s="171" t="s">
        <v>478</v>
      </c>
      <c r="I9" s="1"/>
      <c r="J9" s="1"/>
      <c r="K9" s="1"/>
      <c r="L9" s="1"/>
      <c r="M9" s="1"/>
      <c r="N9" s="229"/>
      <c r="O9" s="84"/>
      <c r="P9" s="84"/>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row>
    <row r="10" spans="1:1015 1026:2042 2053:3069 3080:4096 4107:5110 5121:6137 6148:7164 7175:8191 8202:10232 10243:11259 11270:12286 12297:14327 14338:15354 15365:16381" s="142" customFormat="1" ht="15" x14ac:dyDescent="0.25">
      <c r="A10" s="129"/>
      <c r="B10" s="215"/>
      <c r="C10"/>
      <c r="D10" s="1"/>
      <c r="E10" s="1"/>
      <c r="F10" s="1"/>
      <c r="G10" s="1"/>
      <c r="H10" s="1"/>
      <c r="I10" s="1"/>
      <c r="J10" s="1"/>
      <c r="K10" s="1"/>
      <c r="L10" s="1"/>
      <c r="M10" s="1"/>
      <c r="N10" s="236"/>
      <c r="O10" s="136"/>
      <c r="P10" s="136"/>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row>
    <row r="11" spans="1:1015 1026:2042 2053:3069 3080:4096 4107:5110 5121:6137 6148:7164 7175:8191 8202:10232 10243:11259 11270:12286 12297:14327 14338:15354 15365:16381" s="142" customFormat="1" ht="15" customHeight="1" x14ac:dyDescent="0.25">
      <c r="A11" s="129"/>
      <c r="B11" s="215"/>
      <c r="C11" s="2"/>
      <c r="D11" s="151"/>
      <c r="E11" s="151"/>
      <c r="F11" s="151"/>
      <c r="G11" s="151"/>
      <c r="H11" s="151" t="s">
        <v>746</v>
      </c>
      <c r="I11" s="151"/>
      <c r="J11" s="151"/>
      <c r="K11" s="151"/>
      <c r="L11" s="151"/>
      <c r="M11" s="151"/>
      <c r="N11" s="229"/>
      <c r="O11" s="136"/>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row>
    <row r="12" spans="1:1015 1026:2042 2053:3069 3080:4096 4107:5110 5121:6137 6148:7164 7175:8191 8202:10232 10243:11259 11270:12286 12297:14327 14338:15354 15365:16381" s="151" customFormat="1" ht="15" customHeight="1" x14ac:dyDescent="0.25">
      <c r="A12" s="129"/>
      <c r="B12" s="237"/>
      <c r="C12" s="172"/>
      <c r="E12" s="3"/>
      <c r="H12" s="175" t="s">
        <v>747</v>
      </c>
      <c r="L12" s="92"/>
      <c r="M12" s="2"/>
      <c r="N12" s="229"/>
      <c r="O12" s="136"/>
      <c r="X12" s="1"/>
      <c r="Y12" s="129"/>
      <c r="Z12" s="129"/>
      <c r="AA12" s="2"/>
      <c r="AE12" s="129"/>
      <c r="BL12" s="92"/>
      <c r="BM12" s="2"/>
      <c r="BN12" s="2"/>
      <c r="BY12" s="92"/>
      <c r="BZ12" s="2"/>
      <c r="CA12" s="2"/>
      <c r="CL12" s="92"/>
      <c r="CM12" s="2"/>
      <c r="CN12" s="2"/>
      <c r="CY12" s="92"/>
      <c r="CZ12" s="2"/>
      <c r="DA12" s="2"/>
      <c r="DL12" s="92"/>
      <c r="DM12" s="2"/>
      <c r="DN12" s="2"/>
      <c r="DY12" s="92"/>
      <c r="DZ12" s="2"/>
      <c r="EA12" s="2"/>
      <c r="EL12" s="92"/>
      <c r="EM12" s="2"/>
      <c r="EN12" s="2"/>
      <c r="EY12" s="92"/>
      <c r="EZ12" s="2"/>
      <c r="FA12" s="2"/>
      <c r="FL12" s="92"/>
      <c r="FM12" s="2"/>
      <c r="FN12" s="2"/>
      <c r="FY12" s="92"/>
      <c r="FZ12" s="2"/>
      <c r="GA12" s="2"/>
      <c r="GL12" s="92"/>
      <c r="GM12" s="2"/>
      <c r="GN12" s="2"/>
      <c r="GY12" s="92"/>
      <c r="GZ12" s="2"/>
      <c r="HA12" s="2"/>
      <c r="HL12" s="92"/>
      <c r="HM12" s="2"/>
      <c r="HN12" s="2"/>
      <c r="HY12" s="92"/>
      <c r="HZ12" s="2"/>
      <c r="IA12" s="2"/>
      <c r="IL12" s="92"/>
      <c r="IM12" s="2"/>
      <c r="IN12" s="2"/>
      <c r="IY12" s="92"/>
      <c r="IZ12" s="2"/>
      <c r="JA12" s="2"/>
      <c r="JL12" s="92"/>
      <c r="JM12" s="2"/>
      <c r="JN12" s="2"/>
      <c r="JY12" s="92"/>
      <c r="JZ12" s="2"/>
      <c r="KA12" s="2"/>
      <c r="KL12" s="92"/>
      <c r="KM12" s="2"/>
      <c r="KN12" s="2"/>
      <c r="KY12" s="92"/>
      <c r="KZ12" s="2"/>
      <c r="LA12" s="2"/>
      <c r="LL12" s="92"/>
      <c r="LM12" s="2"/>
      <c r="LN12" s="2"/>
      <c r="LY12" s="92"/>
      <c r="LZ12" s="2"/>
      <c r="MA12" s="2"/>
      <c r="ML12" s="92"/>
      <c r="MM12" s="2"/>
      <c r="MN12" s="2"/>
      <c r="MY12" s="92"/>
      <c r="MZ12" s="2"/>
      <c r="NA12" s="2"/>
      <c r="NL12" s="92"/>
      <c r="NM12" s="2"/>
      <c r="NN12" s="2"/>
      <c r="NY12" s="92"/>
      <c r="NZ12" s="2"/>
      <c r="OA12" s="2"/>
      <c r="OL12" s="92"/>
      <c r="OM12" s="2"/>
      <c r="ON12" s="2"/>
      <c r="OY12" s="92"/>
      <c r="OZ12" s="2"/>
      <c r="PA12" s="2"/>
      <c r="PL12" s="92"/>
      <c r="PM12" s="2"/>
      <c r="PN12" s="2"/>
      <c r="PY12" s="92"/>
      <c r="PZ12" s="2"/>
      <c r="QA12" s="2"/>
      <c r="QL12" s="92"/>
      <c r="QM12" s="2"/>
      <c r="QN12" s="2"/>
      <c r="QY12" s="92"/>
      <c r="QZ12" s="2"/>
      <c r="RA12" s="2"/>
      <c r="RL12" s="92"/>
      <c r="RM12" s="2"/>
      <c r="RN12" s="2"/>
      <c r="RY12" s="92"/>
      <c r="RZ12" s="2"/>
      <c r="SA12" s="2"/>
      <c r="SL12" s="92"/>
      <c r="SM12" s="2"/>
      <c r="SN12" s="2"/>
      <c r="SY12" s="92"/>
      <c r="SZ12" s="2"/>
      <c r="TA12" s="2"/>
      <c r="TL12" s="92"/>
      <c r="TM12" s="2"/>
      <c r="TN12" s="2"/>
      <c r="TY12" s="92"/>
      <c r="TZ12" s="2"/>
      <c r="UA12" s="2"/>
      <c r="UL12" s="92"/>
      <c r="UM12" s="2"/>
      <c r="UN12" s="2"/>
      <c r="UY12" s="92"/>
      <c r="UZ12" s="2"/>
      <c r="VA12" s="2"/>
      <c r="VL12" s="92"/>
      <c r="VM12" s="2"/>
      <c r="VN12" s="2"/>
      <c r="VY12" s="92"/>
      <c r="VZ12" s="2"/>
      <c r="WA12" s="2"/>
      <c r="WL12" s="92"/>
      <c r="WM12" s="2"/>
      <c r="WN12" s="2"/>
      <c r="WY12" s="92"/>
      <c r="WZ12" s="2"/>
      <c r="XA12" s="2"/>
      <c r="XL12" s="92"/>
      <c r="XM12" s="2"/>
      <c r="XN12" s="2"/>
      <c r="XY12" s="92"/>
      <c r="XZ12" s="2"/>
      <c r="YA12" s="2"/>
      <c r="YL12" s="92"/>
      <c r="YM12" s="2"/>
      <c r="YN12" s="2"/>
      <c r="YY12" s="92"/>
      <c r="YZ12" s="2"/>
      <c r="ZA12" s="2"/>
      <c r="ZL12" s="92"/>
      <c r="ZM12" s="2"/>
      <c r="ZN12" s="2"/>
      <c r="ZY12" s="92"/>
      <c r="ZZ12" s="2"/>
      <c r="AAA12" s="2"/>
      <c r="AAL12" s="92"/>
      <c r="AAM12" s="2"/>
      <c r="AAN12" s="2"/>
      <c r="AAY12" s="92"/>
      <c r="AAZ12" s="2"/>
      <c r="ABA12" s="2"/>
      <c r="ABL12" s="92"/>
      <c r="ABM12" s="2"/>
      <c r="ABN12" s="2"/>
      <c r="ABY12" s="92"/>
      <c r="ABZ12" s="2"/>
      <c r="ACA12" s="2"/>
      <c r="ACL12" s="92"/>
      <c r="ACM12" s="2"/>
      <c r="ACN12" s="2"/>
      <c r="ACY12" s="92"/>
      <c r="ACZ12" s="2"/>
      <c r="ADA12" s="2"/>
      <c r="ADL12" s="92"/>
      <c r="ADM12" s="2"/>
      <c r="ADN12" s="2"/>
      <c r="ADY12" s="92"/>
      <c r="ADZ12" s="2"/>
      <c r="AEA12" s="2"/>
      <c r="AEL12" s="92"/>
      <c r="AEM12" s="2"/>
      <c r="AEN12" s="2"/>
      <c r="AEY12" s="92"/>
      <c r="AEZ12" s="2"/>
      <c r="AFA12" s="2"/>
      <c r="AFL12" s="92"/>
      <c r="AFM12" s="2"/>
      <c r="AFN12" s="2"/>
      <c r="AFY12" s="92"/>
      <c r="AFZ12" s="2"/>
      <c r="AGA12" s="2"/>
      <c r="AGL12" s="92"/>
      <c r="AGM12" s="2"/>
      <c r="AGN12" s="2"/>
      <c r="AGY12" s="92"/>
      <c r="AGZ12" s="2"/>
      <c r="AHA12" s="2"/>
      <c r="AHL12" s="92"/>
      <c r="AHM12" s="2"/>
      <c r="AHN12" s="2"/>
      <c r="AHY12" s="92"/>
      <c r="AHZ12" s="2"/>
      <c r="AIA12" s="2"/>
      <c r="AIL12" s="92"/>
      <c r="AIM12" s="2"/>
      <c r="AIN12" s="2"/>
      <c r="AIY12" s="92"/>
      <c r="AIZ12" s="2"/>
      <c r="AJA12" s="2"/>
      <c r="AJL12" s="92"/>
      <c r="AJM12" s="2"/>
      <c r="AJN12" s="2"/>
      <c r="AJY12" s="92"/>
      <c r="AJZ12" s="2"/>
      <c r="AKA12" s="2"/>
      <c r="AKL12" s="92"/>
      <c r="AKM12" s="2"/>
      <c r="AKN12" s="2"/>
      <c r="AKY12" s="92"/>
      <c r="AKZ12" s="2"/>
      <c r="ALA12" s="2"/>
      <c r="ALL12" s="92"/>
      <c r="ALM12" s="2"/>
      <c r="ALN12" s="2"/>
      <c r="ALY12" s="92"/>
      <c r="ALZ12" s="2"/>
      <c r="AMA12" s="2"/>
      <c r="AML12" s="92"/>
      <c r="AMM12" s="2"/>
      <c r="AMN12" s="2"/>
      <c r="AMY12" s="92"/>
      <c r="AMZ12" s="2"/>
      <c r="ANA12" s="2"/>
      <c r="ANL12" s="92"/>
      <c r="ANM12" s="2"/>
      <c r="ANN12" s="2"/>
      <c r="ANY12" s="92"/>
      <c r="ANZ12" s="2"/>
      <c r="AOA12" s="2"/>
      <c r="AOL12" s="92"/>
      <c r="AOM12" s="2"/>
      <c r="AON12" s="2"/>
      <c r="AOY12" s="92"/>
      <c r="AOZ12" s="2"/>
      <c r="APA12" s="2"/>
      <c r="APL12" s="92"/>
      <c r="APM12" s="2"/>
      <c r="APN12" s="2"/>
      <c r="APY12" s="92"/>
      <c r="APZ12" s="2"/>
      <c r="AQA12" s="2"/>
      <c r="AQL12" s="92"/>
      <c r="AQM12" s="2"/>
      <c r="AQN12" s="2"/>
      <c r="AQY12" s="92"/>
      <c r="AQZ12" s="2"/>
      <c r="ARA12" s="2"/>
      <c r="ARL12" s="92"/>
      <c r="ARM12" s="2"/>
      <c r="ARN12" s="2"/>
      <c r="ARY12" s="92"/>
      <c r="ARZ12" s="2"/>
      <c r="ASA12" s="2"/>
      <c r="ASL12" s="92"/>
      <c r="ASM12" s="2"/>
      <c r="ASN12" s="2"/>
      <c r="ASY12" s="92"/>
      <c r="ASZ12" s="2"/>
      <c r="ATA12" s="2"/>
      <c r="ATL12" s="92"/>
      <c r="ATM12" s="2"/>
      <c r="ATN12" s="2"/>
      <c r="ATY12" s="92"/>
      <c r="ATZ12" s="2"/>
      <c r="AUA12" s="2"/>
      <c r="AUL12" s="92"/>
      <c r="AUM12" s="2"/>
      <c r="AUN12" s="2"/>
      <c r="AUY12" s="92"/>
      <c r="AUZ12" s="2"/>
      <c r="AVA12" s="2"/>
      <c r="AVL12" s="92"/>
      <c r="AVM12" s="2"/>
      <c r="AVN12" s="2"/>
      <c r="AVY12" s="92"/>
      <c r="AVZ12" s="2"/>
      <c r="AWA12" s="2"/>
      <c r="AWL12" s="92"/>
      <c r="AWM12" s="2"/>
      <c r="AWN12" s="2"/>
      <c r="AWY12" s="92"/>
      <c r="AWZ12" s="2"/>
      <c r="AXA12" s="2"/>
      <c r="AXL12" s="92"/>
      <c r="AXM12" s="2"/>
      <c r="AXN12" s="2"/>
      <c r="AXY12" s="92"/>
      <c r="AXZ12" s="2"/>
      <c r="AYA12" s="2"/>
      <c r="AYL12" s="92"/>
      <c r="AYM12" s="2"/>
      <c r="AYN12" s="2"/>
      <c r="AYY12" s="92"/>
      <c r="AYZ12" s="2"/>
      <c r="AZA12" s="2"/>
      <c r="AZL12" s="92"/>
      <c r="AZM12" s="2"/>
      <c r="AZN12" s="2"/>
      <c r="AZY12" s="92"/>
      <c r="AZZ12" s="2"/>
      <c r="BAA12" s="2"/>
      <c r="BAL12" s="92"/>
      <c r="BAM12" s="2"/>
      <c r="BAN12" s="2"/>
      <c r="BAY12" s="92"/>
      <c r="BAZ12" s="2"/>
      <c r="BBA12" s="2"/>
      <c r="BBL12" s="92"/>
      <c r="BBM12" s="2"/>
      <c r="BBN12" s="2"/>
      <c r="BBY12" s="92"/>
      <c r="BBZ12" s="2"/>
      <c r="BCA12" s="2"/>
      <c r="BCL12" s="92"/>
      <c r="BCM12" s="2"/>
      <c r="BCN12" s="2"/>
      <c r="BCY12" s="92"/>
      <c r="BCZ12" s="2"/>
      <c r="BDA12" s="2"/>
      <c r="BDL12" s="92"/>
      <c r="BDM12" s="2"/>
      <c r="BDN12" s="2"/>
      <c r="BDY12" s="92"/>
      <c r="BDZ12" s="2"/>
      <c r="BEA12" s="2"/>
      <c r="BEL12" s="92"/>
      <c r="BEM12" s="2"/>
      <c r="BEN12" s="2"/>
      <c r="BEY12" s="92"/>
      <c r="BEZ12" s="2"/>
      <c r="BFA12" s="2"/>
      <c r="BFL12" s="92"/>
      <c r="BFM12" s="2"/>
      <c r="BFN12" s="2"/>
      <c r="BFY12" s="92"/>
      <c r="BFZ12" s="2"/>
      <c r="BGA12" s="2"/>
      <c r="BGL12" s="92"/>
      <c r="BGM12" s="2"/>
      <c r="BGN12" s="2"/>
      <c r="BGY12" s="92"/>
      <c r="BGZ12" s="2"/>
      <c r="BHA12" s="2"/>
      <c r="BHL12" s="92"/>
      <c r="BHM12" s="2"/>
      <c r="BHN12" s="2"/>
      <c r="BHY12" s="92"/>
      <c r="BHZ12" s="2"/>
      <c r="BIA12" s="2"/>
      <c r="BIL12" s="92"/>
      <c r="BIM12" s="2"/>
      <c r="BIN12" s="2"/>
      <c r="BIY12" s="92"/>
      <c r="BIZ12" s="2"/>
      <c r="BJA12" s="2"/>
      <c r="BJL12" s="92"/>
      <c r="BJM12" s="2"/>
      <c r="BJN12" s="2"/>
      <c r="BJY12" s="92"/>
      <c r="BJZ12" s="2"/>
      <c r="BKA12" s="2"/>
      <c r="BKL12" s="92"/>
      <c r="BKM12" s="2"/>
      <c r="BKN12" s="2"/>
      <c r="BKY12" s="92"/>
      <c r="BKZ12" s="2"/>
      <c r="BLA12" s="2"/>
      <c r="BLL12" s="92"/>
      <c r="BLM12" s="2"/>
      <c r="BLN12" s="2"/>
      <c r="BLY12" s="92"/>
      <c r="BLZ12" s="2"/>
      <c r="BMA12" s="2"/>
      <c r="BML12" s="92"/>
      <c r="BMM12" s="2"/>
      <c r="BMN12" s="2"/>
      <c r="BMY12" s="92"/>
      <c r="BMZ12" s="2"/>
      <c r="BNA12" s="2"/>
      <c r="BNL12" s="92"/>
      <c r="BNM12" s="2"/>
      <c r="BNN12" s="2"/>
      <c r="BNY12" s="92"/>
      <c r="BNZ12" s="2"/>
      <c r="BOA12" s="2"/>
      <c r="BOL12" s="92"/>
      <c r="BOM12" s="2"/>
      <c r="BON12" s="2"/>
      <c r="BOY12" s="92"/>
      <c r="BOZ12" s="2"/>
      <c r="BPA12" s="2"/>
      <c r="BPL12" s="92"/>
      <c r="BPM12" s="2"/>
      <c r="BPN12" s="2"/>
      <c r="BPY12" s="92"/>
      <c r="BPZ12" s="2"/>
      <c r="BQA12" s="2"/>
      <c r="BQL12" s="92"/>
      <c r="BQM12" s="2"/>
      <c r="BQN12" s="2"/>
      <c r="BQY12" s="92"/>
      <c r="BQZ12" s="2"/>
      <c r="BRA12" s="2"/>
      <c r="BRL12" s="92"/>
      <c r="BRM12" s="2"/>
      <c r="BRN12" s="2"/>
      <c r="BRY12" s="92"/>
      <c r="BRZ12" s="2"/>
      <c r="BSA12" s="2"/>
      <c r="BSL12" s="92"/>
      <c r="BSM12" s="2"/>
      <c r="BSN12" s="2"/>
      <c r="BSY12" s="92"/>
      <c r="BSZ12" s="2"/>
      <c r="BTA12" s="2"/>
      <c r="BTL12" s="92"/>
      <c r="BTM12" s="2"/>
      <c r="BTN12" s="2"/>
      <c r="BTY12" s="92"/>
      <c r="BTZ12" s="2"/>
      <c r="BUA12" s="2"/>
      <c r="BUL12" s="92"/>
      <c r="BUM12" s="2"/>
      <c r="BUN12" s="2"/>
      <c r="BUY12" s="92"/>
      <c r="BUZ12" s="2"/>
      <c r="BVA12" s="2"/>
      <c r="BVL12" s="92"/>
      <c r="BVM12" s="2"/>
      <c r="BVN12" s="2"/>
      <c r="BVY12" s="92"/>
      <c r="BVZ12" s="2"/>
      <c r="BWA12" s="2"/>
      <c r="BWL12" s="92"/>
      <c r="BWM12" s="2"/>
      <c r="BWN12" s="2"/>
      <c r="BWY12" s="92"/>
      <c r="BWZ12" s="2"/>
      <c r="BXA12" s="2"/>
      <c r="BXL12" s="92"/>
      <c r="BXM12" s="2"/>
      <c r="BXN12" s="2"/>
      <c r="BXY12" s="92"/>
      <c r="BXZ12" s="2"/>
      <c r="BYA12" s="2"/>
      <c r="BYL12" s="92"/>
      <c r="BYM12" s="2"/>
      <c r="BYN12" s="2"/>
      <c r="BYY12" s="92"/>
      <c r="BYZ12" s="2"/>
      <c r="BZA12" s="2"/>
      <c r="BZL12" s="92"/>
      <c r="BZM12" s="2"/>
      <c r="BZN12" s="2"/>
      <c r="BZY12" s="92"/>
      <c r="BZZ12" s="2"/>
      <c r="CAA12" s="2"/>
      <c r="CAL12" s="92"/>
      <c r="CAM12" s="2"/>
      <c r="CAN12" s="2"/>
      <c r="CAY12" s="92"/>
      <c r="CAZ12" s="2"/>
      <c r="CBA12" s="2"/>
      <c r="CBL12" s="92"/>
      <c r="CBM12" s="2"/>
      <c r="CBN12" s="2"/>
      <c r="CBY12" s="92"/>
      <c r="CBZ12" s="2"/>
      <c r="CCA12" s="2"/>
      <c r="CCL12" s="92"/>
      <c r="CCM12" s="2"/>
      <c r="CCN12" s="2"/>
      <c r="CCY12" s="92"/>
      <c r="CCZ12" s="2"/>
      <c r="CDA12" s="2"/>
      <c r="CDL12" s="92"/>
      <c r="CDM12" s="2"/>
      <c r="CDN12" s="2"/>
      <c r="CDY12" s="92"/>
      <c r="CDZ12" s="2"/>
      <c r="CEA12" s="2"/>
      <c r="CEL12" s="92"/>
      <c r="CEM12" s="2"/>
      <c r="CEN12" s="2"/>
      <c r="CEY12" s="92"/>
      <c r="CEZ12" s="2"/>
      <c r="CFA12" s="2"/>
      <c r="CFL12" s="92"/>
      <c r="CFM12" s="2"/>
      <c r="CFN12" s="2"/>
      <c r="CFY12" s="92"/>
      <c r="CFZ12" s="2"/>
      <c r="CGA12" s="2"/>
      <c r="CGL12" s="92"/>
      <c r="CGM12" s="2"/>
      <c r="CGN12" s="2"/>
      <c r="CGY12" s="92"/>
      <c r="CGZ12" s="2"/>
      <c r="CHA12" s="2"/>
      <c r="CHL12" s="92"/>
      <c r="CHM12" s="2"/>
      <c r="CHN12" s="2"/>
      <c r="CHY12" s="92"/>
      <c r="CHZ12" s="2"/>
      <c r="CIA12" s="2"/>
      <c r="CIL12" s="92"/>
      <c r="CIM12" s="2"/>
      <c r="CIN12" s="2"/>
      <c r="CIY12" s="92"/>
      <c r="CIZ12" s="2"/>
      <c r="CJA12" s="2"/>
      <c r="CJL12" s="92"/>
      <c r="CJM12" s="2"/>
      <c r="CJN12" s="2"/>
      <c r="CJY12" s="92"/>
      <c r="CJZ12" s="2"/>
      <c r="CKA12" s="2"/>
      <c r="CKL12" s="92"/>
      <c r="CKM12" s="2"/>
      <c r="CKN12" s="2"/>
      <c r="CKY12" s="92"/>
      <c r="CKZ12" s="2"/>
      <c r="CLA12" s="2"/>
      <c r="CLL12" s="92"/>
      <c r="CLM12" s="2"/>
      <c r="CLN12" s="2"/>
      <c r="CLY12" s="92"/>
      <c r="CLZ12" s="2"/>
      <c r="CMA12" s="2"/>
      <c r="CML12" s="92"/>
      <c r="CMM12" s="2"/>
      <c r="CMN12" s="2"/>
      <c r="CMY12" s="92"/>
      <c r="CMZ12" s="2"/>
      <c r="CNA12" s="2"/>
      <c r="CNL12" s="92"/>
      <c r="CNM12" s="2"/>
      <c r="CNN12" s="2"/>
      <c r="CNY12" s="92"/>
      <c r="CNZ12" s="2"/>
      <c r="COA12" s="2"/>
      <c r="COL12" s="92"/>
      <c r="COM12" s="2"/>
      <c r="CON12" s="2"/>
      <c r="COY12" s="92"/>
      <c r="COZ12" s="2"/>
      <c r="CPA12" s="2"/>
      <c r="CPL12" s="92"/>
      <c r="CPM12" s="2"/>
      <c r="CPN12" s="2"/>
      <c r="CPY12" s="92"/>
      <c r="CPZ12" s="2"/>
      <c r="CQA12" s="2"/>
      <c r="CQL12" s="92"/>
      <c r="CQM12" s="2"/>
      <c r="CQN12" s="2"/>
      <c r="CQY12" s="92"/>
      <c r="CQZ12" s="2"/>
      <c r="CRA12" s="2"/>
      <c r="CRL12" s="92"/>
      <c r="CRM12" s="2"/>
      <c r="CRN12" s="2"/>
      <c r="CRY12" s="92"/>
      <c r="CRZ12" s="2"/>
      <c r="CSA12" s="2"/>
      <c r="CSL12" s="92"/>
      <c r="CSM12" s="2"/>
      <c r="CSN12" s="2"/>
      <c r="CSY12" s="92"/>
      <c r="CSZ12" s="2"/>
      <c r="CTA12" s="2"/>
      <c r="CTL12" s="92"/>
      <c r="CTM12" s="2"/>
      <c r="CTN12" s="2"/>
      <c r="CTY12" s="92"/>
      <c r="CTZ12" s="2"/>
      <c r="CUA12" s="2"/>
      <c r="CUL12" s="92"/>
      <c r="CUM12" s="2"/>
      <c r="CUN12" s="2"/>
      <c r="CUY12" s="92"/>
      <c r="CUZ12" s="2"/>
      <c r="CVA12" s="2"/>
      <c r="CVL12" s="92"/>
      <c r="CVM12" s="2"/>
      <c r="CVN12" s="2"/>
      <c r="CVY12" s="92"/>
      <c r="CVZ12" s="2"/>
      <c r="CWA12" s="2"/>
      <c r="CWL12" s="92"/>
      <c r="CWM12" s="2"/>
      <c r="CWN12" s="2"/>
      <c r="CWY12" s="92"/>
      <c r="CWZ12" s="2"/>
      <c r="CXA12" s="2"/>
      <c r="CXL12" s="92"/>
      <c r="CXM12" s="2"/>
      <c r="CXN12" s="2"/>
      <c r="CXY12" s="92"/>
      <c r="CXZ12" s="2"/>
      <c r="CYA12" s="2"/>
      <c r="CYL12" s="92"/>
      <c r="CYM12" s="2"/>
      <c r="CYN12" s="2"/>
      <c r="CYY12" s="92"/>
      <c r="CYZ12" s="2"/>
      <c r="CZA12" s="2"/>
      <c r="CZL12" s="92"/>
      <c r="CZM12" s="2"/>
      <c r="CZN12" s="2"/>
      <c r="CZY12" s="92"/>
      <c r="CZZ12" s="2"/>
      <c r="DAA12" s="2"/>
      <c r="DAL12" s="92"/>
      <c r="DAM12" s="2"/>
      <c r="DAN12" s="2"/>
      <c r="DAY12" s="92"/>
      <c r="DAZ12" s="2"/>
      <c r="DBA12" s="2"/>
      <c r="DBL12" s="92"/>
      <c r="DBM12" s="2"/>
      <c r="DBN12" s="2"/>
      <c r="DBY12" s="92"/>
      <c r="DBZ12" s="2"/>
      <c r="DCA12" s="2"/>
      <c r="DCL12" s="92"/>
      <c r="DCM12" s="2"/>
      <c r="DCN12" s="2"/>
      <c r="DCY12" s="92"/>
      <c r="DCZ12" s="2"/>
      <c r="DDA12" s="2"/>
      <c r="DDL12" s="92"/>
      <c r="DDM12" s="2"/>
      <c r="DDN12" s="2"/>
      <c r="DDY12" s="92"/>
      <c r="DDZ12" s="2"/>
      <c r="DEA12" s="2"/>
      <c r="DEL12" s="92"/>
      <c r="DEM12" s="2"/>
      <c r="DEN12" s="2"/>
      <c r="DEY12" s="92"/>
      <c r="DEZ12" s="2"/>
      <c r="DFA12" s="2"/>
      <c r="DFL12" s="92"/>
      <c r="DFM12" s="2"/>
      <c r="DFN12" s="2"/>
      <c r="DFY12" s="92"/>
      <c r="DFZ12" s="2"/>
      <c r="DGA12" s="2"/>
      <c r="DGL12" s="92"/>
      <c r="DGM12" s="2"/>
      <c r="DGN12" s="2"/>
      <c r="DGY12" s="92"/>
      <c r="DGZ12" s="2"/>
      <c r="DHA12" s="2"/>
      <c r="DHL12" s="92"/>
      <c r="DHM12" s="2"/>
      <c r="DHN12" s="2"/>
      <c r="DHY12" s="92"/>
      <c r="DHZ12" s="2"/>
      <c r="DIA12" s="2"/>
      <c r="DIL12" s="92"/>
      <c r="DIM12" s="2"/>
      <c r="DIN12" s="2"/>
      <c r="DIY12" s="92"/>
      <c r="DIZ12" s="2"/>
      <c r="DJA12" s="2"/>
      <c r="DJL12" s="92"/>
      <c r="DJM12" s="2"/>
      <c r="DJN12" s="2"/>
      <c r="DJY12" s="92"/>
      <c r="DJZ12" s="2"/>
      <c r="DKA12" s="2"/>
      <c r="DKL12" s="92"/>
      <c r="DKM12" s="2"/>
      <c r="DKN12" s="2"/>
      <c r="DKY12" s="92"/>
      <c r="DKZ12" s="2"/>
      <c r="DLA12" s="2"/>
      <c r="DLL12" s="92"/>
      <c r="DLM12" s="2"/>
      <c r="DLN12" s="2"/>
      <c r="DLY12" s="92"/>
      <c r="DLZ12" s="2"/>
      <c r="DMA12" s="2"/>
      <c r="DML12" s="92"/>
      <c r="DMM12" s="2"/>
      <c r="DMN12" s="2"/>
      <c r="DMY12" s="92"/>
      <c r="DMZ12" s="2"/>
      <c r="DNA12" s="2"/>
      <c r="DNL12" s="92"/>
      <c r="DNM12" s="2"/>
      <c r="DNN12" s="2"/>
      <c r="DNY12" s="92"/>
      <c r="DNZ12" s="2"/>
      <c r="DOA12" s="2"/>
      <c r="DOL12" s="92"/>
      <c r="DOM12" s="2"/>
      <c r="DON12" s="2"/>
      <c r="DOY12" s="92"/>
      <c r="DOZ12" s="2"/>
      <c r="DPA12" s="2"/>
      <c r="DPL12" s="92"/>
      <c r="DPM12" s="2"/>
      <c r="DPN12" s="2"/>
      <c r="DPY12" s="92"/>
      <c r="DPZ12" s="2"/>
      <c r="DQA12" s="2"/>
      <c r="DQL12" s="92"/>
      <c r="DQM12" s="2"/>
      <c r="DQN12" s="2"/>
      <c r="DQY12" s="92"/>
      <c r="DQZ12" s="2"/>
      <c r="DRA12" s="2"/>
      <c r="DRL12" s="92"/>
      <c r="DRM12" s="2"/>
      <c r="DRN12" s="2"/>
      <c r="DRY12" s="92"/>
      <c r="DRZ12" s="2"/>
      <c r="DSA12" s="2"/>
      <c r="DSL12" s="92"/>
      <c r="DSM12" s="2"/>
      <c r="DSN12" s="2"/>
      <c r="DSY12" s="92"/>
      <c r="DSZ12" s="2"/>
      <c r="DTA12" s="2"/>
      <c r="DTL12" s="92"/>
      <c r="DTM12" s="2"/>
      <c r="DTN12" s="2"/>
      <c r="DTY12" s="92"/>
      <c r="DTZ12" s="2"/>
      <c r="DUA12" s="2"/>
      <c r="DUL12" s="92"/>
      <c r="DUM12" s="2"/>
      <c r="DUN12" s="2"/>
      <c r="DUY12" s="92"/>
      <c r="DUZ12" s="2"/>
      <c r="DVA12" s="2"/>
      <c r="DVL12" s="92"/>
      <c r="DVM12" s="2"/>
      <c r="DVN12" s="2"/>
      <c r="DVY12" s="92"/>
      <c r="DVZ12" s="2"/>
      <c r="DWA12" s="2"/>
      <c r="DWL12" s="92"/>
      <c r="DWM12" s="2"/>
      <c r="DWN12" s="2"/>
      <c r="DWY12" s="92"/>
      <c r="DWZ12" s="2"/>
      <c r="DXA12" s="2"/>
      <c r="DXL12" s="92"/>
      <c r="DXM12" s="2"/>
      <c r="DXN12" s="2"/>
      <c r="DXY12" s="92"/>
      <c r="DXZ12" s="2"/>
      <c r="DYA12" s="2"/>
      <c r="DYL12" s="92"/>
      <c r="DYM12" s="2"/>
      <c r="DYN12" s="2"/>
      <c r="DYY12" s="92"/>
      <c r="DYZ12" s="2"/>
      <c r="DZA12" s="2"/>
      <c r="DZL12" s="92"/>
      <c r="DZM12" s="2"/>
      <c r="DZN12" s="2"/>
      <c r="DZY12" s="92"/>
      <c r="DZZ12" s="2"/>
      <c r="EAA12" s="2"/>
      <c r="EAL12" s="92"/>
      <c r="EAM12" s="2"/>
      <c r="EAN12" s="2"/>
      <c r="EAY12" s="92"/>
      <c r="EAZ12" s="2"/>
      <c r="EBA12" s="2"/>
      <c r="EBL12" s="92"/>
      <c r="EBM12" s="2"/>
      <c r="EBN12" s="2"/>
      <c r="EBY12" s="92"/>
      <c r="EBZ12" s="2"/>
      <c r="ECA12" s="2"/>
      <c r="ECL12" s="92"/>
      <c r="ECM12" s="2"/>
      <c r="ECN12" s="2"/>
      <c r="ECY12" s="92"/>
      <c r="ECZ12" s="2"/>
      <c r="EDA12" s="2"/>
      <c r="EDL12" s="92"/>
      <c r="EDM12" s="2"/>
      <c r="EDN12" s="2"/>
      <c r="EDY12" s="92"/>
      <c r="EDZ12" s="2"/>
      <c r="EEA12" s="2"/>
      <c r="EEL12" s="92"/>
      <c r="EEM12" s="2"/>
      <c r="EEN12" s="2"/>
      <c r="EEY12" s="92"/>
      <c r="EEZ12" s="2"/>
      <c r="EFA12" s="2"/>
      <c r="EFL12" s="92"/>
      <c r="EFM12" s="2"/>
      <c r="EFN12" s="2"/>
      <c r="EFY12" s="92"/>
      <c r="EFZ12" s="2"/>
      <c r="EGA12" s="2"/>
      <c r="EGL12" s="92"/>
      <c r="EGM12" s="2"/>
      <c r="EGN12" s="2"/>
      <c r="EGY12" s="92"/>
      <c r="EGZ12" s="2"/>
      <c r="EHA12" s="2"/>
      <c r="EHL12" s="92"/>
      <c r="EHM12" s="2"/>
      <c r="EHN12" s="2"/>
      <c r="EHY12" s="92"/>
      <c r="EHZ12" s="2"/>
      <c r="EIA12" s="2"/>
      <c r="EIL12" s="92"/>
      <c r="EIM12" s="2"/>
      <c r="EIN12" s="2"/>
      <c r="EIY12" s="92"/>
      <c r="EIZ12" s="2"/>
      <c r="EJA12" s="2"/>
      <c r="EJL12" s="92"/>
      <c r="EJM12" s="2"/>
      <c r="EJN12" s="2"/>
      <c r="EJY12" s="92"/>
      <c r="EJZ12" s="2"/>
      <c r="EKA12" s="2"/>
      <c r="EKL12" s="92"/>
      <c r="EKM12" s="2"/>
      <c r="EKN12" s="2"/>
      <c r="EKY12" s="92"/>
      <c r="EKZ12" s="2"/>
      <c r="ELA12" s="2"/>
      <c r="ELL12" s="92"/>
      <c r="ELM12" s="2"/>
      <c r="ELN12" s="2"/>
      <c r="ELY12" s="92"/>
      <c r="ELZ12" s="2"/>
      <c r="EMA12" s="2"/>
      <c r="EML12" s="92"/>
      <c r="EMM12" s="2"/>
      <c r="EMN12" s="2"/>
      <c r="EMY12" s="92"/>
      <c r="EMZ12" s="2"/>
      <c r="ENA12" s="2"/>
      <c r="ENL12" s="92"/>
      <c r="ENM12" s="2"/>
      <c r="ENN12" s="2"/>
      <c r="ENY12" s="92"/>
      <c r="ENZ12" s="2"/>
      <c r="EOA12" s="2"/>
      <c r="EOL12" s="92"/>
      <c r="EOM12" s="2"/>
      <c r="EON12" s="2"/>
      <c r="EOY12" s="92"/>
      <c r="EOZ12" s="2"/>
      <c r="EPA12" s="2"/>
      <c r="EPL12" s="92"/>
      <c r="EPM12" s="2"/>
      <c r="EPN12" s="2"/>
      <c r="EPY12" s="92"/>
      <c r="EPZ12" s="2"/>
      <c r="EQA12" s="2"/>
      <c r="EQL12" s="92"/>
      <c r="EQM12" s="2"/>
      <c r="EQN12" s="2"/>
      <c r="EQY12" s="92"/>
      <c r="EQZ12" s="2"/>
      <c r="ERA12" s="2"/>
      <c r="ERL12" s="92"/>
      <c r="ERM12" s="2"/>
      <c r="ERN12" s="2"/>
      <c r="ERY12" s="92"/>
      <c r="ERZ12" s="2"/>
      <c r="ESA12" s="2"/>
      <c r="ESL12" s="92"/>
      <c r="ESM12" s="2"/>
      <c r="ESN12" s="2"/>
      <c r="ESY12" s="92"/>
      <c r="ESZ12" s="2"/>
      <c r="ETA12" s="2"/>
      <c r="ETL12" s="92"/>
      <c r="ETM12" s="2"/>
      <c r="ETN12" s="2"/>
      <c r="ETY12" s="92"/>
      <c r="ETZ12" s="2"/>
      <c r="EUA12" s="2"/>
      <c r="EUL12" s="92"/>
      <c r="EUM12" s="2"/>
      <c r="EUN12" s="2"/>
      <c r="EUY12" s="92"/>
      <c r="EUZ12" s="2"/>
      <c r="EVA12" s="2"/>
      <c r="EVL12" s="92"/>
      <c r="EVM12" s="2"/>
      <c r="EVN12" s="2"/>
      <c r="EVY12" s="92"/>
      <c r="EVZ12" s="2"/>
      <c r="EWA12" s="2"/>
      <c r="EWL12" s="92"/>
      <c r="EWM12" s="2"/>
      <c r="EWN12" s="2"/>
      <c r="EWY12" s="92"/>
      <c r="EWZ12" s="2"/>
      <c r="EXA12" s="2"/>
      <c r="EXL12" s="92"/>
      <c r="EXM12" s="2"/>
      <c r="EXN12" s="2"/>
      <c r="EXY12" s="92"/>
      <c r="EXZ12" s="2"/>
      <c r="EYA12" s="2"/>
      <c r="EYL12" s="92"/>
      <c r="EYM12" s="2"/>
      <c r="EYN12" s="2"/>
      <c r="EYY12" s="92"/>
      <c r="EYZ12" s="2"/>
      <c r="EZA12" s="2"/>
      <c r="EZL12" s="92"/>
      <c r="EZM12" s="2"/>
      <c r="EZN12" s="2"/>
      <c r="EZY12" s="92"/>
      <c r="EZZ12" s="2"/>
      <c r="FAA12" s="2"/>
      <c r="FAL12" s="92"/>
      <c r="FAM12" s="2"/>
      <c r="FAN12" s="2"/>
      <c r="FAY12" s="92"/>
      <c r="FAZ12" s="2"/>
      <c r="FBA12" s="2"/>
      <c r="FBL12" s="92"/>
      <c r="FBM12" s="2"/>
      <c r="FBN12" s="2"/>
      <c r="FBY12" s="92"/>
      <c r="FBZ12" s="2"/>
      <c r="FCA12" s="2"/>
      <c r="FCL12" s="92"/>
      <c r="FCM12" s="2"/>
      <c r="FCN12" s="2"/>
      <c r="FCY12" s="92"/>
      <c r="FCZ12" s="2"/>
      <c r="FDA12" s="2"/>
      <c r="FDL12" s="92"/>
      <c r="FDM12" s="2"/>
      <c r="FDN12" s="2"/>
      <c r="FDY12" s="92"/>
      <c r="FDZ12" s="2"/>
      <c r="FEA12" s="2"/>
      <c r="FEL12" s="92"/>
      <c r="FEM12" s="2"/>
      <c r="FEN12" s="2"/>
      <c r="FEY12" s="92"/>
      <c r="FEZ12" s="2"/>
      <c r="FFA12" s="2"/>
      <c r="FFL12" s="92"/>
      <c r="FFM12" s="2"/>
      <c r="FFN12" s="2"/>
      <c r="FFY12" s="92"/>
      <c r="FFZ12" s="2"/>
      <c r="FGA12" s="2"/>
      <c r="FGL12" s="92"/>
      <c r="FGM12" s="2"/>
      <c r="FGN12" s="2"/>
      <c r="FGY12" s="92"/>
      <c r="FGZ12" s="2"/>
      <c r="FHA12" s="2"/>
      <c r="FHL12" s="92"/>
      <c r="FHM12" s="2"/>
      <c r="FHN12" s="2"/>
      <c r="FHY12" s="92"/>
      <c r="FHZ12" s="2"/>
      <c r="FIA12" s="2"/>
      <c r="FIL12" s="92"/>
      <c r="FIM12" s="2"/>
      <c r="FIN12" s="2"/>
      <c r="FIY12" s="92"/>
      <c r="FIZ12" s="2"/>
      <c r="FJA12" s="2"/>
      <c r="FJL12" s="92"/>
      <c r="FJM12" s="2"/>
      <c r="FJN12" s="2"/>
      <c r="FJY12" s="92"/>
      <c r="FJZ12" s="2"/>
      <c r="FKA12" s="2"/>
      <c r="FKL12" s="92"/>
      <c r="FKM12" s="2"/>
      <c r="FKN12" s="2"/>
      <c r="FKY12" s="92"/>
      <c r="FKZ12" s="2"/>
      <c r="FLA12" s="2"/>
      <c r="FLL12" s="92"/>
      <c r="FLM12" s="2"/>
      <c r="FLN12" s="2"/>
      <c r="FLY12" s="92"/>
      <c r="FLZ12" s="2"/>
      <c r="FMA12" s="2"/>
      <c r="FML12" s="92"/>
      <c r="FMM12" s="2"/>
      <c r="FMN12" s="2"/>
      <c r="FMY12" s="92"/>
      <c r="FMZ12" s="2"/>
      <c r="FNA12" s="2"/>
      <c r="FNL12" s="92"/>
      <c r="FNM12" s="2"/>
      <c r="FNN12" s="2"/>
      <c r="FNY12" s="92"/>
      <c r="FNZ12" s="2"/>
      <c r="FOA12" s="2"/>
      <c r="FOL12" s="92"/>
      <c r="FOM12" s="2"/>
      <c r="FON12" s="2"/>
      <c r="FOY12" s="92"/>
      <c r="FOZ12" s="2"/>
      <c r="FPA12" s="2"/>
      <c r="FPL12" s="92"/>
      <c r="FPM12" s="2"/>
      <c r="FPN12" s="2"/>
      <c r="FPY12" s="92"/>
      <c r="FPZ12" s="2"/>
      <c r="FQA12" s="2"/>
      <c r="FQL12" s="92"/>
      <c r="FQM12" s="2"/>
      <c r="FQN12" s="2"/>
      <c r="FQY12" s="92"/>
      <c r="FQZ12" s="2"/>
      <c r="FRA12" s="2"/>
      <c r="FRL12" s="92"/>
      <c r="FRM12" s="2"/>
      <c r="FRN12" s="2"/>
      <c r="FRY12" s="92"/>
      <c r="FRZ12" s="2"/>
      <c r="FSA12" s="2"/>
      <c r="FSL12" s="92"/>
      <c r="FSM12" s="2"/>
      <c r="FSN12" s="2"/>
      <c r="FSY12" s="92"/>
      <c r="FSZ12" s="2"/>
      <c r="FTA12" s="2"/>
      <c r="FTL12" s="92"/>
      <c r="FTM12" s="2"/>
      <c r="FTN12" s="2"/>
      <c r="FTY12" s="92"/>
      <c r="FTZ12" s="2"/>
      <c r="FUA12" s="2"/>
      <c r="FUL12" s="92"/>
      <c r="FUM12" s="2"/>
      <c r="FUN12" s="2"/>
      <c r="FUY12" s="92"/>
      <c r="FUZ12" s="2"/>
      <c r="FVA12" s="2"/>
      <c r="FVL12" s="92"/>
      <c r="FVM12" s="2"/>
      <c r="FVN12" s="2"/>
      <c r="FVY12" s="92"/>
      <c r="FVZ12" s="2"/>
      <c r="FWA12" s="2"/>
      <c r="FWL12" s="92"/>
      <c r="FWM12" s="2"/>
      <c r="FWN12" s="2"/>
      <c r="FWY12" s="92"/>
      <c r="FWZ12" s="2"/>
      <c r="FXA12" s="2"/>
      <c r="FXL12" s="92"/>
      <c r="FXM12" s="2"/>
      <c r="FXN12" s="2"/>
      <c r="FXY12" s="92"/>
      <c r="FXZ12" s="2"/>
      <c r="FYA12" s="2"/>
      <c r="FYL12" s="92"/>
      <c r="FYM12" s="2"/>
      <c r="FYN12" s="2"/>
      <c r="FYY12" s="92"/>
      <c r="FYZ12" s="2"/>
      <c r="FZA12" s="2"/>
      <c r="FZL12" s="92"/>
      <c r="FZM12" s="2"/>
      <c r="FZN12" s="2"/>
      <c r="FZY12" s="92"/>
      <c r="FZZ12" s="2"/>
      <c r="GAA12" s="2"/>
      <c r="GAL12" s="92"/>
      <c r="GAM12" s="2"/>
      <c r="GAN12" s="2"/>
      <c r="GAY12" s="92"/>
      <c r="GAZ12" s="2"/>
      <c r="GBA12" s="2"/>
      <c r="GBL12" s="92"/>
      <c r="GBM12" s="2"/>
      <c r="GBN12" s="2"/>
      <c r="GBY12" s="92"/>
      <c r="GBZ12" s="2"/>
      <c r="GCA12" s="2"/>
      <c r="GCL12" s="92"/>
      <c r="GCM12" s="2"/>
      <c r="GCN12" s="2"/>
      <c r="GCY12" s="92"/>
      <c r="GCZ12" s="2"/>
      <c r="GDA12" s="2"/>
      <c r="GDL12" s="92"/>
      <c r="GDM12" s="2"/>
      <c r="GDN12" s="2"/>
      <c r="GDY12" s="92"/>
      <c r="GDZ12" s="2"/>
      <c r="GEA12" s="2"/>
      <c r="GEL12" s="92"/>
      <c r="GEM12" s="2"/>
      <c r="GEN12" s="2"/>
      <c r="GEY12" s="92"/>
      <c r="GEZ12" s="2"/>
      <c r="GFA12" s="2"/>
      <c r="GFL12" s="92"/>
      <c r="GFM12" s="2"/>
      <c r="GFN12" s="2"/>
      <c r="GFY12" s="92"/>
      <c r="GFZ12" s="2"/>
      <c r="GGA12" s="2"/>
      <c r="GGL12" s="92"/>
      <c r="GGM12" s="2"/>
      <c r="GGN12" s="2"/>
      <c r="GGY12" s="92"/>
      <c r="GGZ12" s="2"/>
      <c r="GHA12" s="2"/>
      <c r="GHL12" s="92"/>
      <c r="GHM12" s="2"/>
      <c r="GHN12" s="2"/>
      <c r="GHY12" s="92"/>
      <c r="GHZ12" s="2"/>
      <c r="GIA12" s="2"/>
      <c r="GIL12" s="92"/>
      <c r="GIM12" s="2"/>
      <c r="GIN12" s="2"/>
      <c r="GIY12" s="92"/>
      <c r="GIZ12" s="2"/>
      <c r="GJA12" s="2"/>
      <c r="GJL12" s="92"/>
      <c r="GJM12" s="2"/>
      <c r="GJN12" s="2"/>
      <c r="GJY12" s="92"/>
      <c r="GJZ12" s="2"/>
      <c r="GKA12" s="2"/>
      <c r="GKL12" s="92"/>
      <c r="GKM12" s="2"/>
      <c r="GKN12" s="2"/>
      <c r="GKY12" s="92"/>
      <c r="GKZ12" s="2"/>
      <c r="GLA12" s="2"/>
      <c r="GLL12" s="92"/>
      <c r="GLM12" s="2"/>
      <c r="GLN12" s="2"/>
      <c r="GLY12" s="92"/>
      <c r="GLZ12" s="2"/>
      <c r="GMA12" s="2"/>
      <c r="GML12" s="92"/>
      <c r="GMM12" s="2"/>
      <c r="GMN12" s="2"/>
      <c r="GMY12" s="92"/>
      <c r="GMZ12" s="2"/>
      <c r="GNA12" s="2"/>
      <c r="GNL12" s="92"/>
      <c r="GNM12" s="2"/>
      <c r="GNN12" s="2"/>
      <c r="GNY12" s="92"/>
      <c r="GNZ12" s="2"/>
      <c r="GOA12" s="2"/>
      <c r="GOL12" s="92"/>
      <c r="GOM12" s="2"/>
      <c r="GON12" s="2"/>
      <c r="GOY12" s="92"/>
      <c r="GOZ12" s="2"/>
      <c r="GPA12" s="2"/>
      <c r="GPL12" s="92"/>
      <c r="GPM12" s="2"/>
      <c r="GPN12" s="2"/>
      <c r="GPY12" s="92"/>
      <c r="GPZ12" s="2"/>
      <c r="GQA12" s="2"/>
      <c r="GQL12" s="92"/>
      <c r="GQM12" s="2"/>
      <c r="GQN12" s="2"/>
      <c r="GQY12" s="92"/>
      <c r="GQZ12" s="2"/>
      <c r="GRA12" s="2"/>
      <c r="GRL12" s="92"/>
      <c r="GRM12" s="2"/>
      <c r="GRN12" s="2"/>
      <c r="GRY12" s="92"/>
      <c r="GRZ12" s="2"/>
      <c r="GSA12" s="2"/>
      <c r="GSL12" s="92"/>
      <c r="GSM12" s="2"/>
      <c r="GSN12" s="2"/>
      <c r="GSY12" s="92"/>
      <c r="GSZ12" s="2"/>
      <c r="GTA12" s="2"/>
      <c r="GTL12" s="92"/>
      <c r="GTM12" s="2"/>
      <c r="GTN12" s="2"/>
      <c r="GTY12" s="92"/>
      <c r="GTZ12" s="2"/>
      <c r="GUA12" s="2"/>
      <c r="GUL12" s="92"/>
      <c r="GUM12" s="2"/>
      <c r="GUN12" s="2"/>
      <c r="GUY12" s="92"/>
      <c r="GUZ12" s="2"/>
      <c r="GVA12" s="2"/>
      <c r="GVL12" s="92"/>
      <c r="GVM12" s="2"/>
      <c r="GVN12" s="2"/>
      <c r="GVY12" s="92"/>
      <c r="GVZ12" s="2"/>
      <c r="GWA12" s="2"/>
      <c r="GWL12" s="92"/>
      <c r="GWM12" s="2"/>
      <c r="GWN12" s="2"/>
      <c r="GWY12" s="92"/>
      <c r="GWZ12" s="2"/>
      <c r="GXA12" s="2"/>
      <c r="GXL12" s="92"/>
      <c r="GXM12" s="2"/>
      <c r="GXN12" s="2"/>
      <c r="GXY12" s="92"/>
      <c r="GXZ12" s="2"/>
      <c r="GYA12" s="2"/>
      <c r="GYL12" s="92"/>
      <c r="GYM12" s="2"/>
      <c r="GYN12" s="2"/>
      <c r="GYY12" s="92"/>
      <c r="GYZ12" s="2"/>
      <c r="GZA12" s="2"/>
      <c r="GZL12" s="92"/>
      <c r="GZM12" s="2"/>
      <c r="GZN12" s="2"/>
      <c r="GZY12" s="92"/>
      <c r="GZZ12" s="2"/>
      <c r="HAA12" s="2"/>
      <c r="HAL12" s="92"/>
      <c r="HAM12" s="2"/>
      <c r="HAN12" s="2"/>
      <c r="HAY12" s="92"/>
      <c r="HAZ12" s="2"/>
      <c r="HBA12" s="2"/>
      <c r="HBL12" s="92"/>
      <c r="HBM12" s="2"/>
      <c r="HBN12" s="2"/>
      <c r="HBY12" s="92"/>
      <c r="HBZ12" s="2"/>
      <c r="HCA12" s="2"/>
      <c r="HCL12" s="92"/>
      <c r="HCM12" s="2"/>
      <c r="HCN12" s="2"/>
      <c r="HCY12" s="92"/>
      <c r="HCZ12" s="2"/>
      <c r="HDA12" s="2"/>
      <c r="HDL12" s="92"/>
      <c r="HDM12" s="2"/>
      <c r="HDN12" s="2"/>
      <c r="HDY12" s="92"/>
      <c r="HDZ12" s="2"/>
      <c r="HEA12" s="2"/>
      <c r="HEL12" s="92"/>
      <c r="HEM12" s="2"/>
      <c r="HEN12" s="2"/>
      <c r="HEY12" s="92"/>
      <c r="HEZ12" s="2"/>
      <c r="HFA12" s="2"/>
      <c r="HFL12" s="92"/>
      <c r="HFM12" s="2"/>
      <c r="HFN12" s="2"/>
      <c r="HFY12" s="92"/>
      <c r="HFZ12" s="2"/>
      <c r="HGA12" s="2"/>
      <c r="HGL12" s="92"/>
      <c r="HGM12" s="2"/>
      <c r="HGN12" s="2"/>
      <c r="HGY12" s="92"/>
      <c r="HGZ12" s="2"/>
      <c r="HHA12" s="2"/>
      <c r="HHL12" s="92"/>
      <c r="HHM12" s="2"/>
      <c r="HHN12" s="2"/>
      <c r="HHY12" s="92"/>
      <c r="HHZ12" s="2"/>
      <c r="HIA12" s="2"/>
      <c r="HIL12" s="92"/>
      <c r="HIM12" s="2"/>
      <c r="HIN12" s="2"/>
      <c r="HIY12" s="92"/>
      <c r="HIZ12" s="2"/>
      <c r="HJA12" s="2"/>
      <c r="HJL12" s="92"/>
      <c r="HJM12" s="2"/>
      <c r="HJN12" s="2"/>
      <c r="HJY12" s="92"/>
      <c r="HJZ12" s="2"/>
      <c r="HKA12" s="2"/>
      <c r="HKL12" s="92"/>
      <c r="HKM12" s="2"/>
      <c r="HKN12" s="2"/>
      <c r="HKY12" s="92"/>
      <c r="HKZ12" s="2"/>
      <c r="HLA12" s="2"/>
      <c r="HLL12" s="92"/>
      <c r="HLM12" s="2"/>
      <c r="HLN12" s="2"/>
      <c r="HLY12" s="92"/>
      <c r="HLZ12" s="2"/>
      <c r="HMA12" s="2"/>
      <c r="HML12" s="92"/>
      <c r="HMM12" s="2"/>
      <c r="HMN12" s="2"/>
      <c r="HMY12" s="92"/>
      <c r="HMZ12" s="2"/>
      <c r="HNA12" s="2"/>
      <c r="HNL12" s="92"/>
      <c r="HNM12" s="2"/>
      <c r="HNN12" s="2"/>
      <c r="HNY12" s="92"/>
      <c r="HNZ12" s="2"/>
      <c r="HOA12" s="2"/>
      <c r="HOL12" s="92"/>
      <c r="HOM12" s="2"/>
      <c r="HON12" s="2"/>
      <c r="HOY12" s="92"/>
      <c r="HOZ12" s="2"/>
      <c r="HPA12" s="2"/>
      <c r="HPL12" s="92"/>
      <c r="HPM12" s="2"/>
      <c r="HPN12" s="2"/>
      <c r="HPY12" s="92"/>
      <c r="HPZ12" s="2"/>
      <c r="HQA12" s="2"/>
      <c r="HQL12" s="92"/>
      <c r="HQM12" s="2"/>
      <c r="HQN12" s="2"/>
      <c r="HQY12" s="92"/>
      <c r="HQZ12" s="2"/>
      <c r="HRA12" s="2"/>
      <c r="HRL12" s="92"/>
      <c r="HRM12" s="2"/>
      <c r="HRN12" s="2"/>
      <c r="HRY12" s="92"/>
      <c r="HRZ12" s="2"/>
      <c r="HSA12" s="2"/>
      <c r="HSL12" s="92"/>
      <c r="HSM12" s="2"/>
      <c r="HSN12" s="2"/>
      <c r="HSY12" s="92"/>
      <c r="HSZ12" s="2"/>
      <c r="HTA12" s="2"/>
      <c r="HTL12" s="92"/>
      <c r="HTM12" s="2"/>
      <c r="HTN12" s="2"/>
      <c r="HTY12" s="92"/>
      <c r="HTZ12" s="2"/>
      <c r="HUA12" s="2"/>
      <c r="HUL12" s="92"/>
      <c r="HUM12" s="2"/>
      <c r="HUN12" s="2"/>
      <c r="HUY12" s="92"/>
      <c r="HUZ12" s="2"/>
      <c r="HVA12" s="2"/>
      <c r="HVL12" s="92"/>
      <c r="HVM12" s="2"/>
      <c r="HVN12" s="2"/>
      <c r="HVY12" s="92"/>
      <c r="HVZ12" s="2"/>
      <c r="HWA12" s="2"/>
      <c r="HWL12" s="92"/>
      <c r="HWM12" s="2"/>
      <c r="HWN12" s="2"/>
      <c r="HWY12" s="92"/>
      <c r="HWZ12" s="2"/>
      <c r="HXA12" s="2"/>
      <c r="HXL12" s="92"/>
      <c r="HXM12" s="2"/>
      <c r="HXN12" s="2"/>
      <c r="HXY12" s="92"/>
      <c r="HXZ12" s="2"/>
      <c r="HYA12" s="2"/>
      <c r="HYL12" s="92"/>
      <c r="HYM12" s="2"/>
      <c r="HYN12" s="2"/>
      <c r="HYY12" s="92"/>
      <c r="HYZ12" s="2"/>
      <c r="HZA12" s="2"/>
      <c r="HZL12" s="92"/>
      <c r="HZM12" s="2"/>
      <c r="HZN12" s="2"/>
      <c r="HZY12" s="92"/>
      <c r="HZZ12" s="2"/>
      <c r="IAA12" s="2"/>
      <c r="IAL12" s="92"/>
      <c r="IAM12" s="2"/>
      <c r="IAN12" s="2"/>
      <c r="IAY12" s="92"/>
      <c r="IAZ12" s="2"/>
      <c r="IBA12" s="2"/>
      <c r="IBL12" s="92"/>
      <c r="IBM12" s="2"/>
      <c r="IBN12" s="2"/>
      <c r="IBY12" s="92"/>
      <c r="IBZ12" s="2"/>
      <c r="ICA12" s="2"/>
      <c r="ICL12" s="92"/>
      <c r="ICM12" s="2"/>
      <c r="ICN12" s="2"/>
      <c r="ICY12" s="92"/>
      <c r="ICZ12" s="2"/>
      <c r="IDA12" s="2"/>
      <c r="IDL12" s="92"/>
      <c r="IDM12" s="2"/>
      <c r="IDN12" s="2"/>
      <c r="IDY12" s="92"/>
      <c r="IDZ12" s="2"/>
      <c r="IEA12" s="2"/>
      <c r="IEL12" s="92"/>
      <c r="IEM12" s="2"/>
      <c r="IEN12" s="2"/>
      <c r="IEY12" s="92"/>
      <c r="IEZ12" s="2"/>
      <c r="IFA12" s="2"/>
      <c r="IFL12" s="92"/>
      <c r="IFM12" s="2"/>
      <c r="IFN12" s="2"/>
      <c r="IFY12" s="92"/>
      <c r="IFZ12" s="2"/>
      <c r="IGA12" s="2"/>
      <c r="IGL12" s="92"/>
      <c r="IGM12" s="2"/>
      <c r="IGN12" s="2"/>
      <c r="IGY12" s="92"/>
      <c r="IGZ12" s="2"/>
      <c r="IHA12" s="2"/>
      <c r="IHL12" s="92"/>
      <c r="IHM12" s="2"/>
      <c r="IHN12" s="2"/>
      <c r="IHY12" s="92"/>
      <c r="IHZ12" s="2"/>
      <c r="IIA12" s="2"/>
      <c r="IIL12" s="92"/>
      <c r="IIM12" s="2"/>
      <c r="IIN12" s="2"/>
      <c r="IIY12" s="92"/>
      <c r="IIZ12" s="2"/>
      <c r="IJA12" s="2"/>
      <c r="IJL12" s="92"/>
      <c r="IJM12" s="2"/>
      <c r="IJN12" s="2"/>
      <c r="IJY12" s="92"/>
      <c r="IJZ12" s="2"/>
      <c r="IKA12" s="2"/>
      <c r="IKL12" s="92"/>
      <c r="IKM12" s="2"/>
      <c r="IKN12" s="2"/>
      <c r="IKY12" s="92"/>
      <c r="IKZ12" s="2"/>
      <c r="ILA12" s="2"/>
      <c r="ILL12" s="92"/>
      <c r="ILM12" s="2"/>
      <c r="ILN12" s="2"/>
      <c r="ILY12" s="92"/>
      <c r="ILZ12" s="2"/>
      <c r="IMA12" s="2"/>
      <c r="IML12" s="92"/>
      <c r="IMM12" s="2"/>
      <c r="IMN12" s="2"/>
      <c r="IMY12" s="92"/>
      <c r="IMZ12" s="2"/>
      <c r="INA12" s="2"/>
      <c r="INL12" s="92"/>
      <c r="INM12" s="2"/>
      <c r="INN12" s="2"/>
      <c r="INY12" s="92"/>
      <c r="INZ12" s="2"/>
      <c r="IOA12" s="2"/>
      <c r="IOL12" s="92"/>
      <c r="IOM12" s="2"/>
      <c r="ION12" s="2"/>
      <c r="IOY12" s="92"/>
      <c r="IOZ12" s="2"/>
      <c r="IPA12" s="2"/>
      <c r="IPL12" s="92"/>
      <c r="IPM12" s="2"/>
      <c r="IPN12" s="2"/>
      <c r="IPY12" s="92"/>
      <c r="IPZ12" s="2"/>
      <c r="IQA12" s="2"/>
      <c r="IQL12" s="92"/>
      <c r="IQM12" s="2"/>
      <c r="IQN12" s="2"/>
      <c r="IQY12" s="92"/>
      <c r="IQZ12" s="2"/>
      <c r="IRA12" s="2"/>
      <c r="IRL12" s="92"/>
      <c r="IRM12" s="2"/>
      <c r="IRN12" s="2"/>
      <c r="IRY12" s="92"/>
      <c r="IRZ12" s="2"/>
      <c r="ISA12" s="2"/>
      <c r="ISL12" s="92"/>
      <c r="ISM12" s="2"/>
      <c r="ISN12" s="2"/>
      <c r="ISY12" s="92"/>
      <c r="ISZ12" s="2"/>
      <c r="ITA12" s="2"/>
      <c r="ITL12" s="92"/>
      <c r="ITM12" s="2"/>
      <c r="ITN12" s="2"/>
      <c r="ITY12" s="92"/>
      <c r="ITZ12" s="2"/>
      <c r="IUA12" s="2"/>
      <c r="IUL12" s="92"/>
      <c r="IUM12" s="2"/>
      <c r="IUN12" s="2"/>
      <c r="IUY12" s="92"/>
      <c r="IUZ12" s="2"/>
      <c r="IVA12" s="2"/>
      <c r="IVL12" s="92"/>
      <c r="IVM12" s="2"/>
      <c r="IVN12" s="2"/>
      <c r="IVY12" s="92"/>
      <c r="IVZ12" s="2"/>
      <c r="IWA12" s="2"/>
      <c r="IWL12" s="92"/>
      <c r="IWM12" s="2"/>
      <c r="IWN12" s="2"/>
      <c r="IWY12" s="92"/>
      <c r="IWZ12" s="2"/>
      <c r="IXA12" s="2"/>
      <c r="IXL12" s="92"/>
      <c r="IXM12" s="2"/>
      <c r="IXN12" s="2"/>
      <c r="IXY12" s="92"/>
      <c r="IXZ12" s="2"/>
      <c r="IYA12" s="2"/>
      <c r="IYL12" s="92"/>
      <c r="IYM12" s="2"/>
      <c r="IYN12" s="2"/>
      <c r="IYY12" s="92"/>
      <c r="IYZ12" s="2"/>
      <c r="IZA12" s="2"/>
      <c r="IZL12" s="92"/>
      <c r="IZM12" s="2"/>
      <c r="IZN12" s="2"/>
      <c r="IZY12" s="92"/>
      <c r="IZZ12" s="2"/>
      <c r="JAA12" s="2"/>
      <c r="JAL12" s="92"/>
      <c r="JAM12" s="2"/>
      <c r="JAN12" s="2"/>
      <c r="JAY12" s="92"/>
      <c r="JAZ12" s="2"/>
      <c r="JBA12" s="2"/>
      <c r="JBL12" s="92"/>
      <c r="JBM12" s="2"/>
      <c r="JBN12" s="2"/>
      <c r="JBY12" s="92"/>
      <c r="JBZ12" s="2"/>
      <c r="JCA12" s="2"/>
      <c r="JCL12" s="92"/>
      <c r="JCM12" s="2"/>
      <c r="JCN12" s="2"/>
      <c r="JCY12" s="92"/>
      <c r="JCZ12" s="2"/>
      <c r="JDA12" s="2"/>
      <c r="JDL12" s="92"/>
      <c r="JDM12" s="2"/>
      <c r="JDN12" s="2"/>
      <c r="JDY12" s="92"/>
      <c r="JDZ12" s="2"/>
      <c r="JEA12" s="2"/>
      <c r="JEL12" s="92"/>
      <c r="JEM12" s="2"/>
      <c r="JEN12" s="2"/>
      <c r="JEY12" s="92"/>
      <c r="JEZ12" s="2"/>
      <c r="JFA12" s="2"/>
      <c r="JFL12" s="92"/>
      <c r="JFM12" s="2"/>
      <c r="JFN12" s="2"/>
      <c r="JFY12" s="92"/>
      <c r="JFZ12" s="2"/>
      <c r="JGA12" s="2"/>
      <c r="JGL12" s="92"/>
      <c r="JGM12" s="2"/>
      <c r="JGN12" s="2"/>
      <c r="JGY12" s="92"/>
      <c r="JGZ12" s="2"/>
      <c r="JHA12" s="2"/>
      <c r="JHL12" s="92"/>
      <c r="JHM12" s="2"/>
      <c r="JHN12" s="2"/>
      <c r="JHY12" s="92"/>
      <c r="JHZ12" s="2"/>
      <c r="JIA12" s="2"/>
      <c r="JIL12" s="92"/>
      <c r="JIM12" s="2"/>
      <c r="JIN12" s="2"/>
      <c r="JIY12" s="92"/>
      <c r="JIZ12" s="2"/>
      <c r="JJA12" s="2"/>
      <c r="JJL12" s="92"/>
      <c r="JJM12" s="2"/>
      <c r="JJN12" s="2"/>
      <c r="JJY12" s="92"/>
      <c r="JJZ12" s="2"/>
      <c r="JKA12" s="2"/>
      <c r="JKL12" s="92"/>
      <c r="JKM12" s="2"/>
      <c r="JKN12" s="2"/>
      <c r="JKY12" s="92"/>
      <c r="JKZ12" s="2"/>
      <c r="JLA12" s="2"/>
      <c r="JLL12" s="92"/>
      <c r="JLM12" s="2"/>
      <c r="JLN12" s="2"/>
      <c r="JLY12" s="92"/>
      <c r="JLZ12" s="2"/>
      <c r="JMA12" s="2"/>
      <c r="JML12" s="92"/>
      <c r="JMM12" s="2"/>
      <c r="JMN12" s="2"/>
      <c r="JMY12" s="92"/>
      <c r="JMZ12" s="2"/>
      <c r="JNA12" s="2"/>
      <c r="JNL12" s="92"/>
      <c r="JNM12" s="2"/>
      <c r="JNN12" s="2"/>
      <c r="JNY12" s="92"/>
      <c r="JNZ12" s="2"/>
      <c r="JOA12" s="2"/>
      <c r="JOL12" s="92"/>
      <c r="JOM12" s="2"/>
      <c r="JON12" s="2"/>
      <c r="JOY12" s="92"/>
      <c r="JOZ12" s="2"/>
      <c r="JPA12" s="2"/>
      <c r="JPL12" s="92"/>
      <c r="JPM12" s="2"/>
      <c r="JPN12" s="2"/>
      <c r="JPY12" s="92"/>
      <c r="JPZ12" s="2"/>
      <c r="JQA12" s="2"/>
      <c r="JQL12" s="92"/>
      <c r="JQM12" s="2"/>
      <c r="JQN12" s="2"/>
      <c r="JQY12" s="92"/>
      <c r="JQZ12" s="2"/>
      <c r="JRA12" s="2"/>
      <c r="JRL12" s="92"/>
      <c r="JRM12" s="2"/>
      <c r="JRN12" s="2"/>
      <c r="JRY12" s="92"/>
      <c r="JRZ12" s="2"/>
      <c r="JSA12" s="2"/>
      <c r="JSL12" s="92"/>
      <c r="JSM12" s="2"/>
      <c r="JSN12" s="2"/>
      <c r="JSY12" s="92"/>
      <c r="JSZ12" s="2"/>
      <c r="JTA12" s="2"/>
      <c r="JTL12" s="92"/>
      <c r="JTM12" s="2"/>
      <c r="JTN12" s="2"/>
      <c r="JTY12" s="92"/>
      <c r="JTZ12" s="2"/>
      <c r="JUA12" s="2"/>
      <c r="JUL12" s="92"/>
      <c r="JUM12" s="2"/>
      <c r="JUN12" s="2"/>
      <c r="JUY12" s="92"/>
      <c r="JUZ12" s="2"/>
      <c r="JVA12" s="2"/>
      <c r="JVL12" s="92"/>
      <c r="JVM12" s="2"/>
      <c r="JVN12" s="2"/>
      <c r="JVY12" s="92"/>
      <c r="JVZ12" s="2"/>
      <c r="JWA12" s="2"/>
      <c r="JWL12" s="92"/>
      <c r="JWM12" s="2"/>
      <c r="JWN12" s="2"/>
      <c r="JWY12" s="92"/>
      <c r="JWZ12" s="2"/>
      <c r="JXA12" s="2"/>
      <c r="JXL12" s="92"/>
      <c r="JXM12" s="2"/>
      <c r="JXN12" s="2"/>
      <c r="JXY12" s="92"/>
      <c r="JXZ12" s="2"/>
      <c r="JYA12" s="2"/>
      <c r="JYL12" s="92"/>
      <c r="JYM12" s="2"/>
      <c r="JYN12" s="2"/>
      <c r="JYY12" s="92"/>
      <c r="JYZ12" s="2"/>
      <c r="JZA12" s="2"/>
      <c r="JZL12" s="92"/>
      <c r="JZM12" s="2"/>
      <c r="JZN12" s="2"/>
      <c r="JZY12" s="92"/>
      <c r="JZZ12" s="2"/>
      <c r="KAA12" s="2"/>
      <c r="KAL12" s="92"/>
      <c r="KAM12" s="2"/>
      <c r="KAN12" s="2"/>
      <c r="KAY12" s="92"/>
      <c r="KAZ12" s="2"/>
      <c r="KBA12" s="2"/>
      <c r="KBL12" s="92"/>
      <c r="KBM12" s="2"/>
      <c r="KBN12" s="2"/>
      <c r="KBY12" s="92"/>
      <c r="KBZ12" s="2"/>
      <c r="KCA12" s="2"/>
      <c r="KCL12" s="92"/>
      <c r="KCM12" s="2"/>
      <c r="KCN12" s="2"/>
      <c r="KCY12" s="92"/>
      <c r="KCZ12" s="2"/>
      <c r="KDA12" s="2"/>
      <c r="KDL12" s="92"/>
      <c r="KDM12" s="2"/>
      <c r="KDN12" s="2"/>
      <c r="KDY12" s="92"/>
      <c r="KDZ12" s="2"/>
      <c r="KEA12" s="2"/>
      <c r="KEL12" s="92"/>
      <c r="KEM12" s="2"/>
      <c r="KEN12" s="2"/>
      <c r="KEY12" s="92"/>
      <c r="KEZ12" s="2"/>
      <c r="KFA12" s="2"/>
      <c r="KFL12" s="92"/>
      <c r="KFM12" s="2"/>
      <c r="KFN12" s="2"/>
      <c r="KFY12" s="92"/>
      <c r="KFZ12" s="2"/>
      <c r="KGA12" s="2"/>
      <c r="KGL12" s="92"/>
      <c r="KGM12" s="2"/>
      <c r="KGN12" s="2"/>
      <c r="KGY12" s="92"/>
      <c r="KGZ12" s="2"/>
      <c r="KHA12" s="2"/>
      <c r="KHL12" s="92"/>
      <c r="KHM12" s="2"/>
      <c r="KHN12" s="2"/>
      <c r="KHY12" s="92"/>
      <c r="KHZ12" s="2"/>
      <c r="KIA12" s="2"/>
      <c r="KIL12" s="92"/>
      <c r="KIM12" s="2"/>
      <c r="KIN12" s="2"/>
      <c r="KIY12" s="92"/>
      <c r="KIZ12" s="2"/>
      <c r="KJA12" s="2"/>
      <c r="KJL12" s="92"/>
      <c r="KJM12" s="2"/>
      <c r="KJN12" s="2"/>
      <c r="KJY12" s="92"/>
      <c r="KJZ12" s="2"/>
      <c r="KKA12" s="2"/>
      <c r="KKL12" s="92"/>
      <c r="KKM12" s="2"/>
      <c r="KKN12" s="2"/>
      <c r="KKY12" s="92"/>
      <c r="KKZ12" s="2"/>
      <c r="KLA12" s="2"/>
      <c r="KLL12" s="92"/>
      <c r="KLM12" s="2"/>
      <c r="KLN12" s="2"/>
      <c r="KLY12" s="92"/>
      <c r="KLZ12" s="2"/>
      <c r="KMA12" s="2"/>
      <c r="KML12" s="92"/>
      <c r="KMM12" s="2"/>
      <c r="KMN12" s="2"/>
      <c r="KMY12" s="92"/>
      <c r="KMZ12" s="2"/>
      <c r="KNA12" s="2"/>
      <c r="KNL12" s="92"/>
      <c r="KNM12" s="2"/>
      <c r="KNN12" s="2"/>
      <c r="KNY12" s="92"/>
      <c r="KNZ12" s="2"/>
      <c r="KOA12" s="2"/>
      <c r="KOL12" s="92"/>
      <c r="KOM12" s="2"/>
      <c r="KON12" s="2"/>
      <c r="KOY12" s="92"/>
      <c r="KOZ12" s="2"/>
      <c r="KPA12" s="2"/>
      <c r="KPL12" s="92"/>
      <c r="KPM12" s="2"/>
      <c r="KPN12" s="2"/>
      <c r="KPY12" s="92"/>
      <c r="KPZ12" s="2"/>
      <c r="KQA12" s="2"/>
      <c r="KQL12" s="92"/>
      <c r="KQM12" s="2"/>
      <c r="KQN12" s="2"/>
      <c r="KQY12" s="92"/>
      <c r="KQZ12" s="2"/>
      <c r="KRA12" s="2"/>
      <c r="KRL12" s="92"/>
      <c r="KRM12" s="2"/>
      <c r="KRN12" s="2"/>
      <c r="KRY12" s="92"/>
      <c r="KRZ12" s="2"/>
      <c r="KSA12" s="2"/>
      <c r="KSL12" s="92"/>
      <c r="KSM12" s="2"/>
      <c r="KSN12" s="2"/>
      <c r="KSY12" s="92"/>
      <c r="KSZ12" s="2"/>
      <c r="KTA12" s="2"/>
      <c r="KTL12" s="92"/>
      <c r="KTM12" s="2"/>
      <c r="KTN12" s="2"/>
      <c r="KTY12" s="92"/>
      <c r="KTZ12" s="2"/>
      <c r="KUA12" s="2"/>
      <c r="KUL12" s="92"/>
      <c r="KUM12" s="2"/>
      <c r="KUN12" s="2"/>
      <c r="KUY12" s="92"/>
      <c r="KUZ12" s="2"/>
      <c r="KVA12" s="2"/>
      <c r="KVL12" s="92"/>
      <c r="KVM12" s="2"/>
      <c r="KVN12" s="2"/>
      <c r="KVY12" s="92"/>
      <c r="KVZ12" s="2"/>
      <c r="KWA12" s="2"/>
      <c r="KWL12" s="92"/>
      <c r="KWM12" s="2"/>
      <c r="KWN12" s="2"/>
      <c r="KWY12" s="92"/>
      <c r="KWZ12" s="2"/>
      <c r="KXA12" s="2"/>
      <c r="KXL12" s="92"/>
      <c r="KXM12" s="2"/>
      <c r="KXN12" s="2"/>
      <c r="KXY12" s="92"/>
      <c r="KXZ12" s="2"/>
      <c r="KYA12" s="2"/>
      <c r="KYL12" s="92"/>
      <c r="KYM12" s="2"/>
      <c r="KYN12" s="2"/>
      <c r="KYY12" s="92"/>
      <c r="KYZ12" s="2"/>
      <c r="KZA12" s="2"/>
      <c r="KZL12" s="92"/>
      <c r="KZM12" s="2"/>
      <c r="KZN12" s="2"/>
      <c r="KZY12" s="92"/>
      <c r="KZZ12" s="2"/>
      <c r="LAA12" s="2"/>
      <c r="LAL12" s="92"/>
      <c r="LAM12" s="2"/>
      <c r="LAN12" s="2"/>
      <c r="LAY12" s="92"/>
      <c r="LAZ12" s="2"/>
      <c r="LBA12" s="2"/>
      <c r="LBL12" s="92"/>
      <c r="LBM12" s="2"/>
      <c r="LBN12" s="2"/>
      <c r="LBY12" s="92"/>
      <c r="LBZ12" s="2"/>
      <c r="LCA12" s="2"/>
      <c r="LCL12" s="92"/>
      <c r="LCM12" s="2"/>
      <c r="LCN12" s="2"/>
      <c r="LCY12" s="92"/>
      <c r="LCZ12" s="2"/>
      <c r="LDA12" s="2"/>
      <c r="LDL12" s="92"/>
      <c r="LDM12" s="2"/>
      <c r="LDN12" s="2"/>
      <c r="LDY12" s="92"/>
      <c r="LDZ12" s="2"/>
      <c r="LEA12" s="2"/>
      <c r="LEL12" s="92"/>
      <c r="LEM12" s="2"/>
      <c r="LEN12" s="2"/>
      <c r="LEY12" s="92"/>
      <c r="LEZ12" s="2"/>
      <c r="LFA12" s="2"/>
      <c r="LFL12" s="92"/>
      <c r="LFM12" s="2"/>
      <c r="LFN12" s="2"/>
      <c r="LFY12" s="92"/>
      <c r="LFZ12" s="2"/>
      <c r="LGA12" s="2"/>
      <c r="LGL12" s="92"/>
      <c r="LGM12" s="2"/>
      <c r="LGN12" s="2"/>
      <c r="LGY12" s="92"/>
      <c r="LGZ12" s="2"/>
      <c r="LHA12" s="2"/>
      <c r="LHL12" s="92"/>
      <c r="LHM12" s="2"/>
      <c r="LHN12" s="2"/>
      <c r="LHY12" s="92"/>
      <c r="LHZ12" s="2"/>
      <c r="LIA12" s="2"/>
      <c r="LIL12" s="92"/>
      <c r="LIM12" s="2"/>
      <c r="LIN12" s="2"/>
      <c r="LIY12" s="92"/>
      <c r="LIZ12" s="2"/>
      <c r="LJA12" s="2"/>
      <c r="LJL12" s="92"/>
      <c r="LJM12" s="2"/>
      <c r="LJN12" s="2"/>
      <c r="LJY12" s="92"/>
      <c r="LJZ12" s="2"/>
      <c r="LKA12" s="2"/>
      <c r="LKL12" s="92"/>
      <c r="LKM12" s="2"/>
      <c r="LKN12" s="2"/>
      <c r="LKY12" s="92"/>
      <c r="LKZ12" s="2"/>
      <c r="LLA12" s="2"/>
      <c r="LLL12" s="92"/>
      <c r="LLM12" s="2"/>
      <c r="LLN12" s="2"/>
      <c r="LLY12" s="92"/>
      <c r="LLZ12" s="2"/>
      <c r="LMA12" s="2"/>
      <c r="LML12" s="92"/>
      <c r="LMM12" s="2"/>
      <c r="LMN12" s="2"/>
      <c r="LMY12" s="92"/>
      <c r="LMZ12" s="2"/>
      <c r="LNA12" s="2"/>
      <c r="LNL12" s="92"/>
      <c r="LNM12" s="2"/>
      <c r="LNN12" s="2"/>
      <c r="LNY12" s="92"/>
      <c r="LNZ12" s="2"/>
      <c r="LOA12" s="2"/>
      <c r="LOL12" s="92"/>
      <c r="LOM12" s="2"/>
      <c r="LON12" s="2"/>
      <c r="LOY12" s="92"/>
      <c r="LOZ12" s="2"/>
      <c r="LPA12" s="2"/>
      <c r="LPL12" s="92"/>
      <c r="LPM12" s="2"/>
      <c r="LPN12" s="2"/>
      <c r="LPY12" s="92"/>
      <c r="LPZ12" s="2"/>
      <c r="LQA12" s="2"/>
      <c r="LQL12" s="92"/>
      <c r="LQM12" s="2"/>
      <c r="LQN12" s="2"/>
      <c r="LQY12" s="92"/>
      <c r="LQZ12" s="2"/>
      <c r="LRA12" s="2"/>
      <c r="LRL12" s="92"/>
      <c r="LRM12" s="2"/>
      <c r="LRN12" s="2"/>
      <c r="LRY12" s="92"/>
      <c r="LRZ12" s="2"/>
      <c r="LSA12" s="2"/>
      <c r="LSL12" s="92"/>
      <c r="LSM12" s="2"/>
      <c r="LSN12" s="2"/>
      <c r="LSY12" s="92"/>
      <c r="LSZ12" s="2"/>
      <c r="LTA12" s="2"/>
      <c r="LTL12" s="92"/>
      <c r="LTM12" s="2"/>
      <c r="LTN12" s="2"/>
      <c r="LTY12" s="92"/>
      <c r="LTZ12" s="2"/>
      <c r="LUA12" s="2"/>
      <c r="LUL12" s="92"/>
      <c r="LUM12" s="2"/>
      <c r="LUN12" s="2"/>
      <c r="LUY12" s="92"/>
      <c r="LUZ12" s="2"/>
      <c r="LVA12" s="2"/>
      <c r="LVL12" s="92"/>
      <c r="LVM12" s="2"/>
      <c r="LVN12" s="2"/>
      <c r="LVY12" s="92"/>
      <c r="LVZ12" s="2"/>
      <c r="LWA12" s="2"/>
      <c r="LWL12" s="92"/>
      <c r="LWM12" s="2"/>
      <c r="LWN12" s="2"/>
      <c r="LWY12" s="92"/>
      <c r="LWZ12" s="2"/>
      <c r="LXA12" s="2"/>
      <c r="LXL12" s="92"/>
      <c r="LXM12" s="2"/>
      <c r="LXN12" s="2"/>
      <c r="LXY12" s="92"/>
      <c r="LXZ12" s="2"/>
      <c r="LYA12" s="2"/>
      <c r="LYL12" s="92"/>
      <c r="LYM12" s="2"/>
      <c r="LYN12" s="2"/>
      <c r="LYY12" s="92"/>
      <c r="LYZ12" s="2"/>
      <c r="LZA12" s="2"/>
      <c r="LZL12" s="92"/>
      <c r="LZM12" s="2"/>
      <c r="LZN12" s="2"/>
      <c r="LZY12" s="92"/>
      <c r="LZZ12" s="2"/>
      <c r="MAA12" s="2"/>
      <c r="MAL12" s="92"/>
      <c r="MAM12" s="2"/>
      <c r="MAN12" s="2"/>
      <c r="MAY12" s="92"/>
      <c r="MAZ12" s="2"/>
      <c r="MBA12" s="2"/>
      <c r="MBL12" s="92"/>
      <c r="MBM12" s="2"/>
      <c r="MBN12" s="2"/>
      <c r="MBY12" s="92"/>
      <c r="MBZ12" s="2"/>
      <c r="MCA12" s="2"/>
      <c r="MCL12" s="92"/>
      <c r="MCM12" s="2"/>
      <c r="MCN12" s="2"/>
      <c r="MCY12" s="92"/>
      <c r="MCZ12" s="2"/>
      <c r="MDA12" s="2"/>
      <c r="MDL12" s="92"/>
      <c r="MDM12" s="2"/>
      <c r="MDN12" s="2"/>
      <c r="MDY12" s="92"/>
      <c r="MDZ12" s="2"/>
      <c r="MEA12" s="2"/>
      <c r="MEL12" s="92"/>
      <c r="MEM12" s="2"/>
      <c r="MEN12" s="2"/>
      <c r="MEY12" s="92"/>
      <c r="MEZ12" s="2"/>
      <c r="MFA12" s="2"/>
      <c r="MFL12" s="92"/>
      <c r="MFM12" s="2"/>
      <c r="MFN12" s="2"/>
      <c r="MFY12" s="92"/>
      <c r="MFZ12" s="2"/>
      <c r="MGA12" s="2"/>
      <c r="MGL12" s="92"/>
      <c r="MGM12" s="2"/>
      <c r="MGN12" s="2"/>
      <c r="MGY12" s="92"/>
      <c r="MGZ12" s="2"/>
      <c r="MHA12" s="2"/>
      <c r="MHL12" s="92"/>
      <c r="MHM12" s="2"/>
      <c r="MHN12" s="2"/>
      <c r="MHY12" s="92"/>
      <c r="MHZ12" s="2"/>
      <c r="MIA12" s="2"/>
      <c r="MIL12" s="92"/>
      <c r="MIM12" s="2"/>
      <c r="MIN12" s="2"/>
      <c r="MIY12" s="92"/>
      <c r="MIZ12" s="2"/>
      <c r="MJA12" s="2"/>
      <c r="MJL12" s="92"/>
      <c r="MJM12" s="2"/>
      <c r="MJN12" s="2"/>
      <c r="MJY12" s="92"/>
      <c r="MJZ12" s="2"/>
      <c r="MKA12" s="2"/>
      <c r="MKL12" s="92"/>
      <c r="MKM12" s="2"/>
      <c r="MKN12" s="2"/>
      <c r="MKY12" s="92"/>
      <c r="MKZ12" s="2"/>
      <c r="MLA12" s="2"/>
      <c r="MLL12" s="92"/>
      <c r="MLM12" s="2"/>
      <c r="MLN12" s="2"/>
      <c r="MLY12" s="92"/>
      <c r="MLZ12" s="2"/>
      <c r="MMA12" s="2"/>
      <c r="MML12" s="92"/>
      <c r="MMM12" s="2"/>
      <c r="MMN12" s="2"/>
      <c r="MMY12" s="92"/>
      <c r="MMZ12" s="2"/>
      <c r="MNA12" s="2"/>
      <c r="MNL12" s="92"/>
      <c r="MNM12" s="2"/>
      <c r="MNN12" s="2"/>
      <c r="MNY12" s="92"/>
      <c r="MNZ12" s="2"/>
      <c r="MOA12" s="2"/>
      <c r="MOL12" s="92"/>
      <c r="MOM12" s="2"/>
      <c r="MON12" s="2"/>
      <c r="MOY12" s="92"/>
      <c r="MOZ12" s="2"/>
      <c r="MPA12" s="2"/>
      <c r="MPL12" s="92"/>
      <c r="MPM12" s="2"/>
      <c r="MPN12" s="2"/>
      <c r="MPY12" s="92"/>
      <c r="MPZ12" s="2"/>
      <c r="MQA12" s="2"/>
      <c r="MQL12" s="92"/>
      <c r="MQM12" s="2"/>
      <c r="MQN12" s="2"/>
      <c r="MQY12" s="92"/>
      <c r="MQZ12" s="2"/>
      <c r="MRA12" s="2"/>
      <c r="MRL12" s="92"/>
      <c r="MRM12" s="2"/>
      <c r="MRN12" s="2"/>
      <c r="MRY12" s="92"/>
      <c r="MRZ12" s="2"/>
      <c r="MSA12" s="2"/>
      <c r="MSL12" s="92"/>
      <c r="MSM12" s="2"/>
      <c r="MSN12" s="2"/>
      <c r="MSY12" s="92"/>
      <c r="MSZ12" s="2"/>
      <c r="MTA12" s="2"/>
      <c r="MTL12" s="92"/>
      <c r="MTM12" s="2"/>
      <c r="MTN12" s="2"/>
      <c r="MTY12" s="92"/>
      <c r="MTZ12" s="2"/>
      <c r="MUA12" s="2"/>
      <c r="MUL12" s="92"/>
      <c r="MUM12" s="2"/>
      <c r="MUN12" s="2"/>
      <c r="MUY12" s="92"/>
      <c r="MUZ12" s="2"/>
      <c r="MVA12" s="2"/>
      <c r="MVL12" s="92"/>
      <c r="MVM12" s="2"/>
      <c r="MVN12" s="2"/>
      <c r="MVY12" s="92"/>
      <c r="MVZ12" s="2"/>
      <c r="MWA12" s="2"/>
      <c r="MWL12" s="92"/>
      <c r="MWM12" s="2"/>
      <c r="MWN12" s="2"/>
      <c r="MWY12" s="92"/>
      <c r="MWZ12" s="2"/>
      <c r="MXA12" s="2"/>
      <c r="MXL12" s="92"/>
      <c r="MXM12" s="2"/>
      <c r="MXN12" s="2"/>
      <c r="MXY12" s="92"/>
      <c r="MXZ12" s="2"/>
      <c r="MYA12" s="2"/>
      <c r="MYL12" s="92"/>
      <c r="MYM12" s="2"/>
      <c r="MYN12" s="2"/>
      <c r="MYY12" s="92"/>
      <c r="MYZ12" s="2"/>
      <c r="MZA12" s="2"/>
      <c r="MZL12" s="92"/>
      <c r="MZM12" s="2"/>
      <c r="MZN12" s="2"/>
      <c r="MZY12" s="92"/>
      <c r="MZZ12" s="2"/>
      <c r="NAA12" s="2"/>
      <c r="NAL12" s="92"/>
      <c r="NAM12" s="2"/>
      <c r="NAN12" s="2"/>
      <c r="NAY12" s="92"/>
      <c r="NAZ12" s="2"/>
      <c r="NBA12" s="2"/>
      <c r="NBL12" s="92"/>
      <c r="NBM12" s="2"/>
      <c r="NBN12" s="2"/>
      <c r="NBY12" s="92"/>
      <c r="NBZ12" s="2"/>
      <c r="NCA12" s="2"/>
      <c r="NCL12" s="92"/>
      <c r="NCM12" s="2"/>
      <c r="NCN12" s="2"/>
      <c r="NCY12" s="92"/>
      <c r="NCZ12" s="2"/>
      <c r="NDA12" s="2"/>
      <c r="NDL12" s="92"/>
      <c r="NDM12" s="2"/>
      <c r="NDN12" s="2"/>
      <c r="NDY12" s="92"/>
      <c r="NDZ12" s="2"/>
      <c r="NEA12" s="2"/>
      <c r="NEL12" s="92"/>
      <c r="NEM12" s="2"/>
      <c r="NEN12" s="2"/>
      <c r="NEY12" s="92"/>
      <c r="NEZ12" s="2"/>
      <c r="NFA12" s="2"/>
      <c r="NFL12" s="92"/>
      <c r="NFM12" s="2"/>
      <c r="NFN12" s="2"/>
      <c r="NFY12" s="92"/>
      <c r="NFZ12" s="2"/>
      <c r="NGA12" s="2"/>
      <c r="NGL12" s="92"/>
      <c r="NGM12" s="2"/>
      <c r="NGN12" s="2"/>
      <c r="NGY12" s="92"/>
      <c r="NGZ12" s="2"/>
      <c r="NHA12" s="2"/>
      <c r="NHL12" s="92"/>
      <c r="NHM12" s="2"/>
      <c r="NHN12" s="2"/>
      <c r="NHY12" s="92"/>
      <c r="NHZ12" s="2"/>
      <c r="NIA12" s="2"/>
      <c r="NIL12" s="92"/>
      <c r="NIM12" s="2"/>
      <c r="NIN12" s="2"/>
      <c r="NIY12" s="92"/>
      <c r="NIZ12" s="2"/>
      <c r="NJA12" s="2"/>
      <c r="NJL12" s="92"/>
      <c r="NJM12" s="2"/>
      <c r="NJN12" s="2"/>
      <c r="NJY12" s="92"/>
      <c r="NJZ12" s="2"/>
      <c r="NKA12" s="2"/>
      <c r="NKL12" s="92"/>
      <c r="NKM12" s="2"/>
      <c r="NKN12" s="2"/>
      <c r="NKY12" s="92"/>
      <c r="NKZ12" s="2"/>
      <c r="NLA12" s="2"/>
      <c r="NLL12" s="92"/>
      <c r="NLM12" s="2"/>
      <c r="NLN12" s="2"/>
      <c r="NLY12" s="92"/>
      <c r="NLZ12" s="2"/>
      <c r="NMA12" s="2"/>
      <c r="NML12" s="92"/>
      <c r="NMM12" s="2"/>
      <c r="NMN12" s="2"/>
      <c r="NMY12" s="92"/>
      <c r="NMZ12" s="2"/>
      <c r="NNA12" s="2"/>
      <c r="NNL12" s="92"/>
      <c r="NNM12" s="2"/>
      <c r="NNN12" s="2"/>
      <c r="NNY12" s="92"/>
      <c r="NNZ12" s="2"/>
      <c r="NOA12" s="2"/>
      <c r="NOL12" s="92"/>
      <c r="NOM12" s="2"/>
      <c r="NON12" s="2"/>
      <c r="NOY12" s="92"/>
      <c r="NOZ12" s="2"/>
      <c r="NPA12" s="2"/>
      <c r="NPL12" s="92"/>
      <c r="NPM12" s="2"/>
      <c r="NPN12" s="2"/>
      <c r="NPY12" s="92"/>
      <c r="NPZ12" s="2"/>
      <c r="NQA12" s="2"/>
      <c r="NQL12" s="92"/>
      <c r="NQM12" s="2"/>
      <c r="NQN12" s="2"/>
      <c r="NQY12" s="92"/>
      <c r="NQZ12" s="2"/>
      <c r="NRA12" s="2"/>
      <c r="NRL12" s="92"/>
      <c r="NRM12" s="2"/>
      <c r="NRN12" s="2"/>
      <c r="NRY12" s="92"/>
      <c r="NRZ12" s="2"/>
      <c r="NSA12" s="2"/>
      <c r="NSL12" s="92"/>
      <c r="NSM12" s="2"/>
      <c r="NSN12" s="2"/>
      <c r="NSY12" s="92"/>
      <c r="NSZ12" s="2"/>
      <c r="NTA12" s="2"/>
      <c r="NTL12" s="92"/>
      <c r="NTM12" s="2"/>
      <c r="NTN12" s="2"/>
      <c r="NTY12" s="92"/>
      <c r="NTZ12" s="2"/>
      <c r="NUA12" s="2"/>
      <c r="NUL12" s="92"/>
      <c r="NUM12" s="2"/>
      <c r="NUN12" s="2"/>
      <c r="NUY12" s="92"/>
      <c r="NUZ12" s="2"/>
      <c r="NVA12" s="2"/>
      <c r="NVL12" s="92"/>
      <c r="NVM12" s="2"/>
      <c r="NVN12" s="2"/>
      <c r="NVY12" s="92"/>
      <c r="NVZ12" s="2"/>
      <c r="NWA12" s="2"/>
      <c r="NWL12" s="92"/>
      <c r="NWM12" s="2"/>
      <c r="NWN12" s="2"/>
      <c r="NWY12" s="92"/>
      <c r="NWZ12" s="2"/>
      <c r="NXA12" s="2"/>
      <c r="NXL12" s="92"/>
      <c r="NXM12" s="2"/>
      <c r="NXN12" s="2"/>
      <c r="NXY12" s="92"/>
      <c r="NXZ12" s="2"/>
      <c r="NYA12" s="2"/>
      <c r="NYL12" s="92"/>
      <c r="NYM12" s="2"/>
      <c r="NYN12" s="2"/>
      <c r="NYY12" s="92"/>
      <c r="NYZ12" s="2"/>
      <c r="NZA12" s="2"/>
      <c r="NZL12" s="92"/>
      <c r="NZM12" s="2"/>
      <c r="NZN12" s="2"/>
      <c r="NZY12" s="92"/>
      <c r="NZZ12" s="2"/>
      <c r="OAA12" s="2"/>
      <c r="OAL12" s="92"/>
      <c r="OAM12" s="2"/>
      <c r="OAN12" s="2"/>
      <c r="OAY12" s="92"/>
      <c r="OAZ12" s="2"/>
      <c r="OBA12" s="2"/>
      <c r="OBL12" s="92"/>
      <c r="OBM12" s="2"/>
      <c r="OBN12" s="2"/>
      <c r="OBY12" s="92"/>
      <c r="OBZ12" s="2"/>
      <c r="OCA12" s="2"/>
      <c r="OCL12" s="92"/>
      <c r="OCM12" s="2"/>
      <c r="OCN12" s="2"/>
      <c r="OCY12" s="92"/>
      <c r="OCZ12" s="2"/>
      <c r="ODA12" s="2"/>
      <c r="ODL12" s="92"/>
      <c r="ODM12" s="2"/>
      <c r="ODN12" s="2"/>
      <c r="ODY12" s="92"/>
      <c r="ODZ12" s="2"/>
      <c r="OEA12" s="2"/>
      <c r="OEL12" s="92"/>
      <c r="OEM12" s="2"/>
      <c r="OEN12" s="2"/>
      <c r="OEY12" s="92"/>
      <c r="OEZ12" s="2"/>
      <c r="OFA12" s="2"/>
      <c r="OFL12" s="92"/>
      <c r="OFM12" s="2"/>
      <c r="OFN12" s="2"/>
      <c r="OFY12" s="92"/>
      <c r="OFZ12" s="2"/>
      <c r="OGA12" s="2"/>
      <c r="OGL12" s="92"/>
      <c r="OGM12" s="2"/>
      <c r="OGN12" s="2"/>
      <c r="OGY12" s="92"/>
      <c r="OGZ12" s="2"/>
      <c r="OHA12" s="2"/>
      <c r="OHL12" s="92"/>
      <c r="OHM12" s="2"/>
      <c r="OHN12" s="2"/>
      <c r="OHY12" s="92"/>
      <c r="OHZ12" s="2"/>
      <c r="OIA12" s="2"/>
      <c r="OIL12" s="92"/>
      <c r="OIM12" s="2"/>
      <c r="OIN12" s="2"/>
      <c r="OIY12" s="92"/>
      <c r="OIZ12" s="2"/>
      <c r="OJA12" s="2"/>
      <c r="OJL12" s="92"/>
      <c r="OJM12" s="2"/>
      <c r="OJN12" s="2"/>
      <c r="OJY12" s="92"/>
      <c r="OJZ12" s="2"/>
      <c r="OKA12" s="2"/>
      <c r="OKL12" s="92"/>
      <c r="OKM12" s="2"/>
      <c r="OKN12" s="2"/>
      <c r="OKY12" s="92"/>
      <c r="OKZ12" s="2"/>
      <c r="OLA12" s="2"/>
      <c r="OLL12" s="92"/>
      <c r="OLM12" s="2"/>
      <c r="OLN12" s="2"/>
      <c r="OLY12" s="92"/>
      <c r="OLZ12" s="2"/>
      <c r="OMA12" s="2"/>
      <c r="OML12" s="92"/>
      <c r="OMM12" s="2"/>
      <c r="OMN12" s="2"/>
      <c r="OMY12" s="92"/>
      <c r="OMZ12" s="2"/>
      <c r="ONA12" s="2"/>
      <c r="ONL12" s="92"/>
      <c r="ONM12" s="2"/>
      <c r="ONN12" s="2"/>
      <c r="ONY12" s="92"/>
      <c r="ONZ12" s="2"/>
      <c r="OOA12" s="2"/>
      <c r="OOL12" s="92"/>
      <c r="OOM12" s="2"/>
      <c r="OON12" s="2"/>
      <c r="OOY12" s="92"/>
      <c r="OOZ12" s="2"/>
      <c r="OPA12" s="2"/>
      <c r="OPL12" s="92"/>
      <c r="OPM12" s="2"/>
      <c r="OPN12" s="2"/>
      <c r="OPY12" s="92"/>
      <c r="OPZ12" s="2"/>
      <c r="OQA12" s="2"/>
      <c r="OQL12" s="92"/>
      <c r="OQM12" s="2"/>
      <c r="OQN12" s="2"/>
      <c r="OQY12" s="92"/>
      <c r="OQZ12" s="2"/>
      <c r="ORA12" s="2"/>
      <c r="ORL12" s="92"/>
      <c r="ORM12" s="2"/>
      <c r="ORN12" s="2"/>
      <c r="ORY12" s="92"/>
      <c r="ORZ12" s="2"/>
      <c r="OSA12" s="2"/>
      <c r="OSL12" s="92"/>
      <c r="OSM12" s="2"/>
      <c r="OSN12" s="2"/>
      <c r="OSY12" s="92"/>
      <c r="OSZ12" s="2"/>
      <c r="OTA12" s="2"/>
      <c r="OTL12" s="92"/>
      <c r="OTM12" s="2"/>
      <c r="OTN12" s="2"/>
      <c r="OTY12" s="92"/>
      <c r="OTZ12" s="2"/>
      <c r="OUA12" s="2"/>
      <c r="OUL12" s="92"/>
      <c r="OUM12" s="2"/>
      <c r="OUN12" s="2"/>
      <c r="OUY12" s="92"/>
      <c r="OUZ12" s="2"/>
      <c r="OVA12" s="2"/>
      <c r="OVL12" s="92"/>
      <c r="OVM12" s="2"/>
      <c r="OVN12" s="2"/>
      <c r="OVY12" s="92"/>
      <c r="OVZ12" s="2"/>
      <c r="OWA12" s="2"/>
      <c r="OWL12" s="92"/>
      <c r="OWM12" s="2"/>
      <c r="OWN12" s="2"/>
      <c r="OWY12" s="92"/>
      <c r="OWZ12" s="2"/>
      <c r="OXA12" s="2"/>
      <c r="OXL12" s="92"/>
      <c r="OXM12" s="2"/>
      <c r="OXN12" s="2"/>
      <c r="OXY12" s="92"/>
      <c r="OXZ12" s="2"/>
      <c r="OYA12" s="2"/>
      <c r="OYL12" s="92"/>
      <c r="OYM12" s="2"/>
      <c r="OYN12" s="2"/>
      <c r="OYY12" s="92"/>
      <c r="OYZ12" s="2"/>
      <c r="OZA12" s="2"/>
      <c r="OZL12" s="92"/>
      <c r="OZM12" s="2"/>
      <c r="OZN12" s="2"/>
      <c r="OZY12" s="92"/>
      <c r="OZZ12" s="2"/>
      <c r="PAA12" s="2"/>
      <c r="PAL12" s="92"/>
      <c r="PAM12" s="2"/>
      <c r="PAN12" s="2"/>
      <c r="PAY12" s="92"/>
      <c r="PAZ12" s="2"/>
      <c r="PBA12" s="2"/>
      <c r="PBL12" s="92"/>
      <c r="PBM12" s="2"/>
      <c r="PBN12" s="2"/>
      <c r="PBY12" s="92"/>
      <c r="PBZ12" s="2"/>
      <c r="PCA12" s="2"/>
      <c r="PCL12" s="92"/>
      <c r="PCM12" s="2"/>
      <c r="PCN12" s="2"/>
      <c r="PCY12" s="92"/>
      <c r="PCZ12" s="2"/>
      <c r="PDA12" s="2"/>
      <c r="PDL12" s="92"/>
      <c r="PDM12" s="2"/>
      <c r="PDN12" s="2"/>
      <c r="PDY12" s="92"/>
      <c r="PDZ12" s="2"/>
      <c r="PEA12" s="2"/>
      <c r="PEL12" s="92"/>
      <c r="PEM12" s="2"/>
      <c r="PEN12" s="2"/>
      <c r="PEY12" s="92"/>
      <c r="PEZ12" s="2"/>
      <c r="PFA12" s="2"/>
      <c r="PFL12" s="92"/>
      <c r="PFM12" s="2"/>
      <c r="PFN12" s="2"/>
      <c r="PFY12" s="92"/>
      <c r="PFZ12" s="2"/>
      <c r="PGA12" s="2"/>
      <c r="PGL12" s="92"/>
      <c r="PGM12" s="2"/>
      <c r="PGN12" s="2"/>
      <c r="PGY12" s="92"/>
      <c r="PGZ12" s="2"/>
      <c r="PHA12" s="2"/>
      <c r="PHL12" s="92"/>
      <c r="PHM12" s="2"/>
      <c r="PHN12" s="2"/>
      <c r="PHY12" s="92"/>
      <c r="PHZ12" s="2"/>
      <c r="PIA12" s="2"/>
      <c r="PIL12" s="92"/>
      <c r="PIM12" s="2"/>
      <c r="PIN12" s="2"/>
      <c r="PIY12" s="92"/>
      <c r="PIZ12" s="2"/>
      <c r="PJA12" s="2"/>
      <c r="PJL12" s="92"/>
      <c r="PJM12" s="2"/>
      <c r="PJN12" s="2"/>
      <c r="PJY12" s="92"/>
      <c r="PJZ12" s="2"/>
      <c r="PKA12" s="2"/>
      <c r="PKL12" s="92"/>
      <c r="PKM12" s="2"/>
      <c r="PKN12" s="2"/>
      <c r="PKY12" s="92"/>
      <c r="PKZ12" s="2"/>
      <c r="PLA12" s="2"/>
      <c r="PLL12" s="92"/>
      <c r="PLM12" s="2"/>
      <c r="PLN12" s="2"/>
      <c r="PLY12" s="92"/>
      <c r="PLZ12" s="2"/>
      <c r="PMA12" s="2"/>
      <c r="PML12" s="92"/>
      <c r="PMM12" s="2"/>
      <c r="PMN12" s="2"/>
      <c r="PMY12" s="92"/>
      <c r="PMZ12" s="2"/>
      <c r="PNA12" s="2"/>
      <c r="PNL12" s="92"/>
      <c r="PNM12" s="2"/>
      <c r="PNN12" s="2"/>
      <c r="PNY12" s="92"/>
      <c r="PNZ12" s="2"/>
      <c r="POA12" s="2"/>
      <c r="POL12" s="92"/>
      <c r="POM12" s="2"/>
      <c r="PON12" s="2"/>
      <c r="POY12" s="92"/>
      <c r="POZ12" s="2"/>
      <c r="PPA12" s="2"/>
      <c r="PPL12" s="92"/>
      <c r="PPM12" s="2"/>
      <c r="PPN12" s="2"/>
      <c r="PPY12" s="92"/>
      <c r="PPZ12" s="2"/>
      <c r="PQA12" s="2"/>
      <c r="PQL12" s="92"/>
      <c r="PQM12" s="2"/>
      <c r="PQN12" s="2"/>
      <c r="PQY12" s="92"/>
      <c r="PQZ12" s="2"/>
      <c r="PRA12" s="2"/>
      <c r="PRL12" s="92"/>
      <c r="PRM12" s="2"/>
      <c r="PRN12" s="2"/>
      <c r="PRY12" s="92"/>
      <c r="PRZ12" s="2"/>
      <c r="PSA12" s="2"/>
      <c r="PSL12" s="92"/>
      <c r="PSM12" s="2"/>
      <c r="PSN12" s="2"/>
      <c r="PSY12" s="92"/>
      <c r="PSZ12" s="2"/>
      <c r="PTA12" s="2"/>
      <c r="PTL12" s="92"/>
      <c r="PTM12" s="2"/>
      <c r="PTN12" s="2"/>
      <c r="PTY12" s="92"/>
      <c r="PTZ12" s="2"/>
      <c r="PUA12" s="2"/>
      <c r="PUL12" s="92"/>
      <c r="PUM12" s="2"/>
      <c r="PUN12" s="2"/>
      <c r="PUY12" s="92"/>
      <c r="PUZ12" s="2"/>
      <c r="PVA12" s="2"/>
      <c r="PVL12" s="92"/>
      <c r="PVM12" s="2"/>
      <c r="PVN12" s="2"/>
      <c r="PVY12" s="92"/>
      <c r="PVZ12" s="2"/>
      <c r="PWA12" s="2"/>
      <c r="PWL12" s="92"/>
      <c r="PWM12" s="2"/>
      <c r="PWN12" s="2"/>
      <c r="PWY12" s="92"/>
      <c r="PWZ12" s="2"/>
      <c r="PXA12" s="2"/>
      <c r="PXL12" s="92"/>
      <c r="PXM12" s="2"/>
      <c r="PXN12" s="2"/>
      <c r="PXY12" s="92"/>
      <c r="PXZ12" s="2"/>
      <c r="PYA12" s="2"/>
      <c r="PYL12" s="92"/>
      <c r="PYM12" s="2"/>
      <c r="PYN12" s="2"/>
      <c r="PYY12" s="92"/>
      <c r="PYZ12" s="2"/>
      <c r="PZA12" s="2"/>
      <c r="PZL12" s="92"/>
      <c r="PZM12" s="2"/>
      <c r="PZN12" s="2"/>
      <c r="PZY12" s="92"/>
      <c r="PZZ12" s="2"/>
      <c r="QAA12" s="2"/>
      <c r="QAL12" s="92"/>
      <c r="QAM12" s="2"/>
      <c r="QAN12" s="2"/>
      <c r="QAY12" s="92"/>
      <c r="QAZ12" s="2"/>
      <c r="QBA12" s="2"/>
      <c r="QBL12" s="92"/>
      <c r="QBM12" s="2"/>
      <c r="QBN12" s="2"/>
      <c r="QBY12" s="92"/>
      <c r="QBZ12" s="2"/>
      <c r="QCA12" s="2"/>
      <c r="QCL12" s="92"/>
      <c r="QCM12" s="2"/>
      <c r="QCN12" s="2"/>
      <c r="QCY12" s="92"/>
      <c r="QCZ12" s="2"/>
      <c r="QDA12" s="2"/>
      <c r="QDL12" s="92"/>
      <c r="QDM12" s="2"/>
      <c r="QDN12" s="2"/>
      <c r="QDY12" s="92"/>
      <c r="QDZ12" s="2"/>
      <c r="QEA12" s="2"/>
      <c r="QEL12" s="92"/>
      <c r="QEM12" s="2"/>
      <c r="QEN12" s="2"/>
      <c r="QEY12" s="92"/>
      <c r="QEZ12" s="2"/>
      <c r="QFA12" s="2"/>
      <c r="QFL12" s="92"/>
      <c r="QFM12" s="2"/>
      <c r="QFN12" s="2"/>
      <c r="QFY12" s="92"/>
      <c r="QFZ12" s="2"/>
      <c r="QGA12" s="2"/>
      <c r="QGL12" s="92"/>
      <c r="QGM12" s="2"/>
      <c r="QGN12" s="2"/>
      <c r="QGY12" s="92"/>
      <c r="QGZ12" s="2"/>
      <c r="QHA12" s="2"/>
      <c r="QHL12" s="92"/>
      <c r="QHM12" s="2"/>
      <c r="QHN12" s="2"/>
      <c r="QHY12" s="92"/>
      <c r="QHZ12" s="2"/>
      <c r="QIA12" s="2"/>
      <c r="QIL12" s="92"/>
      <c r="QIM12" s="2"/>
      <c r="QIN12" s="2"/>
      <c r="QIY12" s="92"/>
      <c r="QIZ12" s="2"/>
      <c r="QJA12" s="2"/>
      <c r="QJL12" s="92"/>
      <c r="QJM12" s="2"/>
      <c r="QJN12" s="2"/>
      <c r="QJY12" s="92"/>
      <c r="QJZ12" s="2"/>
      <c r="QKA12" s="2"/>
      <c r="QKL12" s="92"/>
      <c r="QKM12" s="2"/>
      <c r="QKN12" s="2"/>
      <c r="QKY12" s="92"/>
      <c r="QKZ12" s="2"/>
      <c r="QLA12" s="2"/>
      <c r="QLL12" s="92"/>
      <c r="QLM12" s="2"/>
      <c r="QLN12" s="2"/>
      <c r="QLY12" s="92"/>
      <c r="QLZ12" s="2"/>
      <c r="QMA12" s="2"/>
      <c r="QML12" s="92"/>
      <c r="QMM12" s="2"/>
      <c r="QMN12" s="2"/>
      <c r="QMY12" s="92"/>
      <c r="QMZ12" s="2"/>
      <c r="QNA12" s="2"/>
      <c r="QNL12" s="92"/>
      <c r="QNM12" s="2"/>
      <c r="QNN12" s="2"/>
      <c r="QNY12" s="92"/>
      <c r="QNZ12" s="2"/>
      <c r="QOA12" s="2"/>
      <c r="QOL12" s="92"/>
      <c r="QOM12" s="2"/>
      <c r="QON12" s="2"/>
      <c r="QOY12" s="92"/>
      <c r="QOZ12" s="2"/>
      <c r="QPA12" s="2"/>
      <c r="QPL12" s="92"/>
      <c r="QPM12" s="2"/>
      <c r="QPN12" s="2"/>
      <c r="QPY12" s="92"/>
      <c r="QPZ12" s="2"/>
      <c r="QQA12" s="2"/>
      <c r="QQL12" s="92"/>
      <c r="QQM12" s="2"/>
      <c r="QQN12" s="2"/>
      <c r="QQY12" s="92"/>
      <c r="QQZ12" s="2"/>
      <c r="QRA12" s="2"/>
      <c r="QRL12" s="92"/>
      <c r="QRM12" s="2"/>
      <c r="QRN12" s="2"/>
      <c r="QRY12" s="92"/>
      <c r="QRZ12" s="2"/>
      <c r="QSA12" s="2"/>
      <c r="QSL12" s="92"/>
      <c r="QSM12" s="2"/>
      <c r="QSN12" s="2"/>
      <c r="QSY12" s="92"/>
      <c r="QSZ12" s="2"/>
      <c r="QTA12" s="2"/>
      <c r="QTL12" s="92"/>
      <c r="QTM12" s="2"/>
      <c r="QTN12" s="2"/>
      <c r="QTY12" s="92"/>
      <c r="QTZ12" s="2"/>
      <c r="QUA12" s="2"/>
      <c r="QUL12" s="92"/>
      <c r="QUM12" s="2"/>
      <c r="QUN12" s="2"/>
      <c r="QUY12" s="92"/>
      <c r="QUZ12" s="2"/>
      <c r="QVA12" s="2"/>
      <c r="QVL12" s="92"/>
      <c r="QVM12" s="2"/>
      <c r="QVN12" s="2"/>
      <c r="QVY12" s="92"/>
      <c r="QVZ12" s="2"/>
      <c r="QWA12" s="2"/>
      <c r="QWL12" s="92"/>
      <c r="QWM12" s="2"/>
      <c r="QWN12" s="2"/>
      <c r="QWY12" s="92"/>
      <c r="QWZ12" s="2"/>
      <c r="QXA12" s="2"/>
      <c r="QXL12" s="92"/>
      <c r="QXM12" s="2"/>
      <c r="QXN12" s="2"/>
      <c r="QXY12" s="92"/>
      <c r="QXZ12" s="2"/>
      <c r="QYA12" s="2"/>
      <c r="QYL12" s="92"/>
      <c r="QYM12" s="2"/>
      <c r="QYN12" s="2"/>
      <c r="QYY12" s="92"/>
      <c r="QYZ12" s="2"/>
      <c r="QZA12" s="2"/>
      <c r="QZL12" s="92"/>
      <c r="QZM12" s="2"/>
      <c r="QZN12" s="2"/>
      <c r="QZY12" s="92"/>
      <c r="QZZ12" s="2"/>
      <c r="RAA12" s="2"/>
      <c r="RAL12" s="92"/>
      <c r="RAM12" s="2"/>
      <c r="RAN12" s="2"/>
      <c r="RAY12" s="92"/>
      <c r="RAZ12" s="2"/>
      <c r="RBA12" s="2"/>
      <c r="RBL12" s="92"/>
      <c r="RBM12" s="2"/>
      <c r="RBN12" s="2"/>
      <c r="RBY12" s="92"/>
      <c r="RBZ12" s="2"/>
      <c r="RCA12" s="2"/>
      <c r="RCL12" s="92"/>
      <c r="RCM12" s="2"/>
      <c r="RCN12" s="2"/>
      <c r="RCY12" s="92"/>
      <c r="RCZ12" s="2"/>
      <c r="RDA12" s="2"/>
      <c r="RDL12" s="92"/>
      <c r="RDM12" s="2"/>
      <c r="RDN12" s="2"/>
      <c r="RDY12" s="92"/>
      <c r="RDZ12" s="2"/>
      <c r="REA12" s="2"/>
      <c r="REL12" s="92"/>
      <c r="REM12" s="2"/>
      <c r="REN12" s="2"/>
      <c r="REY12" s="92"/>
      <c r="REZ12" s="2"/>
      <c r="RFA12" s="2"/>
      <c r="RFL12" s="92"/>
      <c r="RFM12" s="2"/>
      <c r="RFN12" s="2"/>
      <c r="RFY12" s="92"/>
      <c r="RFZ12" s="2"/>
      <c r="RGA12" s="2"/>
      <c r="RGL12" s="92"/>
      <c r="RGM12" s="2"/>
      <c r="RGN12" s="2"/>
      <c r="RGY12" s="92"/>
      <c r="RGZ12" s="2"/>
      <c r="RHA12" s="2"/>
      <c r="RHL12" s="92"/>
      <c r="RHM12" s="2"/>
      <c r="RHN12" s="2"/>
      <c r="RHY12" s="92"/>
      <c r="RHZ12" s="2"/>
      <c r="RIA12" s="2"/>
      <c r="RIL12" s="92"/>
      <c r="RIM12" s="2"/>
      <c r="RIN12" s="2"/>
      <c r="RIY12" s="92"/>
      <c r="RIZ12" s="2"/>
      <c r="RJA12" s="2"/>
      <c r="RJL12" s="92"/>
      <c r="RJM12" s="2"/>
      <c r="RJN12" s="2"/>
      <c r="RJY12" s="92"/>
      <c r="RJZ12" s="2"/>
      <c r="RKA12" s="2"/>
      <c r="RKL12" s="92"/>
      <c r="RKM12" s="2"/>
      <c r="RKN12" s="2"/>
      <c r="RKY12" s="92"/>
      <c r="RKZ12" s="2"/>
      <c r="RLA12" s="2"/>
      <c r="RLL12" s="92"/>
      <c r="RLM12" s="2"/>
      <c r="RLN12" s="2"/>
      <c r="RLY12" s="92"/>
      <c r="RLZ12" s="2"/>
      <c r="RMA12" s="2"/>
      <c r="RML12" s="92"/>
      <c r="RMM12" s="2"/>
      <c r="RMN12" s="2"/>
      <c r="RMY12" s="92"/>
      <c r="RMZ12" s="2"/>
      <c r="RNA12" s="2"/>
      <c r="RNL12" s="92"/>
      <c r="RNM12" s="2"/>
      <c r="RNN12" s="2"/>
      <c r="RNY12" s="92"/>
      <c r="RNZ12" s="2"/>
      <c r="ROA12" s="2"/>
      <c r="ROL12" s="92"/>
      <c r="ROM12" s="2"/>
      <c r="RON12" s="2"/>
      <c r="ROY12" s="92"/>
      <c r="ROZ12" s="2"/>
      <c r="RPA12" s="2"/>
      <c r="RPL12" s="92"/>
      <c r="RPM12" s="2"/>
      <c r="RPN12" s="2"/>
      <c r="RPY12" s="92"/>
      <c r="RPZ12" s="2"/>
      <c r="RQA12" s="2"/>
      <c r="RQL12" s="92"/>
      <c r="RQM12" s="2"/>
      <c r="RQN12" s="2"/>
      <c r="RQY12" s="92"/>
      <c r="RQZ12" s="2"/>
      <c r="RRA12" s="2"/>
      <c r="RRL12" s="92"/>
      <c r="RRM12" s="2"/>
      <c r="RRN12" s="2"/>
      <c r="RRY12" s="92"/>
      <c r="RRZ12" s="2"/>
      <c r="RSA12" s="2"/>
      <c r="RSL12" s="92"/>
      <c r="RSM12" s="2"/>
      <c r="RSN12" s="2"/>
      <c r="RSY12" s="92"/>
      <c r="RSZ12" s="2"/>
      <c r="RTA12" s="2"/>
      <c r="RTL12" s="92"/>
      <c r="RTM12" s="2"/>
      <c r="RTN12" s="2"/>
      <c r="RTY12" s="92"/>
      <c r="RTZ12" s="2"/>
      <c r="RUA12" s="2"/>
      <c r="RUL12" s="92"/>
      <c r="RUM12" s="2"/>
      <c r="RUN12" s="2"/>
      <c r="RUY12" s="92"/>
      <c r="RUZ12" s="2"/>
      <c r="RVA12" s="2"/>
      <c r="RVL12" s="92"/>
      <c r="RVM12" s="2"/>
      <c r="RVN12" s="2"/>
      <c r="RVY12" s="92"/>
      <c r="RVZ12" s="2"/>
      <c r="RWA12" s="2"/>
      <c r="RWL12" s="92"/>
      <c r="RWM12" s="2"/>
      <c r="RWN12" s="2"/>
      <c r="RWY12" s="92"/>
      <c r="RWZ12" s="2"/>
      <c r="RXA12" s="2"/>
      <c r="RXL12" s="92"/>
      <c r="RXM12" s="2"/>
      <c r="RXN12" s="2"/>
      <c r="RXY12" s="92"/>
      <c r="RXZ12" s="2"/>
      <c r="RYA12" s="2"/>
      <c r="RYL12" s="92"/>
      <c r="RYM12" s="2"/>
      <c r="RYN12" s="2"/>
      <c r="RYY12" s="92"/>
      <c r="RYZ12" s="2"/>
      <c r="RZA12" s="2"/>
      <c r="RZL12" s="92"/>
      <c r="RZM12" s="2"/>
      <c r="RZN12" s="2"/>
      <c r="RZY12" s="92"/>
      <c r="RZZ12" s="2"/>
      <c r="SAA12" s="2"/>
      <c r="SAL12" s="92"/>
      <c r="SAM12" s="2"/>
      <c r="SAN12" s="2"/>
      <c r="SAY12" s="92"/>
      <c r="SAZ12" s="2"/>
      <c r="SBA12" s="2"/>
      <c r="SBL12" s="92"/>
      <c r="SBM12" s="2"/>
      <c r="SBN12" s="2"/>
      <c r="SBY12" s="92"/>
      <c r="SBZ12" s="2"/>
      <c r="SCA12" s="2"/>
      <c r="SCL12" s="92"/>
      <c r="SCM12" s="2"/>
      <c r="SCN12" s="2"/>
      <c r="SCY12" s="92"/>
      <c r="SCZ12" s="2"/>
      <c r="SDA12" s="2"/>
      <c r="SDL12" s="92"/>
      <c r="SDM12" s="2"/>
      <c r="SDN12" s="2"/>
      <c r="SDY12" s="92"/>
      <c r="SDZ12" s="2"/>
      <c r="SEA12" s="2"/>
      <c r="SEL12" s="92"/>
      <c r="SEM12" s="2"/>
      <c r="SEN12" s="2"/>
      <c r="SEY12" s="92"/>
      <c r="SEZ12" s="2"/>
      <c r="SFA12" s="2"/>
      <c r="SFL12" s="92"/>
      <c r="SFM12" s="2"/>
      <c r="SFN12" s="2"/>
      <c r="SFY12" s="92"/>
      <c r="SFZ12" s="2"/>
      <c r="SGA12" s="2"/>
      <c r="SGL12" s="92"/>
      <c r="SGM12" s="2"/>
      <c r="SGN12" s="2"/>
      <c r="SGY12" s="92"/>
      <c r="SGZ12" s="2"/>
      <c r="SHA12" s="2"/>
      <c r="SHL12" s="92"/>
      <c r="SHM12" s="2"/>
      <c r="SHN12" s="2"/>
      <c r="SHY12" s="92"/>
      <c r="SHZ12" s="2"/>
      <c r="SIA12" s="2"/>
      <c r="SIL12" s="92"/>
      <c r="SIM12" s="2"/>
      <c r="SIN12" s="2"/>
      <c r="SIY12" s="92"/>
      <c r="SIZ12" s="2"/>
      <c r="SJA12" s="2"/>
      <c r="SJL12" s="92"/>
      <c r="SJM12" s="2"/>
      <c r="SJN12" s="2"/>
      <c r="SJY12" s="92"/>
      <c r="SJZ12" s="2"/>
      <c r="SKA12" s="2"/>
      <c r="SKL12" s="92"/>
      <c r="SKM12" s="2"/>
      <c r="SKN12" s="2"/>
      <c r="SKY12" s="92"/>
      <c r="SKZ12" s="2"/>
      <c r="SLA12" s="2"/>
      <c r="SLL12" s="92"/>
      <c r="SLM12" s="2"/>
      <c r="SLN12" s="2"/>
      <c r="SLY12" s="92"/>
      <c r="SLZ12" s="2"/>
      <c r="SMA12" s="2"/>
      <c r="SML12" s="92"/>
      <c r="SMM12" s="2"/>
      <c r="SMN12" s="2"/>
      <c r="SMY12" s="92"/>
      <c r="SMZ12" s="2"/>
      <c r="SNA12" s="2"/>
      <c r="SNL12" s="92"/>
      <c r="SNM12" s="2"/>
      <c r="SNN12" s="2"/>
      <c r="SNY12" s="92"/>
      <c r="SNZ12" s="2"/>
      <c r="SOA12" s="2"/>
      <c r="SOL12" s="92"/>
      <c r="SOM12" s="2"/>
      <c r="SON12" s="2"/>
      <c r="SOY12" s="92"/>
      <c r="SOZ12" s="2"/>
      <c r="SPA12" s="2"/>
      <c r="SPL12" s="92"/>
      <c r="SPM12" s="2"/>
      <c r="SPN12" s="2"/>
      <c r="SPY12" s="92"/>
      <c r="SPZ12" s="2"/>
      <c r="SQA12" s="2"/>
      <c r="SQL12" s="92"/>
      <c r="SQM12" s="2"/>
      <c r="SQN12" s="2"/>
      <c r="SQY12" s="92"/>
      <c r="SQZ12" s="2"/>
      <c r="SRA12" s="2"/>
      <c r="SRL12" s="92"/>
      <c r="SRM12" s="2"/>
      <c r="SRN12" s="2"/>
      <c r="SRY12" s="92"/>
      <c r="SRZ12" s="2"/>
      <c r="SSA12" s="2"/>
      <c r="SSL12" s="92"/>
      <c r="SSM12" s="2"/>
      <c r="SSN12" s="2"/>
      <c r="SSY12" s="92"/>
      <c r="SSZ12" s="2"/>
      <c r="STA12" s="2"/>
      <c r="STL12" s="92"/>
      <c r="STM12" s="2"/>
      <c r="STN12" s="2"/>
      <c r="STY12" s="92"/>
      <c r="STZ12" s="2"/>
      <c r="SUA12" s="2"/>
      <c r="SUL12" s="92"/>
      <c r="SUM12" s="2"/>
      <c r="SUN12" s="2"/>
      <c r="SUY12" s="92"/>
      <c r="SUZ12" s="2"/>
      <c r="SVA12" s="2"/>
      <c r="SVL12" s="92"/>
      <c r="SVM12" s="2"/>
      <c r="SVN12" s="2"/>
      <c r="SVY12" s="92"/>
      <c r="SVZ12" s="2"/>
      <c r="SWA12" s="2"/>
      <c r="SWL12" s="92"/>
      <c r="SWM12" s="2"/>
      <c r="SWN12" s="2"/>
      <c r="SWY12" s="92"/>
      <c r="SWZ12" s="2"/>
      <c r="SXA12" s="2"/>
      <c r="SXL12" s="92"/>
      <c r="SXM12" s="2"/>
      <c r="SXN12" s="2"/>
      <c r="SXY12" s="92"/>
      <c r="SXZ12" s="2"/>
      <c r="SYA12" s="2"/>
      <c r="SYL12" s="92"/>
      <c r="SYM12" s="2"/>
      <c r="SYN12" s="2"/>
      <c r="SYY12" s="92"/>
      <c r="SYZ12" s="2"/>
      <c r="SZA12" s="2"/>
      <c r="SZL12" s="92"/>
      <c r="SZM12" s="2"/>
      <c r="SZN12" s="2"/>
      <c r="SZY12" s="92"/>
      <c r="SZZ12" s="2"/>
      <c r="TAA12" s="2"/>
      <c r="TAL12" s="92"/>
      <c r="TAM12" s="2"/>
      <c r="TAN12" s="2"/>
      <c r="TAY12" s="92"/>
      <c r="TAZ12" s="2"/>
      <c r="TBA12" s="2"/>
      <c r="TBL12" s="92"/>
      <c r="TBM12" s="2"/>
      <c r="TBN12" s="2"/>
      <c r="TBY12" s="92"/>
      <c r="TBZ12" s="2"/>
      <c r="TCA12" s="2"/>
      <c r="TCL12" s="92"/>
      <c r="TCM12" s="2"/>
      <c r="TCN12" s="2"/>
      <c r="TCY12" s="92"/>
      <c r="TCZ12" s="2"/>
      <c r="TDA12" s="2"/>
      <c r="TDL12" s="92"/>
      <c r="TDM12" s="2"/>
      <c r="TDN12" s="2"/>
      <c r="TDY12" s="92"/>
      <c r="TDZ12" s="2"/>
      <c r="TEA12" s="2"/>
      <c r="TEL12" s="92"/>
      <c r="TEM12" s="2"/>
      <c r="TEN12" s="2"/>
      <c r="TEY12" s="92"/>
      <c r="TEZ12" s="2"/>
      <c r="TFA12" s="2"/>
      <c r="TFL12" s="92"/>
      <c r="TFM12" s="2"/>
      <c r="TFN12" s="2"/>
      <c r="TFY12" s="92"/>
      <c r="TFZ12" s="2"/>
      <c r="TGA12" s="2"/>
      <c r="TGL12" s="92"/>
      <c r="TGM12" s="2"/>
      <c r="TGN12" s="2"/>
      <c r="TGY12" s="92"/>
      <c r="TGZ12" s="2"/>
      <c r="THA12" s="2"/>
      <c r="THL12" s="92"/>
      <c r="THM12" s="2"/>
      <c r="THN12" s="2"/>
      <c r="THY12" s="92"/>
      <c r="THZ12" s="2"/>
      <c r="TIA12" s="2"/>
      <c r="TIL12" s="92"/>
      <c r="TIM12" s="2"/>
      <c r="TIN12" s="2"/>
      <c r="TIY12" s="92"/>
      <c r="TIZ12" s="2"/>
      <c r="TJA12" s="2"/>
      <c r="TJL12" s="92"/>
      <c r="TJM12" s="2"/>
      <c r="TJN12" s="2"/>
      <c r="TJY12" s="92"/>
      <c r="TJZ12" s="2"/>
      <c r="TKA12" s="2"/>
      <c r="TKL12" s="92"/>
      <c r="TKM12" s="2"/>
      <c r="TKN12" s="2"/>
      <c r="TKY12" s="92"/>
      <c r="TKZ12" s="2"/>
      <c r="TLA12" s="2"/>
      <c r="TLL12" s="92"/>
      <c r="TLM12" s="2"/>
      <c r="TLN12" s="2"/>
      <c r="TLY12" s="92"/>
      <c r="TLZ12" s="2"/>
      <c r="TMA12" s="2"/>
      <c r="TML12" s="92"/>
      <c r="TMM12" s="2"/>
      <c r="TMN12" s="2"/>
      <c r="TMY12" s="92"/>
      <c r="TMZ12" s="2"/>
      <c r="TNA12" s="2"/>
      <c r="TNL12" s="92"/>
      <c r="TNM12" s="2"/>
      <c r="TNN12" s="2"/>
      <c r="TNY12" s="92"/>
      <c r="TNZ12" s="2"/>
      <c r="TOA12" s="2"/>
      <c r="TOL12" s="92"/>
      <c r="TOM12" s="2"/>
      <c r="TON12" s="2"/>
      <c r="TOY12" s="92"/>
      <c r="TOZ12" s="2"/>
      <c r="TPA12" s="2"/>
      <c r="TPL12" s="92"/>
      <c r="TPM12" s="2"/>
      <c r="TPN12" s="2"/>
      <c r="TPY12" s="92"/>
      <c r="TPZ12" s="2"/>
      <c r="TQA12" s="2"/>
      <c r="TQL12" s="92"/>
      <c r="TQM12" s="2"/>
      <c r="TQN12" s="2"/>
      <c r="TQY12" s="92"/>
      <c r="TQZ12" s="2"/>
      <c r="TRA12" s="2"/>
      <c r="TRL12" s="92"/>
      <c r="TRM12" s="2"/>
      <c r="TRN12" s="2"/>
      <c r="TRY12" s="92"/>
      <c r="TRZ12" s="2"/>
      <c r="TSA12" s="2"/>
      <c r="TSL12" s="92"/>
      <c r="TSM12" s="2"/>
      <c r="TSN12" s="2"/>
      <c r="TSY12" s="92"/>
      <c r="TSZ12" s="2"/>
      <c r="TTA12" s="2"/>
      <c r="TTL12" s="92"/>
      <c r="TTM12" s="2"/>
      <c r="TTN12" s="2"/>
      <c r="TTY12" s="92"/>
      <c r="TTZ12" s="2"/>
      <c r="TUA12" s="2"/>
      <c r="TUL12" s="92"/>
      <c r="TUM12" s="2"/>
      <c r="TUN12" s="2"/>
      <c r="TUY12" s="92"/>
      <c r="TUZ12" s="2"/>
      <c r="TVA12" s="2"/>
      <c r="TVL12" s="92"/>
      <c r="TVM12" s="2"/>
      <c r="TVN12" s="2"/>
      <c r="TVY12" s="92"/>
      <c r="TVZ12" s="2"/>
      <c r="TWA12" s="2"/>
      <c r="TWL12" s="92"/>
      <c r="TWM12" s="2"/>
      <c r="TWN12" s="2"/>
      <c r="TWY12" s="92"/>
      <c r="TWZ12" s="2"/>
      <c r="TXA12" s="2"/>
      <c r="TXL12" s="92"/>
      <c r="TXM12" s="2"/>
      <c r="TXN12" s="2"/>
      <c r="TXY12" s="92"/>
      <c r="TXZ12" s="2"/>
      <c r="TYA12" s="2"/>
      <c r="TYL12" s="92"/>
      <c r="TYM12" s="2"/>
      <c r="TYN12" s="2"/>
      <c r="TYY12" s="92"/>
      <c r="TYZ12" s="2"/>
      <c r="TZA12" s="2"/>
      <c r="TZL12" s="92"/>
      <c r="TZM12" s="2"/>
      <c r="TZN12" s="2"/>
      <c r="TZY12" s="92"/>
      <c r="TZZ12" s="2"/>
      <c r="UAA12" s="2"/>
      <c r="UAL12" s="92"/>
      <c r="UAM12" s="2"/>
      <c r="UAN12" s="2"/>
      <c r="UAY12" s="92"/>
      <c r="UAZ12" s="2"/>
      <c r="UBA12" s="2"/>
      <c r="UBL12" s="92"/>
      <c r="UBM12" s="2"/>
      <c r="UBN12" s="2"/>
      <c r="UBY12" s="92"/>
      <c r="UBZ12" s="2"/>
      <c r="UCA12" s="2"/>
      <c r="UCL12" s="92"/>
      <c r="UCM12" s="2"/>
      <c r="UCN12" s="2"/>
      <c r="UCY12" s="92"/>
      <c r="UCZ12" s="2"/>
      <c r="UDA12" s="2"/>
      <c r="UDL12" s="92"/>
      <c r="UDM12" s="2"/>
      <c r="UDN12" s="2"/>
      <c r="UDY12" s="92"/>
      <c r="UDZ12" s="2"/>
      <c r="UEA12" s="2"/>
      <c r="UEL12" s="92"/>
      <c r="UEM12" s="2"/>
      <c r="UEN12" s="2"/>
      <c r="UEY12" s="92"/>
      <c r="UEZ12" s="2"/>
      <c r="UFA12" s="2"/>
      <c r="UFL12" s="92"/>
      <c r="UFM12" s="2"/>
      <c r="UFN12" s="2"/>
      <c r="UFY12" s="92"/>
      <c r="UFZ12" s="2"/>
      <c r="UGA12" s="2"/>
      <c r="UGL12" s="92"/>
      <c r="UGM12" s="2"/>
      <c r="UGN12" s="2"/>
      <c r="UGY12" s="92"/>
      <c r="UGZ12" s="2"/>
      <c r="UHA12" s="2"/>
      <c r="UHL12" s="92"/>
      <c r="UHM12" s="2"/>
      <c r="UHN12" s="2"/>
      <c r="UHY12" s="92"/>
      <c r="UHZ12" s="2"/>
      <c r="UIA12" s="2"/>
      <c r="UIL12" s="92"/>
      <c r="UIM12" s="2"/>
      <c r="UIN12" s="2"/>
      <c r="UIY12" s="92"/>
      <c r="UIZ12" s="2"/>
      <c r="UJA12" s="2"/>
      <c r="UJL12" s="92"/>
      <c r="UJM12" s="2"/>
      <c r="UJN12" s="2"/>
      <c r="UJY12" s="92"/>
      <c r="UJZ12" s="2"/>
      <c r="UKA12" s="2"/>
      <c r="UKL12" s="92"/>
      <c r="UKM12" s="2"/>
      <c r="UKN12" s="2"/>
      <c r="UKY12" s="92"/>
      <c r="UKZ12" s="2"/>
      <c r="ULA12" s="2"/>
      <c r="ULL12" s="92"/>
      <c r="ULM12" s="2"/>
      <c r="ULN12" s="2"/>
      <c r="ULY12" s="92"/>
      <c r="ULZ12" s="2"/>
      <c r="UMA12" s="2"/>
      <c r="UML12" s="92"/>
      <c r="UMM12" s="2"/>
      <c r="UMN12" s="2"/>
      <c r="UMY12" s="92"/>
      <c r="UMZ12" s="2"/>
      <c r="UNA12" s="2"/>
      <c r="UNL12" s="92"/>
      <c r="UNM12" s="2"/>
      <c r="UNN12" s="2"/>
      <c r="UNY12" s="92"/>
      <c r="UNZ12" s="2"/>
      <c r="UOA12" s="2"/>
      <c r="UOL12" s="92"/>
      <c r="UOM12" s="2"/>
      <c r="UON12" s="2"/>
      <c r="UOY12" s="92"/>
      <c r="UOZ12" s="2"/>
      <c r="UPA12" s="2"/>
      <c r="UPL12" s="92"/>
      <c r="UPM12" s="2"/>
      <c r="UPN12" s="2"/>
      <c r="UPY12" s="92"/>
      <c r="UPZ12" s="2"/>
      <c r="UQA12" s="2"/>
      <c r="UQL12" s="92"/>
      <c r="UQM12" s="2"/>
      <c r="UQN12" s="2"/>
      <c r="UQY12" s="92"/>
      <c r="UQZ12" s="2"/>
      <c r="URA12" s="2"/>
      <c r="URL12" s="92"/>
      <c r="URM12" s="2"/>
      <c r="URN12" s="2"/>
      <c r="URY12" s="92"/>
      <c r="URZ12" s="2"/>
      <c r="USA12" s="2"/>
      <c r="USL12" s="92"/>
      <c r="USM12" s="2"/>
      <c r="USN12" s="2"/>
      <c r="USY12" s="92"/>
      <c r="USZ12" s="2"/>
      <c r="UTA12" s="2"/>
      <c r="UTL12" s="92"/>
      <c r="UTM12" s="2"/>
      <c r="UTN12" s="2"/>
      <c r="UTY12" s="92"/>
      <c r="UTZ12" s="2"/>
      <c r="UUA12" s="2"/>
      <c r="UUL12" s="92"/>
      <c r="UUM12" s="2"/>
      <c r="UUN12" s="2"/>
      <c r="UUY12" s="92"/>
      <c r="UUZ12" s="2"/>
      <c r="UVA12" s="2"/>
      <c r="UVL12" s="92"/>
      <c r="UVM12" s="2"/>
      <c r="UVN12" s="2"/>
      <c r="UVY12" s="92"/>
      <c r="UVZ12" s="2"/>
      <c r="UWA12" s="2"/>
      <c r="UWL12" s="92"/>
      <c r="UWM12" s="2"/>
      <c r="UWN12" s="2"/>
      <c r="UWY12" s="92"/>
      <c r="UWZ12" s="2"/>
      <c r="UXA12" s="2"/>
      <c r="UXL12" s="92"/>
      <c r="UXM12" s="2"/>
      <c r="UXN12" s="2"/>
      <c r="UXY12" s="92"/>
      <c r="UXZ12" s="2"/>
      <c r="UYA12" s="2"/>
      <c r="UYL12" s="92"/>
      <c r="UYM12" s="2"/>
      <c r="UYN12" s="2"/>
      <c r="UYY12" s="92"/>
      <c r="UYZ12" s="2"/>
      <c r="UZA12" s="2"/>
      <c r="UZL12" s="92"/>
      <c r="UZM12" s="2"/>
      <c r="UZN12" s="2"/>
      <c r="UZY12" s="92"/>
      <c r="UZZ12" s="2"/>
      <c r="VAA12" s="2"/>
      <c r="VAL12" s="92"/>
      <c r="VAM12" s="2"/>
      <c r="VAN12" s="2"/>
      <c r="VAY12" s="92"/>
      <c r="VAZ12" s="2"/>
      <c r="VBA12" s="2"/>
      <c r="VBL12" s="92"/>
      <c r="VBM12" s="2"/>
      <c r="VBN12" s="2"/>
      <c r="VBY12" s="92"/>
      <c r="VBZ12" s="2"/>
      <c r="VCA12" s="2"/>
      <c r="VCL12" s="92"/>
      <c r="VCM12" s="2"/>
      <c r="VCN12" s="2"/>
      <c r="VCY12" s="92"/>
      <c r="VCZ12" s="2"/>
      <c r="VDA12" s="2"/>
      <c r="VDL12" s="92"/>
      <c r="VDM12" s="2"/>
      <c r="VDN12" s="2"/>
      <c r="VDY12" s="92"/>
      <c r="VDZ12" s="2"/>
      <c r="VEA12" s="2"/>
      <c r="VEL12" s="92"/>
      <c r="VEM12" s="2"/>
      <c r="VEN12" s="2"/>
      <c r="VEY12" s="92"/>
      <c r="VEZ12" s="2"/>
      <c r="VFA12" s="2"/>
      <c r="VFL12" s="92"/>
      <c r="VFM12" s="2"/>
      <c r="VFN12" s="2"/>
      <c r="VFY12" s="92"/>
      <c r="VFZ12" s="2"/>
      <c r="VGA12" s="2"/>
      <c r="VGL12" s="92"/>
      <c r="VGM12" s="2"/>
      <c r="VGN12" s="2"/>
      <c r="VGY12" s="92"/>
      <c r="VGZ12" s="2"/>
      <c r="VHA12" s="2"/>
      <c r="VHL12" s="92"/>
      <c r="VHM12" s="2"/>
      <c r="VHN12" s="2"/>
      <c r="VHY12" s="92"/>
      <c r="VHZ12" s="2"/>
      <c r="VIA12" s="2"/>
      <c r="VIL12" s="92"/>
      <c r="VIM12" s="2"/>
      <c r="VIN12" s="2"/>
      <c r="VIY12" s="92"/>
      <c r="VIZ12" s="2"/>
      <c r="VJA12" s="2"/>
      <c r="VJL12" s="92"/>
      <c r="VJM12" s="2"/>
      <c r="VJN12" s="2"/>
      <c r="VJY12" s="92"/>
      <c r="VJZ12" s="2"/>
      <c r="VKA12" s="2"/>
      <c r="VKL12" s="92"/>
      <c r="VKM12" s="2"/>
      <c r="VKN12" s="2"/>
      <c r="VKY12" s="92"/>
      <c r="VKZ12" s="2"/>
      <c r="VLA12" s="2"/>
      <c r="VLL12" s="92"/>
      <c r="VLM12" s="2"/>
      <c r="VLN12" s="2"/>
      <c r="VLY12" s="92"/>
      <c r="VLZ12" s="2"/>
      <c r="VMA12" s="2"/>
      <c r="VML12" s="92"/>
      <c r="VMM12" s="2"/>
      <c r="VMN12" s="2"/>
      <c r="VMY12" s="92"/>
      <c r="VMZ12" s="2"/>
      <c r="VNA12" s="2"/>
      <c r="VNL12" s="92"/>
      <c r="VNM12" s="2"/>
      <c r="VNN12" s="2"/>
      <c r="VNY12" s="92"/>
      <c r="VNZ12" s="2"/>
      <c r="VOA12" s="2"/>
      <c r="VOL12" s="92"/>
      <c r="VOM12" s="2"/>
      <c r="VON12" s="2"/>
      <c r="VOY12" s="92"/>
      <c r="VOZ12" s="2"/>
      <c r="VPA12" s="2"/>
      <c r="VPL12" s="92"/>
      <c r="VPM12" s="2"/>
      <c r="VPN12" s="2"/>
      <c r="VPY12" s="92"/>
      <c r="VPZ12" s="2"/>
      <c r="VQA12" s="2"/>
      <c r="VQL12" s="92"/>
      <c r="VQM12" s="2"/>
      <c r="VQN12" s="2"/>
      <c r="VQY12" s="92"/>
      <c r="VQZ12" s="2"/>
      <c r="VRA12" s="2"/>
      <c r="VRL12" s="92"/>
      <c r="VRM12" s="2"/>
      <c r="VRN12" s="2"/>
      <c r="VRY12" s="92"/>
      <c r="VRZ12" s="2"/>
      <c r="VSA12" s="2"/>
      <c r="VSL12" s="92"/>
      <c r="VSM12" s="2"/>
      <c r="VSN12" s="2"/>
      <c r="VSY12" s="92"/>
      <c r="VSZ12" s="2"/>
      <c r="VTA12" s="2"/>
      <c r="VTL12" s="92"/>
      <c r="VTM12" s="2"/>
      <c r="VTN12" s="2"/>
      <c r="VTY12" s="92"/>
      <c r="VTZ12" s="2"/>
      <c r="VUA12" s="2"/>
      <c r="VUL12" s="92"/>
      <c r="VUM12" s="2"/>
      <c r="VUN12" s="2"/>
      <c r="VUY12" s="92"/>
      <c r="VUZ12" s="2"/>
      <c r="VVA12" s="2"/>
      <c r="VVL12" s="92"/>
      <c r="VVM12" s="2"/>
      <c r="VVN12" s="2"/>
      <c r="VVY12" s="92"/>
      <c r="VVZ12" s="2"/>
      <c r="VWA12" s="2"/>
      <c r="VWL12" s="92"/>
      <c r="VWM12" s="2"/>
      <c r="VWN12" s="2"/>
      <c r="VWY12" s="92"/>
      <c r="VWZ12" s="2"/>
      <c r="VXA12" s="2"/>
      <c r="VXL12" s="92"/>
      <c r="VXM12" s="2"/>
      <c r="VXN12" s="2"/>
      <c r="VXY12" s="92"/>
      <c r="VXZ12" s="2"/>
      <c r="VYA12" s="2"/>
      <c r="VYL12" s="92"/>
      <c r="VYM12" s="2"/>
      <c r="VYN12" s="2"/>
      <c r="VYY12" s="92"/>
      <c r="VYZ12" s="2"/>
      <c r="VZA12" s="2"/>
      <c r="VZL12" s="92"/>
      <c r="VZM12" s="2"/>
      <c r="VZN12" s="2"/>
      <c r="VZY12" s="92"/>
      <c r="VZZ12" s="2"/>
      <c r="WAA12" s="2"/>
      <c r="WAL12" s="92"/>
      <c r="WAM12" s="2"/>
      <c r="WAN12" s="2"/>
      <c r="WAY12" s="92"/>
      <c r="WAZ12" s="2"/>
      <c r="WBA12" s="2"/>
      <c r="WBL12" s="92"/>
      <c r="WBM12" s="2"/>
      <c r="WBN12" s="2"/>
      <c r="WBY12" s="92"/>
      <c r="WBZ12" s="2"/>
      <c r="WCA12" s="2"/>
      <c r="WCL12" s="92"/>
      <c r="WCM12" s="2"/>
      <c r="WCN12" s="2"/>
      <c r="WCY12" s="92"/>
      <c r="WCZ12" s="2"/>
      <c r="WDA12" s="2"/>
      <c r="WDL12" s="92"/>
      <c r="WDM12" s="2"/>
      <c r="WDN12" s="2"/>
      <c r="WDY12" s="92"/>
      <c r="WDZ12" s="2"/>
      <c r="WEA12" s="2"/>
      <c r="WEL12" s="92"/>
      <c r="WEM12" s="2"/>
      <c r="WEN12" s="2"/>
      <c r="WEY12" s="92"/>
      <c r="WEZ12" s="2"/>
      <c r="WFA12" s="2"/>
      <c r="WFL12" s="92"/>
      <c r="WFM12" s="2"/>
      <c r="WFN12" s="2"/>
      <c r="WFY12" s="92"/>
      <c r="WFZ12" s="2"/>
      <c r="WGA12" s="2"/>
      <c r="WGL12" s="92"/>
      <c r="WGM12" s="2"/>
      <c r="WGN12" s="2"/>
      <c r="WGY12" s="92"/>
      <c r="WGZ12" s="2"/>
      <c r="WHA12" s="2"/>
      <c r="WHL12" s="92"/>
      <c r="WHM12" s="2"/>
      <c r="WHN12" s="2"/>
      <c r="WHY12" s="92"/>
      <c r="WHZ12" s="2"/>
      <c r="WIA12" s="2"/>
      <c r="WIL12" s="92"/>
      <c r="WIM12" s="2"/>
      <c r="WIN12" s="2"/>
      <c r="WIY12" s="92"/>
      <c r="WIZ12" s="2"/>
      <c r="WJA12" s="2"/>
      <c r="WJL12" s="92"/>
      <c r="WJM12" s="2"/>
      <c r="WJN12" s="2"/>
      <c r="WJY12" s="92"/>
      <c r="WJZ12" s="2"/>
      <c r="WKA12" s="2"/>
      <c r="WKL12" s="92"/>
      <c r="WKM12" s="2"/>
      <c r="WKN12" s="2"/>
      <c r="WKY12" s="92"/>
      <c r="WKZ12" s="2"/>
      <c r="WLA12" s="2"/>
      <c r="WLL12" s="92"/>
      <c r="WLM12" s="2"/>
      <c r="WLN12" s="2"/>
      <c r="WLY12" s="92"/>
      <c r="WLZ12" s="2"/>
      <c r="WMA12" s="2"/>
      <c r="WML12" s="92"/>
      <c r="WMM12" s="2"/>
      <c r="WMN12" s="2"/>
      <c r="WMY12" s="92"/>
      <c r="WMZ12" s="2"/>
      <c r="WNA12" s="2"/>
      <c r="WNL12" s="92"/>
      <c r="WNM12" s="2"/>
      <c r="WNN12" s="2"/>
      <c r="WNY12" s="92"/>
      <c r="WNZ12" s="2"/>
      <c r="WOA12" s="2"/>
      <c r="WOL12" s="92"/>
      <c r="WOM12" s="2"/>
      <c r="WON12" s="2"/>
      <c r="WOY12" s="92"/>
      <c r="WOZ12" s="2"/>
      <c r="WPA12" s="2"/>
      <c r="WPL12" s="92"/>
      <c r="WPM12" s="2"/>
      <c r="WPN12" s="2"/>
      <c r="WPY12" s="92"/>
      <c r="WPZ12" s="2"/>
      <c r="WQA12" s="2"/>
      <c r="WQL12" s="92"/>
      <c r="WQM12" s="2"/>
      <c r="WQN12" s="2"/>
      <c r="WQY12" s="92"/>
      <c r="WQZ12" s="2"/>
      <c r="WRA12" s="2"/>
      <c r="WRL12" s="92"/>
      <c r="WRM12" s="2"/>
      <c r="WRN12" s="2"/>
      <c r="WRY12" s="92"/>
      <c r="WRZ12" s="2"/>
      <c r="WSA12" s="2"/>
      <c r="WSL12" s="92"/>
      <c r="WSM12" s="2"/>
      <c r="WSN12" s="2"/>
      <c r="WSY12" s="92"/>
      <c r="WSZ12" s="2"/>
      <c r="WTA12" s="2"/>
      <c r="WTL12" s="92"/>
      <c r="WTM12" s="2"/>
      <c r="WTN12" s="2"/>
      <c r="WTY12" s="92"/>
      <c r="WTZ12" s="2"/>
      <c r="WUA12" s="2"/>
      <c r="WUL12" s="92"/>
      <c r="WUM12" s="2"/>
      <c r="WUN12" s="2"/>
      <c r="WUY12" s="92"/>
      <c r="WUZ12" s="2"/>
      <c r="WVA12" s="2"/>
      <c r="WVL12" s="92"/>
      <c r="WVM12" s="2"/>
      <c r="WVN12" s="2"/>
      <c r="WVY12" s="92"/>
      <c r="WVZ12" s="2"/>
      <c r="WWA12" s="2"/>
      <c r="WWL12" s="92"/>
      <c r="WWM12" s="2"/>
      <c r="WWN12" s="2"/>
      <c r="WWY12" s="92"/>
      <c r="WWZ12" s="2"/>
      <c r="WXA12" s="2"/>
      <c r="WXL12" s="92"/>
      <c r="WXM12" s="2"/>
      <c r="WXN12" s="2"/>
      <c r="WXY12" s="92"/>
      <c r="WXZ12" s="2"/>
      <c r="WYA12" s="2"/>
      <c r="WYL12" s="92"/>
      <c r="WYM12" s="2"/>
      <c r="WYN12" s="2"/>
      <c r="WYY12" s="92"/>
      <c r="WYZ12" s="2"/>
      <c r="WZA12" s="2"/>
      <c r="WZL12" s="92"/>
      <c r="WZM12" s="2"/>
      <c r="WZN12" s="2"/>
      <c r="WZY12" s="92"/>
      <c r="WZZ12" s="2"/>
      <c r="XAA12" s="2"/>
      <c r="XAL12" s="92"/>
      <c r="XAM12" s="2"/>
      <c r="XAN12" s="2"/>
      <c r="XAY12" s="92"/>
      <c r="XAZ12" s="2"/>
      <c r="XBA12" s="2"/>
      <c r="XBL12" s="92"/>
      <c r="XBM12" s="2"/>
      <c r="XBN12" s="2"/>
      <c r="XBY12" s="92"/>
      <c r="XBZ12" s="2"/>
      <c r="XCA12" s="2"/>
      <c r="XCL12" s="92"/>
      <c r="XCM12" s="2"/>
      <c r="XCN12" s="2"/>
      <c r="XCY12" s="92"/>
      <c r="XCZ12" s="2"/>
      <c r="XDA12" s="2"/>
      <c r="XDL12" s="92"/>
      <c r="XDM12" s="2"/>
      <c r="XDN12" s="2"/>
      <c r="XDY12" s="92"/>
      <c r="XDZ12" s="2"/>
      <c r="XEA12" s="2"/>
      <c r="XEL12" s="92"/>
      <c r="XEM12" s="2"/>
      <c r="XEN12" s="2"/>
      <c r="XEY12" s="92"/>
      <c r="XEZ12" s="2"/>
      <c r="XFA12" s="2"/>
    </row>
    <row r="13" spans="1:1015 1026:2042 2053:3069 3080:4096 4107:5110 5121:6137 6148:7164 7175:8191 8202:10232 10243:11259 11270:12286 12297:14327 14338:15354 15365:16381" s="142" customFormat="1" ht="15" x14ac:dyDescent="0.25">
      <c r="A13" s="129"/>
      <c r="B13" s="215"/>
      <c r="C13" s="151"/>
      <c r="D13" s="151"/>
      <c r="E13" s="151"/>
      <c r="F13" s="151"/>
      <c r="G13" s="151"/>
      <c r="H13" s="151"/>
      <c r="I13" s="151"/>
      <c r="J13" s="151"/>
      <c r="K13" s="151"/>
      <c r="L13" s="151"/>
      <c r="M13" s="151"/>
      <c r="N13" s="214"/>
      <c r="O13" s="136"/>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row>
    <row r="14" spans="1:1015 1026:2042 2053:3069 3080:4096 4107:5110 5121:6137 6148:7164 7175:8191 8202:10232 10243:11259 11270:12286 12297:14327 14338:15354 15365:16381" s="142" customFormat="1" ht="15.6" x14ac:dyDescent="0.3">
      <c r="A14" s="129"/>
      <c r="B14" s="215"/>
      <c r="C14" s="134"/>
      <c r="D14" s="129"/>
      <c r="E14" s="85"/>
      <c r="F14" s="85"/>
      <c r="G14" s="120"/>
      <c r="H14" s="85" t="s">
        <v>704</v>
      </c>
      <c r="I14" s="120"/>
      <c r="J14" s="120"/>
      <c r="K14" s="120"/>
      <c r="M14" s="151"/>
      <c r="N14" s="214"/>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row>
    <row r="15" spans="1:1015 1026:2042 2053:3069 3080:4096 4107:5110 5121:6137 6148:7164 7175:8191 8202:10232 10243:11259 11270:12286 12297:14327 14338:15354 15365:16381" s="142" customFormat="1" ht="15.6" x14ac:dyDescent="0.3">
      <c r="A15" s="129"/>
      <c r="B15" s="215"/>
      <c r="C15" s="134"/>
      <c r="D15" s="129"/>
      <c r="E15" s="85"/>
      <c r="F15" s="85"/>
      <c r="G15" s="120"/>
      <c r="H15" s="85"/>
      <c r="I15" s="120"/>
      <c r="J15" s="120"/>
      <c r="K15" s="120"/>
      <c r="L15" s="120"/>
      <c r="M15" s="151"/>
      <c r="N15" s="214"/>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row>
    <row r="16" spans="1:1015 1026:2042 2053:3069 3080:4096 4107:5110 5121:6137 6148:7164 7175:8191 8202:10232 10243:11259 11270:12286 12297:14327 14338:15354 15365:16381" s="142" customFormat="1" ht="15.6" x14ac:dyDescent="0.3">
      <c r="A16" s="129"/>
      <c r="B16" s="215"/>
      <c r="C16" s="134"/>
      <c r="D16" s="129"/>
      <c r="E16" s="85"/>
      <c r="F16" s="85"/>
      <c r="G16" s="120"/>
      <c r="H16" s="85"/>
      <c r="I16" s="120"/>
      <c r="J16" s="120"/>
      <c r="K16" s="120"/>
      <c r="L16" s="120"/>
      <c r="M16" s="151"/>
      <c r="N16" s="214"/>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row>
    <row r="17" spans="1:60" s="142" customFormat="1" ht="15" x14ac:dyDescent="0.25">
      <c r="A17" s="129"/>
      <c r="B17" s="215"/>
      <c r="C17" s="3"/>
      <c r="D17" s="3"/>
      <c r="E17" s="3"/>
      <c r="F17" s="3"/>
      <c r="G17" s="3"/>
      <c r="H17" s="3"/>
      <c r="I17" s="3"/>
      <c r="J17" s="3"/>
      <c r="K17" s="3"/>
      <c r="L17" s="3"/>
      <c r="M17" s="3"/>
      <c r="N17" s="214"/>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row>
    <row r="18" spans="1:60" s="91" customFormat="1" ht="36" x14ac:dyDescent="0.25">
      <c r="A18" s="129"/>
      <c r="B18" s="238"/>
      <c r="C18" s="105" t="s">
        <v>705</v>
      </c>
      <c r="D18" s="105" t="s">
        <v>706</v>
      </c>
      <c r="E18" s="1215" t="s">
        <v>707</v>
      </c>
      <c r="F18" s="1215" t="s">
        <v>748</v>
      </c>
      <c r="G18" s="1215" t="s">
        <v>709</v>
      </c>
      <c r="H18" s="1215" t="s">
        <v>749</v>
      </c>
      <c r="I18" s="1215" t="s">
        <v>711</v>
      </c>
      <c r="J18" s="1215" t="s">
        <v>712</v>
      </c>
      <c r="K18" s="105" t="s">
        <v>750</v>
      </c>
      <c r="L18" s="106" t="s">
        <v>751</v>
      </c>
      <c r="M18" s="1216" t="s">
        <v>752</v>
      </c>
      <c r="N18" s="239"/>
      <c r="O18" s="90"/>
      <c r="P18" s="90"/>
      <c r="Q18" s="90"/>
      <c r="R18" s="90"/>
      <c r="S18" s="90"/>
      <c r="T18" s="90"/>
      <c r="U18" s="90"/>
      <c r="V18" s="90"/>
      <c r="W18" s="90"/>
      <c r="X18" s="735"/>
      <c r="Y18" s="129"/>
      <c r="Z18" s="90"/>
      <c r="AA18" s="90"/>
      <c r="AB18" s="90"/>
      <c r="AC18" s="90"/>
      <c r="AD18" s="90"/>
      <c r="AE18" s="129"/>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row>
    <row r="19" spans="1:60" ht="15" x14ac:dyDescent="0.25">
      <c r="A19" s="129"/>
      <c r="B19" s="212"/>
      <c r="C19" s="1217" t="s">
        <v>716</v>
      </c>
      <c r="D19" s="1229" t="str">
        <f>IF('WK2 - Notional General Income'!D19="","",'WK2 - Notional General Income'!D19)</f>
        <v>Residential</v>
      </c>
      <c r="E19" s="1219">
        <v>52016</v>
      </c>
      <c r="F19" s="1259">
        <v>0.114147</v>
      </c>
      <c r="G19" s="1218">
        <v>646</v>
      </c>
      <c r="H19" s="1221">
        <f>IF(G19="",".",E19*G19/M19)</f>
        <v>0.49159832288759392</v>
      </c>
      <c r="I19" s="1218"/>
      <c r="J19" s="1219"/>
      <c r="K19" s="1219">
        <v>30443988568</v>
      </c>
      <c r="L19" s="1219"/>
      <c r="M19" s="1222">
        <f t="shared" ref="M19:M38" si="0">IF(E19="",".",IF(G19&lt;&gt;"",G19*E19+K19*(F19/100),(K19-L19)*(F19/100)+I19*J19))</f>
        <v>68353235.630714953</v>
      </c>
      <c r="N19" s="214"/>
      <c r="O19" s="3"/>
      <c r="P19" s="3"/>
      <c r="Q19" s="3"/>
      <c r="R19" s="3"/>
      <c r="S19" s="3"/>
      <c r="T19" s="3"/>
      <c r="U19" s="3"/>
      <c r="V19" s="3"/>
      <c r="W19" s="3"/>
      <c r="X19" s="90"/>
      <c r="Y19" s="129"/>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row>
    <row r="20" spans="1:60" ht="15" x14ac:dyDescent="0.25">
      <c r="A20" s="129"/>
      <c r="B20" s="212"/>
      <c r="C20" s="584" t="s">
        <v>716</v>
      </c>
      <c r="D20" s="1000" t="str">
        <f>IF('WK2 - Notional General Income'!D20="","",'WK2 - Notional General Income'!D20)</f>
        <v/>
      </c>
      <c r="E20" s="586"/>
      <c r="F20" s="587"/>
      <c r="G20" s="585"/>
      <c r="H20" s="588" t="str">
        <f t="shared" ref="H20:H64" si="1">IF(G20="",".",E20*G20/M20)</f>
        <v>.</v>
      </c>
      <c r="I20" s="585"/>
      <c r="J20" s="586"/>
      <c r="K20" s="586"/>
      <c r="L20" s="586"/>
      <c r="M20" s="589" t="str">
        <f t="shared" si="0"/>
        <v>.</v>
      </c>
      <c r="N20" s="214"/>
      <c r="O20" s="3"/>
      <c r="P20" s="3"/>
      <c r="Q20" s="3"/>
      <c r="R20" s="3"/>
      <c r="S20" s="3"/>
      <c r="T20" s="3"/>
      <c r="U20" s="3"/>
      <c r="V20" s="3"/>
      <c r="W20" s="3"/>
      <c r="X20" s="90"/>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row>
    <row r="21" spans="1:60" ht="15" x14ac:dyDescent="0.25">
      <c r="A21" s="129"/>
      <c r="B21" s="212"/>
      <c r="C21" s="584" t="s">
        <v>716</v>
      </c>
      <c r="D21" s="1000" t="str">
        <f>IF('WK2 - Notional General Income'!D21="","",'WK2 - Notional General Income'!D21)</f>
        <v/>
      </c>
      <c r="E21" s="586"/>
      <c r="F21" s="587"/>
      <c r="G21" s="585"/>
      <c r="H21" s="588" t="str">
        <f t="shared" si="1"/>
        <v>.</v>
      </c>
      <c r="I21" s="585"/>
      <c r="J21" s="586"/>
      <c r="K21" s="586"/>
      <c r="L21" s="586"/>
      <c r="M21" s="589" t="str">
        <f t="shared" si="0"/>
        <v>.</v>
      </c>
      <c r="N21" s="214"/>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row>
    <row r="22" spans="1:60" ht="15" x14ac:dyDescent="0.25">
      <c r="A22" s="129"/>
      <c r="B22" s="212"/>
      <c r="C22" s="584" t="s">
        <v>716</v>
      </c>
      <c r="D22" s="1000" t="str">
        <f>IF('WK2 - Notional General Income'!D22="","",'WK2 - Notional General Income'!D22)</f>
        <v/>
      </c>
      <c r="E22" s="586"/>
      <c r="F22" s="587"/>
      <c r="G22" s="585"/>
      <c r="H22" s="588" t="str">
        <f t="shared" si="1"/>
        <v>.</v>
      </c>
      <c r="I22" s="585"/>
      <c r="J22" s="586"/>
      <c r="K22" s="586"/>
      <c r="L22" s="586"/>
      <c r="M22" s="589" t="str">
        <f t="shared" si="0"/>
        <v>.</v>
      </c>
      <c r="N22" s="214"/>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row>
    <row r="23" spans="1:60" ht="15" x14ac:dyDescent="0.25">
      <c r="A23" s="129"/>
      <c r="B23" s="212"/>
      <c r="C23" s="584" t="s">
        <v>716</v>
      </c>
      <c r="D23" s="1000" t="str">
        <f>IF('WK2 - Notional General Income'!D23="","",'WK2 - Notional General Income'!D23)</f>
        <v/>
      </c>
      <c r="E23" s="586"/>
      <c r="F23" s="587"/>
      <c r="G23" s="585"/>
      <c r="H23" s="588" t="str">
        <f t="shared" si="1"/>
        <v>.</v>
      </c>
      <c r="I23" s="585"/>
      <c r="J23" s="586"/>
      <c r="K23" s="586"/>
      <c r="L23" s="586"/>
      <c r="M23" s="589" t="str">
        <f t="shared" si="0"/>
        <v>.</v>
      </c>
      <c r="N23" s="214"/>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row>
    <row r="24" spans="1:60" ht="15" x14ac:dyDescent="0.25">
      <c r="A24" s="129"/>
      <c r="B24" s="212"/>
      <c r="C24" s="584" t="s">
        <v>716</v>
      </c>
      <c r="D24" s="1000" t="str">
        <f>IF('WK2 - Notional General Income'!D24="","",'WK2 - Notional General Income'!D24)</f>
        <v/>
      </c>
      <c r="E24" s="586"/>
      <c r="F24" s="590"/>
      <c r="G24" s="590"/>
      <c r="H24" s="588" t="str">
        <f t="shared" si="1"/>
        <v>.</v>
      </c>
      <c r="I24" s="585"/>
      <c r="J24" s="586"/>
      <c r="K24" s="586"/>
      <c r="L24" s="586"/>
      <c r="M24" s="589" t="str">
        <f t="shared" si="0"/>
        <v>.</v>
      </c>
      <c r="N24" s="214"/>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row>
    <row r="25" spans="1:60" ht="15" x14ac:dyDescent="0.25">
      <c r="A25" s="129"/>
      <c r="B25" s="212"/>
      <c r="C25" s="584" t="s">
        <v>716</v>
      </c>
      <c r="D25" s="1000" t="str">
        <f>IF('WK2 - Notional General Income'!D25="","",'WK2 - Notional General Income'!D25)</f>
        <v/>
      </c>
      <c r="E25" s="586"/>
      <c r="F25" s="590"/>
      <c r="G25" s="590"/>
      <c r="H25" s="588" t="str">
        <f t="shared" si="1"/>
        <v>.</v>
      </c>
      <c r="I25" s="585"/>
      <c r="J25" s="586"/>
      <c r="K25" s="586"/>
      <c r="L25" s="586"/>
      <c r="M25" s="589" t="str">
        <f t="shared" si="0"/>
        <v>.</v>
      </c>
      <c r="N25" s="214"/>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row>
    <row r="26" spans="1:60" ht="15" x14ac:dyDescent="0.25">
      <c r="A26" s="129"/>
      <c r="B26" s="212"/>
      <c r="C26" s="584" t="s">
        <v>716</v>
      </c>
      <c r="D26" s="1000" t="str">
        <f>IF('WK2 - Notional General Income'!D26="","",'WK2 - Notional General Income'!D26)</f>
        <v/>
      </c>
      <c r="E26" s="586"/>
      <c r="F26" s="587"/>
      <c r="G26" s="585"/>
      <c r="H26" s="588" t="str">
        <f t="shared" si="1"/>
        <v>.</v>
      </c>
      <c r="I26" s="585"/>
      <c r="J26" s="586"/>
      <c r="K26" s="586"/>
      <c r="L26" s="586"/>
      <c r="M26" s="589" t="str">
        <f t="shared" si="0"/>
        <v>.</v>
      </c>
      <c r="N26" s="214"/>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1:60" ht="15" x14ac:dyDescent="0.25">
      <c r="A27" s="129"/>
      <c r="B27" s="212"/>
      <c r="C27" s="584" t="s">
        <v>716</v>
      </c>
      <c r="D27" s="1000" t="str">
        <f>IF('WK2 - Notional General Income'!D27="","",'WK2 - Notional General Income'!D27)</f>
        <v/>
      </c>
      <c r="E27" s="586"/>
      <c r="F27" s="587"/>
      <c r="G27" s="585"/>
      <c r="H27" s="588" t="str">
        <f t="shared" si="1"/>
        <v>.</v>
      </c>
      <c r="I27" s="585"/>
      <c r="J27" s="586"/>
      <c r="K27" s="586"/>
      <c r="L27" s="586"/>
      <c r="M27" s="589" t="str">
        <f t="shared" si="0"/>
        <v>.</v>
      </c>
      <c r="N27" s="21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1:60" ht="15" x14ac:dyDescent="0.25">
      <c r="A28" s="129"/>
      <c r="B28" s="212"/>
      <c r="C28" s="584" t="s">
        <v>716</v>
      </c>
      <c r="D28" s="1000" t="str">
        <f>IF('WK2 - Notional General Income'!D28="","",'WK2 - Notional General Income'!D28)</f>
        <v/>
      </c>
      <c r="E28" s="586"/>
      <c r="F28" s="587"/>
      <c r="G28" s="585"/>
      <c r="H28" s="588" t="str">
        <f t="shared" si="1"/>
        <v>.</v>
      </c>
      <c r="I28" s="585"/>
      <c r="J28" s="586"/>
      <c r="K28" s="586"/>
      <c r="L28" s="586"/>
      <c r="M28" s="589" t="str">
        <f t="shared" si="0"/>
        <v>.</v>
      </c>
      <c r="N28" s="214"/>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1:60" ht="15" x14ac:dyDescent="0.25">
      <c r="A29" s="129"/>
      <c r="B29" s="212"/>
      <c r="C29" s="584" t="s">
        <v>716</v>
      </c>
      <c r="D29" s="1000" t="str">
        <f>IF('WK2 - Notional General Income'!D29="","",'WK2 - Notional General Income'!D29)</f>
        <v/>
      </c>
      <c r="E29" s="586"/>
      <c r="F29" s="587"/>
      <c r="G29" s="585"/>
      <c r="H29" s="588" t="str">
        <f t="shared" si="1"/>
        <v>.</v>
      </c>
      <c r="I29" s="585"/>
      <c r="J29" s="586"/>
      <c r="K29" s="586"/>
      <c r="L29" s="586"/>
      <c r="M29" s="589" t="str">
        <f t="shared" si="0"/>
        <v>.</v>
      </c>
      <c r="N29" s="214"/>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1:60" ht="15" x14ac:dyDescent="0.25">
      <c r="A30" s="129"/>
      <c r="B30" s="212"/>
      <c r="C30" s="584" t="s">
        <v>716</v>
      </c>
      <c r="D30" s="1000" t="str">
        <f>IF('WK2 - Notional General Income'!D30="","",'WK2 - Notional General Income'!D30)</f>
        <v/>
      </c>
      <c r="E30" s="586"/>
      <c r="F30" s="587"/>
      <c r="G30" s="585"/>
      <c r="H30" s="588" t="str">
        <f t="shared" si="1"/>
        <v>.</v>
      </c>
      <c r="I30" s="585"/>
      <c r="J30" s="586"/>
      <c r="K30" s="586"/>
      <c r="L30" s="586"/>
      <c r="M30" s="589" t="str">
        <f t="shared" si="0"/>
        <v>.</v>
      </c>
      <c r="N30" s="214"/>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1:60" ht="15" x14ac:dyDescent="0.25">
      <c r="A31" s="129"/>
      <c r="B31" s="212"/>
      <c r="C31" s="584" t="s">
        <v>716</v>
      </c>
      <c r="D31" s="1000" t="str">
        <f>IF('WK2 - Notional General Income'!D31="","",'WK2 - Notional General Income'!D31)</f>
        <v/>
      </c>
      <c r="E31" s="586"/>
      <c r="F31" s="587"/>
      <c r="G31" s="585"/>
      <c r="H31" s="588" t="str">
        <f t="shared" si="1"/>
        <v>.</v>
      </c>
      <c r="I31" s="585"/>
      <c r="J31" s="586"/>
      <c r="K31" s="586"/>
      <c r="L31" s="586"/>
      <c r="M31" s="589" t="str">
        <f t="shared" si="0"/>
        <v>.</v>
      </c>
      <c r="N31" s="214"/>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1:60" ht="15" x14ac:dyDescent="0.25">
      <c r="A32" s="129"/>
      <c r="B32" s="212"/>
      <c r="C32" s="584" t="s">
        <v>716</v>
      </c>
      <c r="D32" s="1000" t="str">
        <f>IF('WK2 - Notional General Income'!D32="","",'WK2 - Notional General Income'!D32)</f>
        <v/>
      </c>
      <c r="E32" s="586"/>
      <c r="F32" s="587"/>
      <c r="G32" s="585"/>
      <c r="H32" s="588" t="str">
        <f t="shared" si="1"/>
        <v>.</v>
      </c>
      <c r="I32" s="585"/>
      <c r="J32" s="586"/>
      <c r="K32" s="586"/>
      <c r="L32" s="586"/>
      <c r="M32" s="589" t="str">
        <f t="shared" si="0"/>
        <v>.</v>
      </c>
      <c r="N32" s="214"/>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1:60" ht="15" x14ac:dyDescent="0.25">
      <c r="A33" s="129"/>
      <c r="B33" s="212"/>
      <c r="C33" s="584" t="s">
        <v>716</v>
      </c>
      <c r="D33" s="1000" t="str">
        <f>IF('WK2 - Notional General Income'!D33="","",'WK2 - Notional General Income'!D33)</f>
        <v/>
      </c>
      <c r="E33" s="586"/>
      <c r="F33" s="587"/>
      <c r="G33" s="585"/>
      <c r="H33" s="588" t="str">
        <f t="shared" si="1"/>
        <v>.</v>
      </c>
      <c r="I33" s="585"/>
      <c r="J33" s="586"/>
      <c r="K33" s="586"/>
      <c r="L33" s="586"/>
      <c r="M33" s="589" t="str">
        <f t="shared" si="0"/>
        <v>.</v>
      </c>
      <c r="N33" s="214"/>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1:60" ht="15" x14ac:dyDescent="0.25">
      <c r="A34" s="129"/>
      <c r="B34" s="212"/>
      <c r="C34" s="584" t="s">
        <v>716</v>
      </c>
      <c r="D34" s="1000" t="str">
        <f>IF('WK2 - Notional General Income'!D34="","",'WK2 - Notional General Income'!D34)</f>
        <v/>
      </c>
      <c r="E34" s="586"/>
      <c r="F34" s="587"/>
      <c r="G34" s="585"/>
      <c r="H34" s="588" t="str">
        <f t="shared" si="1"/>
        <v>.</v>
      </c>
      <c r="I34" s="585"/>
      <c r="J34" s="586"/>
      <c r="K34" s="586"/>
      <c r="L34" s="586"/>
      <c r="M34" s="589" t="str">
        <f t="shared" si="0"/>
        <v>.</v>
      </c>
      <c r="N34" s="214"/>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1:60" ht="15" x14ac:dyDescent="0.25">
      <c r="A35" s="129"/>
      <c r="B35" s="212"/>
      <c r="C35" s="584" t="s">
        <v>716</v>
      </c>
      <c r="D35" s="1000" t="str">
        <f>IF('WK2 - Notional General Income'!D35="","",'WK2 - Notional General Income'!D35)</f>
        <v/>
      </c>
      <c r="E35" s="586"/>
      <c r="F35" s="587"/>
      <c r="G35" s="585"/>
      <c r="H35" s="588" t="str">
        <f t="shared" si="1"/>
        <v>.</v>
      </c>
      <c r="I35" s="585"/>
      <c r="J35" s="586"/>
      <c r="K35" s="586"/>
      <c r="L35" s="586"/>
      <c r="M35" s="589" t="str">
        <f t="shared" si="0"/>
        <v>.</v>
      </c>
      <c r="N35" s="214"/>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1:60" ht="15" x14ac:dyDescent="0.25">
      <c r="A36" s="129"/>
      <c r="B36" s="212"/>
      <c r="C36" s="584" t="s">
        <v>716</v>
      </c>
      <c r="D36" s="1000" t="str">
        <f>IF('WK2 - Notional General Income'!D36="","",'WK2 - Notional General Income'!D36)</f>
        <v/>
      </c>
      <c r="E36" s="586"/>
      <c r="F36" s="587"/>
      <c r="G36" s="585"/>
      <c r="H36" s="588" t="str">
        <f t="shared" si="1"/>
        <v>.</v>
      </c>
      <c r="I36" s="585"/>
      <c r="J36" s="586"/>
      <c r="K36" s="586"/>
      <c r="L36" s="586"/>
      <c r="M36" s="589" t="str">
        <f t="shared" si="0"/>
        <v>.</v>
      </c>
      <c r="N36" s="214"/>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row r="37" spans="1:60" ht="15" x14ac:dyDescent="0.25">
      <c r="A37" s="129"/>
      <c r="B37" s="212"/>
      <c r="C37" s="584" t="s">
        <v>716</v>
      </c>
      <c r="D37" s="1000" t="str">
        <f>IF('WK2 - Notional General Income'!D37="","",'WK2 - Notional General Income'!D37)</f>
        <v/>
      </c>
      <c r="E37" s="586"/>
      <c r="F37" s="587"/>
      <c r="G37" s="585"/>
      <c r="H37" s="588" t="str">
        <f t="shared" si="1"/>
        <v>.</v>
      </c>
      <c r="I37" s="585"/>
      <c r="J37" s="586"/>
      <c r="K37" s="586"/>
      <c r="L37" s="586"/>
      <c r="M37" s="589" t="str">
        <f t="shared" si="0"/>
        <v>.</v>
      </c>
      <c r="N37" s="214"/>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row>
    <row r="38" spans="1:60" ht="15" x14ac:dyDescent="0.25">
      <c r="A38" s="129"/>
      <c r="B38" s="212"/>
      <c r="C38" s="584" t="s">
        <v>716</v>
      </c>
      <c r="D38" s="1000" t="str">
        <f>IF('WK2 - Notional General Income'!D38="","",'WK2 - Notional General Income'!D38)</f>
        <v/>
      </c>
      <c r="E38" s="586"/>
      <c r="F38" s="587"/>
      <c r="G38" s="585"/>
      <c r="H38" s="588" t="str">
        <f t="shared" si="1"/>
        <v>.</v>
      </c>
      <c r="I38" s="585"/>
      <c r="J38" s="586"/>
      <c r="K38" s="586"/>
      <c r="L38" s="586"/>
      <c r="M38" s="589" t="str">
        <f t="shared" si="0"/>
        <v>.</v>
      </c>
      <c r="N38" s="214"/>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row>
    <row r="39" spans="1:60" s="26" customFormat="1" ht="15" x14ac:dyDescent="0.25">
      <c r="A39" s="129"/>
      <c r="B39" s="221"/>
      <c r="C39" s="591"/>
      <c r="D39" s="107" t="s">
        <v>717</v>
      </c>
      <c r="E39" s="110">
        <f>SUM(E19:E38)</f>
        <v>52016</v>
      </c>
      <c r="F39" s="108"/>
      <c r="G39" s="109"/>
      <c r="H39" s="447"/>
      <c r="I39" s="109"/>
      <c r="J39" s="110">
        <f>SUM(J19:J38)</f>
        <v>0</v>
      </c>
      <c r="K39" s="110">
        <f>SUM(K19:K38)</f>
        <v>30443988568</v>
      </c>
      <c r="L39" s="110">
        <f>SUM(L19:L38)</f>
        <v>0</v>
      </c>
      <c r="M39" s="452">
        <f>SUM(M19:M38)</f>
        <v>68353235.630714953</v>
      </c>
      <c r="N39" s="229"/>
      <c r="O39" s="2"/>
      <c r="P39" s="2"/>
      <c r="Q39" s="2"/>
      <c r="R39" s="2"/>
      <c r="S39" s="2"/>
      <c r="T39" s="2"/>
      <c r="U39" s="2"/>
      <c r="V39" s="2"/>
      <c r="W39" s="2"/>
      <c r="X39" s="3"/>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row>
    <row r="40" spans="1:60" ht="15" x14ac:dyDescent="0.25">
      <c r="A40" s="129"/>
      <c r="B40" s="212"/>
      <c r="C40" s="584" t="s">
        <v>718</v>
      </c>
      <c r="D40" s="1000" t="str">
        <f>IF('WK2 - Notional General Income'!D40="","",'WK2 - Notional General Income'!D40)</f>
        <v>Business</v>
      </c>
      <c r="E40" s="586">
        <v>2126</v>
      </c>
      <c r="F40" s="1260">
        <v>0.39154</v>
      </c>
      <c r="G40" s="585"/>
      <c r="H40" s="588" t="str">
        <f t="shared" si="1"/>
        <v>.</v>
      </c>
      <c r="I40" s="585">
        <v>678</v>
      </c>
      <c r="J40" s="586">
        <v>1030</v>
      </c>
      <c r="K40" s="586">
        <v>1258619136</v>
      </c>
      <c r="L40" s="1261">
        <v>84997589</v>
      </c>
      <c r="M40" s="589">
        <f t="shared" ref="M40:M64" si="2">IF(E40="",".",IF(G40&lt;&gt;"",G40*E40+K40*(F40/100),(K40-L40)*(F40/100)+I40*J40))</f>
        <v>5293537.8051238004</v>
      </c>
      <c r="N40" s="214"/>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row>
    <row r="41" spans="1:60" ht="15" x14ac:dyDescent="0.25">
      <c r="A41" s="129"/>
      <c r="B41" s="212"/>
      <c r="C41" s="584" t="s">
        <v>718</v>
      </c>
      <c r="D41" s="1000" t="str">
        <f>IF('WK2 - Notional General Income'!D41="","",'WK2 - Notional General Income'!D41)</f>
        <v>Hornsby CBD</v>
      </c>
      <c r="E41" s="586">
        <v>507</v>
      </c>
      <c r="F41" s="1260">
        <v>0.528999</v>
      </c>
      <c r="G41" s="585"/>
      <c r="H41" s="588" t="str">
        <f t="shared" si="1"/>
        <v>.</v>
      </c>
      <c r="I41" s="585">
        <v>678</v>
      </c>
      <c r="J41" s="586">
        <v>106</v>
      </c>
      <c r="K41" s="586">
        <v>505706687</v>
      </c>
      <c r="L41" s="1261">
        <v>9321213</v>
      </c>
      <c r="M41" s="589">
        <f t="shared" si="2"/>
        <v>2697742.19360526</v>
      </c>
      <c r="N41" s="214"/>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row>
    <row r="42" spans="1:60" ht="15" x14ac:dyDescent="0.25">
      <c r="A42" s="129"/>
      <c r="B42" s="212"/>
      <c r="C42" s="584" t="s">
        <v>718</v>
      </c>
      <c r="D42" s="1000" t="str">
        <f>IF('WK2 - Notional General Income'!D42="","",'WK2 - Notional General Income'!D42)</f>
        <v>Shopping Centre</v>
      </c>
      <c r="E42" s="586">
        <v>5</v>
      </c>
      <c r="F42" s="1260">
        <v>1.584406</v>
      </c>
      <c r="G42" s="585"/>
      <c r="H42" s="588" t="str">
        <f t="shared" si="1"/>
        <v>.</v>
      </c>
      <c r="I42" s="585"/>
      <c r="J42" s="586"/>
      <c r="K42" s="586">
        <v>87609000</v>
      </c>
      <c r="L42" s="586"/>
      <c r="M42" s="589">
        <f t="shared" si="2"/>
        <v>1388082.25254</v>
      </c>
      <c r="N42" s="214"/>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row>
    <row r="43" spans="1:60" ht="15" x14ac:dyDescent="0.25">
      <c r="A43" s="129"/>
      <c r="B43" s="212"/>
      <c r="C43" s="584" t="s">
        <v>718</v>
      </c>
      <c r="D43" s="1000" t="str">
        <f>IF('WK2 - Notional General Income'!D43="","",'WK2 - Notional General Income'!D43)</f>
        <v/>
      </c>
      <c r="E43" s="586"/>
      <c r="F43" s="587"/>
      <c r="G43" s="585"/>
      <c r="H43" s="588" t="str">
        <f t="shared" si="1"/>
        <v>.</v>
      </c>
      <c r="I43" s="585"/>
      <c r="J43" s="586"/>
      <c r="K43" s="586"/>
      <c r="L43" s="586"/>
      <c r="M43" s="589" t="str">
        <f t="shared" si="2"/>
        <v>.</v>
      </c>
      <c r="N43" s="214"/>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row>
    <row r="44" spans="1:60" ht="15" x14ac:dyDescent="0.25">
      <c r="A44" s="129"/>
      <c r="B44" s="212"/>
      <c r="C44" s="584" t="s">
        <v>718</v>
      </c>
      <c r="D44" s="1000" t="str">
        <f>IF('WK2 - Notional General Income'!D44="","",'WK2 - Notional General Income'!D44)</f>
        <v/>
      </c>
      <c r="E44" s="586"/>
      <c r="F44" s="587"/>
      <c r="G44" s="585"/>
      <c r="H44" s="588" t="str">
        <f t="shared" si="1"/>
        <v>.</v>
      </c>
      <c r="I44" s="585"/>
      <c r="J44" s="586"/>
      <c r="K44" s="586"/>
      <c r="L44" s="586"/>
      <c r="M44" s="589" t="str">
        <f t="shared" si="2"/>
        <v>.</v>
      </c>
      <c r="N44" s="214"/>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row>
    <row r="45" spans="1:60" ht="15" x14ac:dyDescent="0.25">
      <c r="A45" s="129"/>
      <c r="B45" s="212"/>
      <c r="C45" s="584" t="s">
        <v>718</v>
      </c>
      <c r="D45" s="1000" t="str">
        <f>IF('WK2 - Notional General Income'!D45="","",'WK2 - Notional General Income'!D45)</f>
        <v/>
      </c>
      <c r="E45" s="586"/>
      <c r="F45" s="587"/>
      <c r="G45" s="585"/>
      <c r="H45" s="588" t="str">
        <f t="shared" si="1"/>
        <v>.</v>
      </c>
      <c r="I45" s="585"/>
      <c r="J45" s="586"/>
      <c r="K45" s="586"/>
      <c r="L45" s="586"/>
      <c r="M45" s="589" t="str">
        <f t="shared" si="2"/>
        <v>.</v>
      </c>
      <c r="N45" s="214"/>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row>
    <row r="46" spans="1:60" ht="15" x14ac:dyDescent="0.25">
      <c r="A46" s="129"/>
      <c r="B46" s="212"/>
      <c r="C46" s="584" t="s">
        <v>718</v>
      </c>
      <c r="D46" s="1000" t="str">
        <f>IF('WK2 - Notional General Income'!D46="","",'WK2 - Notional General Income'!D46)</f>
        <v/>
      </c>
      <c r="E46" s="586"/>
      <c r="F46" s="587"/>
      <c r="G46" s="585"/>
      <c r="H46" s="588" t="str">
        <f t="shared" si="1"/>
        <v>.</v>
      </c>
      <c r="I46" s="585"/>
      <c r="J46" s="586"/>
      <c r="K46" s="586"/>
      <c r="L46" s="586"/>
      <c r="M46" s="589" t="str">
        <f t="shared" si="2"/>
        <v>.</v>
      </c>
      <c r="N46" s="214"/>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row>
    <row r="47" spans="1:60" ht="15" x14ac:dyDescent="0.25">
      <c r="A47" s="129"/>
      <c r="B47" s="212"/>
      <c r="C47" s="584" t="s">
        <v>718</v>
      </c>
      <c r="D47" s="1000" t="str">
        <f>IF('WK2 - Notional General Income'!D47="","",'WK2 - Notional General Income'!D47)</f>
        <v/>
      </c>
      <c r="E47" s="586"/>
      <c r="F47" s="587"/>
      <c r="G47" s="585"/>
      <c r="H47" s="588" t="str">
        <f t="shared" si="1"/>
        <v>.</v>
      </c>
      <c r="I47" s="585"/>
      <c r="J47" s="586"/>
      <c r="K47" s="586"/>
      <c r="L47" s="586"/>
      <c r="M47" s="589" t="str">
        <f t="shared" si="2"/>
        <v>.</v>
      </c>
      <c r="N47" s="214"/>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row>
    <row r="48" spans="1:60" ht="15" x14ac:dyDescent="0.25">
      <c r="A48" s="129"/>
      <c r="B48" s="212"/>
      <c r="C48" s="584" t="s">
        <v>718</v>
      </c>
      <c r="D48" s="1000" t="str">
        <f>IF('WK2 - Notional General Income'!D48="","",'WK2 - Notional General Income'!D48)</f>
        <v/>
      </c>
      <c r="E48" s="586"/>
      <c r="F48" s="587"/>
      <c r="G48" s="585"/>
      <c r="H48" s="588" t="str">
        <f t="shared" si="1"/>
        <v>.</v>
      </c>
      <c r="I48" s="585"/>
      <c r="J48" s="586"/>
      <c r="K48" s="586"/>
      <c r="L48" s="586"/>
      <c r="M48" s="589" t="str">
        <f t="shared" si="2"/>
        <v>.</v>
      </c>
      <c r="N48" s="214"/>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row>
    <row r="49" spans="1:60" ht="15" x14ac:dyDescent="0.25">
      <c r="A49" s="129"/>
      <c r="B49" s="212"/>
      <c r="C49" s="584" t="s">
        <v>718</v>
      </c>
      <c r="D49" s="1000" t="str">
        <f>IF('WK2 - Notional General Income'!D49="","",'WK2 - Notional General Income'!D49)</f>
        <v/>
      </c>
      <c r="E49" s="586"/>
      <c r="F49" s="587"/>
      <c r="G49" s="585"/>
      <c r="H49" s="588" t="str">
        <f t="shared" si="1"/>
        <v>.</v>
      </c>
      <c r="I49" s="585"/>
      <c r="J49" s="586"/>
      <c r="K49" s="586"/>
      <c r="L49" s="586"/>
      <c r="M49" s="589" t="str">
        <f t="shared" si="2"/>
        <v>.</v>
      </c>
      <c r="N49" s="214"/>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row>
    <row r="50" spans="1:60" ht="15" x14ac:dyDescent="0.25">
      <c r="A50" s="129"/>
      <c r="B50" s="212"/>
      <c r="C50" s="584" t="s">
        <v>718</v>
      </c>
      <c r="D50" s="1000" t="str">
        <f>IF('WK2 - Notional General Income'!D50="","",'WK2 - Notional General Income'!D50)</f>
        <v/>
      </c>
      <c r="E50" s="586"/>
      <c r="F50" s="587"/>
      <c r="G50" s="585"/>
      <c r="H50" s="588" t="str">
        <f t="shared" si="1"/>
        <v>.</v>
      </c>
      <c r="I50" s="585"/>
      <c r="J50" s="586"/>
      <c r="K50" s="586"/>
      <c r="L50" s="586"/>
      <c r="M50" s="589" t="str">
        <f t="shared" si="2"/>
        <v>.</v>
      </c>
      <c r="N50" s="214"/>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row>
    <row r="51" spans="1:60" ht="15" x14ac:dyDescent="0.25">
      <c r="A51" s="129"/>
      <c r="B51" s="212"/>
      <c r="C51" s="584" t="s">
        <v>718</v>
      </c>
      <c r="D51" s="1000" t="str">
        <f>IF('WK2 - Notional General Income'!D51="","",'WK2 - Notional General Income'!D51)</f>
        <v/>
      </c>
      <c r="E51" s="586"/>
      <c r="F51" s="587"/>
      <c r="G51" s="585"/>
      <c r="H51" s="588" t="str">
        <f t="shared" si="1"/>
        <v>.</v>
      </c>
      <c r="I51" s="585"/>
      <c r="J51" s="586"/>
      <c r="K51" s="586"/>
      <c r="L51" s="586"/>
      <c r="M51" s="589" t="str">
        <f t="shared" si="2"/>
        <v>.</v>
      </c>
      <c r="N51" s="214"/>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row>
    <row r="52" spans="1:60" ht="15" x14ac:dyDescent="0.25">
      <c r="A52" s="129"/>
      <c r="B52" s="212"/>
      <c r="C52" s="584" t="s">
        <v>718</v>
      </c>
      <c r="D52" s="1000" t="str">
        <f>IF('WK2 - Notional General Income'!D52="","",'WK2 - Notional General Income'!D52)</f>
        <v/>
      </c>
      <c r="E52" s="586"/>
      <c r="F52" s="587"/>
      <c r="G52" s="585"/>
      <c r="H52" s="588" t="str">
        <f t="shared" si="1"/>
        <v>.</v>
      </c>
      <c r="I52" s="585"/>
      <c r="J52" s="586"/>
      <c r="K52" s="586"/>
      <c r="L52" s="586"/>
      <c r="M52" s="589" t="str">
        <f t="shared" si="2"/>
        <v>.</v>
      </c>
      <c r="N52" s="214"/>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row>
    <row r="53" spans="1:60" ht="15" x14ac:dyDescent="0.25">
      <c r="A53" s="129"/>
      <c r="B53" s="212"/>
      <c r="C53" s="584" t="s">
        <v>718</v>
      </c>
      <c r="D53" s="1000" t="str">
        <f>IF('WK2 - Notional General Income'!D53="","",'WK2 - Notional General Income'!D53)</f>
        <v/>
      </c>
      <c r="E53" s="586"/>
      <c r="F53" s="587"/>
      <c r="G53" s="585"/>
      <c r="H53" s="588" t="str">
        <f t="shared" si="1"/>
        <v>.</v>
      </c>
      <c r="I53" s="585"/>
      <c r="J53" s="586"/>
      <c r="K53" s="586"/>
      <c r="L53" s="586"/>
      <c r="M53" s="589" t="str">
        <f t="shared" si="2"/>
        <v>.</v>
      </c>
      <c r="N53" s="214"/>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row>
    <row r="54" spans="1:60" ht="15" x14ac:dyDescent="0.25">
      <c r="A54" s="129"/>
      <c r="B54" s="212"/>
      <c r="C54" s="584" t="s">
        <v>718</v>
      </c>
      <c r="D54" s="1000" t="str">
        <f>IF('WK2 - Notional General Income'!D54="","",'WK2 - Notional General Income'!D54)</f>
        <v/>
      </c>
      <c r="E54" s="586"/>
      <c r="F54" s="587"/>
      <c r="G54" s="585"/>
      <c r="H54" s="588" t="str">
        <f t="shared" si="1"/>
        <v>.</v>
      </c>
      <c r="I54" s="585"/>
      <c r="J54" s="586"/>
      <c r="K54" s="586"/>
      <c r="L54" s="586"/>
      <c r="M54" s="589" t="str">
        <f t="shared" si="2"/>
        <v>.</v>
      </c>
      <c r="N54" s="214"/>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row>
    <row r="55" spans="1:60" ht="15" x14ac:dyDescent="0.25">
      <c r="A55" s="129"/>
      <c r="B55" s="212"/>
      <c r="C55" s="584" t="s">
        <v>718</v>
      </c>
      <c r="D55" s="1000" t="str">
        <f>IF('WK2 - Notional General Income'!D55="","",'WK2 - Notional General Income'!D55)</f>
        <v/>
      </c>
      <c r="E55" s="586"/>
      <c r="F55" s="587"/>
      <c r="G55" s="585"/>
      <c r="H55" s="588" t="str">
        <f t="shared" si="1"/>
        <v>.</v>
      </c>
      <c r="I55" s="585"/>
      <c r="J55" s="586"/>
      <c r="K55" s="586"/>
      <c r="L55" s="586"/>
      <c r="M55" s="589" t="str">
        <f t="shared" si="2"/>
        <v>.</v>
      </c>
      <c r="N55" s="214"/>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row>
    <row r="56" spans="1:60" ht="15" x14ac:dyDescent="0.25">
      <c r="A56" s="129"/>
      <c r="B56" s="212"/>
      <c r="C56" s="584" t="s">
        <v>718</v>
      </c>
      <c r="D56" s="1000" t="str">
        <f>IF('WK2 - Notional General Income'!D56="","",'WK2 - Notional General Income'!D56)</f>
        <v/>
      </c>
      <c r="E56" s="586"/>
      <c r="F56" s="587"/>
      <c r="G56" s="585"/>
      <c r="H56" s="588" t="str">
        <f t="shared" si="1"/>
        <v>.</v>
      </c>
      <c r="I56" s="585"/>
      <c r="J56" s="586"/>
      <c r="K56" s="586"/>
      <c r="L56" s="586"/>
      <c r="M56" s="589" t="str">
        <f t="shared" si="2"/>
        <v>.</v>
      </c>
      <c r="N56" s="214"/>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row>
    <row r="57" spans="1:60" ht="15" x14ac:dyDescent="0.25">
      <c r="A57" s="129"/>
      <c r="B57" s="212"/>
      <c r="C57" s="584" t="s">
        <v>718</v>
      </c>
      <c r="D57" s="1000" t="str">
        <f>IF('WK2 - Notional General Income'!D57="","",'WK2 - Notional General Income'!D57)</f>
        <v/>
      </c>
      <c r="E57" s="586"/>
      <c r="F57" s="587"/>
      <c r="G57" s="585"/>
      <c r="H57" s="588" t="str">
        <f t="shared" si="1"/>
        <v>.</v>
      </c>
      <c r="I57" s="585"/>
      <c r="J57" s="586"/>
      <c r="K57" s="586"/>
      <c r="L57" s="586"/>
      <c r="M57" s="589" t="str">
        <f t="shared" si="2"/>
        <v>.</v>
      </c>
      <c r="N57" s="214"/>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row>
    <row r="58" spans="1:60" ht="15" x14ac:dyDescent="0.25">
      <c r="A58" s="129"/>
      <c r="B58" s="212"/>
      <c r="C58" s="584" t="s">
        <v>718</v>
      </c>
      <c r="D58" s="1000" t="str">
        <f>IF('WK2 - Notional General Income'!D58="","",'WK2 - Notional General Income'!D58)</f>
        <v/>
      </c>
      <c r="E58" s="586"/>
      <c r="F58" s="587"/>
      <c r="G58" s="585"/>
      <c r="H58" s="588" t="str">
        <f t="shared" si="1"/>
        <v>.</v>
      </c>
      <c r="I58" s="585"/>
      <c r="J58" s="586"/>
      <c r="K58" s="586"/>
      <c r="L58" s="586"/>
      <c r="M58" s="589" t="str">
        <f t="shared" si="2"/>
        <v>.</v>
      </c>
      <c r="N58" s="214"/>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row>
    <row r="59" spans="1:60" ht="15" x14ac:dyDescent="0.25">
      <c r="A59" s="129"/>
      <c r="B59" s="212"/>
      <c r="C59" s="584" t="s">
        <v>718</v>
      </c>
      <c r="D59" s="1000" t="str">
        <f>IF('WK2 - Notional General Income'!D59="","",'WK2 - Notional General Income'!D59)</f>
        <v/>
      </c>
      <c r="E59" s="586"/>
      <c r="F59" s="587"/>
      <c r="G59" s="585"/>
      <c r="H59" s="588" t="str">
        <f t="shared" si="1"/>
        <v>.</v>
      </c>
      <c r="I59" s="585"/>
      <c r="J59" s="586"/>
      <c r="K59" s="586"/>
      <c r="L59" s="586"/>
      <c r="M59" s="589" t="str">
        <f t="shared" si="2"/>
        <v>.</v>
      </c>
      <c r="N59" s="214"/>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row>
    <row r="60" spans="1:60" ht="15" x14ac:dyDescent="0.25">
      <c r="A60" s="129"/>
      <c r="B60" s="212"/>
      <c r="C60" s="584" t="s">
        <v>718</v>
      </c>
      <c r="D60" s="1000" t="str">
        <f>IF('WK2 - Notional General Income'!D60="","",'WK2 - Notional General Income'!D60)</f>
        <v/>
      </c>
      <c r="E60" s="586"/>
      <c r="F60" s="587"/>
      <c r="G60" s="585"/>
      <c r="H60" s="588" t="str">
        <f t="shared" si="1"/>
        <v>.</v>
      </c>
      <c r="I60" s="585"/>
      <c r="J60" s="586"/>
      <c r="K60" s="586"/>
      <c r="L60" s="586"/>
      <c r="M60" s="589" t="str">
        <f t="shared" si="2"/>
        <v>.</v>
      </c>
      <c r="N60" s="214"/>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row>
    <row r="61" spans="1:60" ht="15" x14ac:dyDescent="0.25">
      <c r="A61" s="129"/>
      <c r="B61" s="212"/>
      <c r="C61" s="584" t="s">
        <v>718</v>
      </c>
      <c r="D61" s="1000" t="str">
        <f>IF('WK2 - Notional General Income'!D61="","",'WK2 - Notional General Income'!D61)</f>
        <v/>
      </c>
      <c r="E61" s="586"/>
      <c r="F61" s="587"/>
      <c r="G61" s="585"/>
      <c r="H61" s="588" t="str">
        <f t="shared" si="1"/>
        <v>.</v>
      </c>
      <c r="I61" s="585"/>
      <c r="J61" s="586"/>
      <c r="K61" s="586"/>
      <c r="L61" s="586"/>
      <c r="M61" s="589" t="str">
        <f t="shared" si="2"/>
        <v>.</v>
      </c>
      <c r="N61" s="214"/>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row>
    <row r="62" spans="1:60" ht="15" x14ac:dyDescent="0.25">
      <c r="A62" s="129"/>
      <c r="B62" s="212"/>
      <c r="C62" s="584" t="s">
        <v>718</v>
      </c>
      <c r="D62" s="1000" t="str">
        <f>IF('WK2 - Notional General Income'!D62="","",'WK2 - Notional General Income'!D62)</f>
        <v/>
      </c>
      <c r="E62" s="586"/>
      <c r="F62" s="587"/>
      <c r="G62" s="585"/>
      <c r="H62" s="588" t="str">
        <f t="shared" si="1"/>
        <v>.</v>
      </c>
      <c r="I62" s="585"/>
      <c r="J62" s="586"/>
      <c r="K62" s="586"/>
      <c r="L62" s="586"/>
      <c r="M62" s="589" t="str">
        <f t="shared" si="2"/>
        <v>.</v>
      </c>
      <c r="N62" s="214"/>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row>
    <row r="63" spans="1:60" ht="15" x14ac:dyDescent="0.25">
      <c r="A63" s="129"/>
      <c r="B63" s="212"/>
      <c r="C63" s="584" t="s">
        <v>718</v>
      </c>
      <c r="D63" s="1000" t="str">
        <f>IF('WK2 - Notional General Income'!D63="","",'WK2 - Notional General Income'!D63)</f>
        <v/>
      </c>
      <c r="E63" s="586"/>
      <c r="F63" s="587"/>
      <c r="G63" s="585"/>
      <c r="H63" s="588" t="str">
        <f t="shared" si="1"/>
        <v>.</v>
      </c>
      <c r="I63" s="585"/>
      <c r="J63" s="586"/>
      <c r="K63" s="586"/>
      <c r="L63" s="586"/>
      <c r="M63" s="589" t="str">
        <f t="shared" si="2"/>
        <v>.</v>
      </c>
      <c r="N63" s="214"/>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row>
    <row r="64" spans="1:60" ht="15" x14ac:dyDescent="0.25">
      <c r="A64" s="129"/>
      <c r="B64" s="212"/>
      <c r="C64" s="584" t="s">
        <v>718</v>
      </c>
      <c r="D64" s="1000" t="str">
        <f>IF('WK2 - Notional General Income'!D64="","",'WK2 - Notional General Income'!D64)</f>
        <v/>
      </c>
      <c r="E64" s="586"/>
      <c r="F64" s="587"/>
      <c r="G64" s="585"/>
      <c r="H64" s="588" t="str">
        <f t="shared" si="1"/>
        <v>.</v>
      </c>
      <c r="I64" s="585"/>
      <c r="J64" s="586"/>
      <c r="K64" s="586"/>
      <c r="L64" s="586"/>
      <c r="M64" s="589" t="str">
        <f t="shared" si="2"/>
        <v>.</v>
      </c>
      <c r="N64" s="214"/>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row>
    <row r="65" spans="1:60" s="26" customFormat="1" ht="15" x14ac:dyDescent="0.25">
      <c r="A65" s="129"/>
      <c r="B65" s="221"/>
      <c r="C65" s="584"/>
      <c r="D65" s="107" t="s">
        <v>721</v>
      </c>
      <c r="E65" s="110">
        <f>SUM(E40:E64)</f>
        <v>2638</v>
      </c>
      <c r="F65" s="108"/>
      <c r="G65" s="109"/>
      <c r="H65" s="447"/>
      <c r="I65" s="109"/>
      <c r="J65" s="110">
        <f>SUM(J40:J64)</f>
        <v>1136</v>
      </c>
      <c r="K65" s="110">
        <f>SUM(K40:K64)</f>
        <v>1851934823</v>
      </c>
      <c r="L65" s="110">
        <f>SUM(L40:L64)</f>
        <v>94318802</v>
      </c>
      <c r="M65" s="452">
        <f>SUM(M40:M64)</f>
        <v>9379362.2512690611</v>
      </c>
      <c r="N65" s="214"/>
      <c r="O65" s="2"/>
      <c r="P65" s="2"/>
      <c r="Q65" s="2"/>
      <c r="R65" s="2"/>
      <c r="S65" s="2"/>
      <c r="T65" s="2"/>
      <c r="U65" s="2"/>
      <c r="V65" s="2"/>
      <c r="W65" s="2"/>
      <c r="X65" s="3"/>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row>
    <row r="66" spans="1:60" ht="15" x14ac:dyDescent="0.25">
      <c r="A66" s="129"/>
      <c r="B66" s="212"/>
      <c r="C66" s="584" t="s">
        <v>722</v>
      </c>
      <c r="D66" s="1000" t="str">
        <f>IF('WK2 - Notional General Income'!D66="","",'WK2 - Notional General Income'!D66)</f>
        <v>Farmland</v>
      </c>
      <c r="E66" s="586">
        <v>313</v>
      </c>
      <c r="F66" s="1260">
        <v>9.5877000000000004E-2</v>
      </c>
      <c r="G66" s="585">
        <v>646</v>
      </c>
      <c r="H66" s="588">
        <f t="shared" ref="H66:H75" si="3">IF(G66="",".",E66*G66/M66)</f>
        <v>0.29299028307673014</v>
      </c>
      <c r="I66" s="585"/>
      <c r="J66" s="586"/>
      <c r="K66" s="586">
        <v>508902500</v>
      </c>
      <c r="L66" s="586"/>
      <c r="M66" s="589">
        <f t="shared" ref="M66:M75" si="4">IF(E66="",".",IF(G66&lt;&gt;"",G66*E66+K66*(F66/100),(K66-L66)*(F66/100)+I66*J66))</f>
        <v>690118.44992500008</v>
      </c>
      <c r="N66" s="214"/>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row>
    <row r="67" spans="1:60" ht="15" x14ac:dyDescent="0.25">
      <c r="A67" s="129"/>
      <c r="B67" s="212"/>
      <c r="C67" s="584" t="s">
        <v>722</v>
      </c>
      <c r="D67" s="1000" t="str">
        <f>IF('WK2 - Notional General Income'!D67="","",'WK2 - Notional General Income'!D67)</f>
        <v/>
      </c>
      <c r="E67" s="586"/>
      <c r="F67" s="587"/>
      <c r="G67" s="585"/>
      <c r="H67" s="588" t="str">
        <f t="shared" si="3"/>
        <v>.</v>
      </c>
      <c r="I67" s="585"/>
      <c r="J67" s="586"/>
      <c r="K67" s="586"/>
      <c r="L67" s="586"/>
      <c r="M67" s="589" t="str">
        <f t="shared" si="4"/>
        <v>.</v>
      </c>
      <c r="N67" s="214"/>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row>
    <row r="68" spans="1:60" ht="15" x14ac:dyDescent="0.25">
      <c r="A68" s="129"/>
      <c r="B68" s="212"/>
      <c r="C68" s="584" t="s">
        <v>722</v>
      </c>
      <c r="D68" s="1000" t="str">
        <f>IF('WK2 - Notional General Income'!D68="","",'WK2 - Notional General Income'!D68)</f>
        <v/>
      </c>
      <c r="E68" s="586"/>
      <c r="F68" s="587"/>
      <c r="G68" s="585"/>
      <c r="H68" s="588" t="str">
        <f t="shared" si="3"/>
        <v>.</v>
      </c>
      <c r="I68" s="585"/>
      <c r="J68" s="586"/>
      <c r="K68" s="586"/>
      <c r="L68" s="586"/>
      <c r="M68" s="589" t="str">
        <f t="shared" si="4"/>
        <v>.</v>
      </c>
      <c r="N68" s="214"/>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row>
    <row r="69" spans="1:60" ht="15" x14ac:dyDescent="0.25">
      <c r="A69" s="129"/>
      <c r="B69" s="212"/>
      <c r="C69" s="584" t="s">
        <v>722</v>
      </c>
      <c r="D69" s="1000" t="str">
        <f>IF('WK2 - Notional General Income'!D69="","",'WK2 - Notional General Income'!D69)</f>
        <v/>
      </c>
      <c r="E69" s="586"/>
      <c r="F69" s="587"/>
      <c r="G69" s="585"/>
      <c r="H69" s="588" t="str">
        <f t="shared" si="3"/>
        <v>.</v>
      </c>
      <c r="I69" s="585"/>
      <c r="J69" s="586"/>
      <c r="K69" s="586"/>
      <c r="L69" s="586"/>
      <c r="M69" s="589" t="str">
        <f t="shared" si="4"/>
        <v>.</v>
      </c>
      <c r="N69" s="214"/>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row>
    <row r="70" spans="1:60" ht="15" x14ac:dyDescent="0.25">
      <c r="A70" s="129"/>
      <c r="B70" s="212"/>
      <c r="C70" s="584" t="s">
        <v>722</v>
      </c>
      <c r="D70" s="1000" t="str">
        <f>IF('WK2 - Notional General Income'!D70="","",'WK2 - Notional General Income'!D70)</f>
        <v/>
      </c>
      <c r="E70" s="586"/>
      <c r="F70" s="587"/>
      <c r="G70" s="585"/>
      <c r="H70" s="588" t="str">
        <f t="shared" si="3"/>
        <v>.</v>
      </c>
      <c r="I70" s="585"/>
      <c r="J70" s="586"/>
      <c r="K70" s="586"/>
      <c r="L70" s="586"/>
      <c r="M70" s="589" t="str">
        <f t="shared" si="4"/>
        <v>.</v>
      </c>
      <c r="N70" s="214"/>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row>
    <row r="71" spans="1:60" ht="15" x14ac:dyDescent="0.25">
      <c r="A71" s="129"/>
      <c r="B71" s="212"/>
      <c r="C71" s="584" t="s">
        <v>722</v>
      </c>
      <c r="D71" s="1000" t="str">
        <f>IF('WK2 - Notional General Income'!D71="","",'WK2 - Notional General Income'!D71)</f>
        <v/>
      </c>
      <c r="E71" s="586"/>
      <c r="F71" s="587"/>
      <c r="G71" s="585"/>
      <c r="H71" s="588" t="str">
        <f t="shared" si="3"/>
        <v>.</v>
      </c>
      <c r="I71" s="585"/>
      <c r="J71" s="586"/>
      <c r="K71" s="586"/>
      <c r="L71" s="586"/>
      <c r="M71" s="589" t="str">
        <f t="shared" si="4"/>
        <v>.</v>
      </c>
      <c r="N71" s="214"/>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row>
    <row r="72" spans="1:60" ht="15" x14ac:dyDescent="0.25">
      <c r="A72" s="129"/>
      <c r="B72" s="212"/>
      <c r="C72" s="584" t="s">
        <v>722</v>
      </c>
      <c r="D72" s="1000" t="str">
        <f>IF('WK2 - Notional General Income'!D72="","",'WK2 - Notional General Income'!D72)</f>
        <v/>
      </c>
      <c r="E72" s="586"/>
      <c r="F72" s="587"/>
      <c r="G72" s="585"/>
      <c r="H72" s="588" t="str">
        <f t="shared" si="3"/>
        <v>.</v>
      </c>
      <c r="I72" s="585"/>
      <c r="J72" s="586"/>
      <c r="K72" s="586"/>
      <c r="L72" s="586"/>
      <c r="M72" s="589" t="str">
        <f t="shared" si="4"/>
        <v>.</v>
      </c>
      <c r="N72" s="214"/>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row>
    <row r="73" spans="1:60" ht="15" x14ac:dyDescent="0.25">
      <c r="A73" s="129"/>
      <c r="B73" s="212"/>
      <c r="C73" s="584" t="s">
        <v>722</v>
      </c>
      <c r="D73" s="1000" t="str">
        <f>IF('WK2 - Notional General Income'!D73="","",'WK2 - Notional General Income'!D73)</f>
        <v/>
      </c>
      <c r="E73" s="586"/>
      <c r="F73" s="587"/>
      <c r="G73" s="585"/>
      <c r="H73" s="588" t="str">
        <f t="shared" si="3"/>
        <v>.</v>
      </c>
      <c r="I73" s="585"/>
      <c r="J73" s="586"/>
      <c r="K73" s="586"/>
      <c r="L73" s="586"/>
      <c r="M73" s="589" t="str">
        <f t="shared" si="4"/>
        <v>.</v>
      </c>
      <c r="N73" s="214"/>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row>
    <row r="74" spans="1:60" ht="15" x14ac:dyDescent="0.25">
      <c r="A74" s="129"/>
      <c r="B74" s="212"/>
      <c r="C74" s="584" t="s">
        <v>722</v>
      </c>
      <c r="D74" s="1000" t="str">
        <f>IF('WK2 - Notional General Income'!D74="","",'WK2 - Notional General Income'!D74)</f>
        <v/>
      </c>
      <c r="E74" s="586"/>
      <c r="F74" s="587"/>
      <c r="G74" s="585"/>
      <c r="H74" s="588" t="str">
        <f t="shared" si="3"/>
        <v>.</v>
      </c>
      <c r="I74" s="585"/>
      <c r="J74" s="586"/>
      <c r="K74" s="586"/>
      <c r="L74" s="586"/>
      <c r="M74" s="589" t="str">
        <f t="shared" si="4"/>
        <v>.</v>
      </c>
      <c r="N74" s="214"/>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row>
    <row r="75" spans="1:60" ht="15" x14ac:dyDescent="0.25">
      <c r="A75" s="129"/>
      <c r="B75" s="212"/>
      <c r="C75" s="584" t="s">
        <v>722</v>
      </c>
      <c r="D75" s="1000" t="str">
        <f>IF('WK2 - Notional General Income'!D75="","",'WK2 - Notional General Income'!D75)</f>
        <v/>
      </c>
      <c r="E75" s="586"/>
      <c r="F75" s="587"/>
      <c r="G75" s="585"/>
      <c r="H75" s="588" t="str">
        <f t="shared" si="3"/>
        <v>.</v>
      </c>
      <c r="I75" s="585"/>
      <c r="J75" s="586"/>
      <c r="K75" s="586"/>
      <c r="L75" s="586"/>
      <c r="M75" s="589" t="str">
        <f t="shared" si="4"/>
        <v>.</v>
      </c>
      <c r="N75" s="214"/>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row>
    <row r="76" spans="1:60" s="26" customFormat="1" ht="15" x14ac:dyDescent="0.25">
      <c r="A76" s="129"/>
      <c r="B76" s="221"/>
      <c r="C76" s="591"/>
      <c r="D76" s="107" t="s">
        <v>723</v>
      </c>
      <c r="E76" s="110">
        <f>SUM(E66:E75)</f>
        <v>313</v>
      </c>
      <c r="F76" s="108"/>
      <c r="G76" s="109"/>
      <c r="H76" s="447"/>
      <c r="I76" s="109"/>
      <c r="J76" s="110">
        <f>SUM(J66:J75)</f>
        <v>0</v>
      </c>
      <c r="K76" s="110">
        <f>SUM(K66:K75)</f>
        <v>508902500</v>
      </c>
      <c r="L76" s="110">
        <f>SUM(L66:L75)</f>
        <v>0</v>
      </c>
      <c r="M76" s="452">
        <f>SUM(M66:M75)</f>
        <v>690118.44992500008</v>
      </c>
      <c r="N76" s="214"/>
      <c r="O76" s="2"/>
      <c r="P76" s="2"/>
      <c r="Q76" s="2"/>
      <c r="R76" s="2"/>
      <c r="S76" s="2"/>
      <c r="T76" s="2"/>
      <c r="U76" s="2"/>
      <c r="V76" s="2"/>
      <c r="W76" s="2"/>
      <c r="X76" s="3"/>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1:60" ht="15" x14ac:dyDescent="0.25">
      <c r="A77" s="129"/>
      <c r="B77" s="212"/>
      <c r="C77" s="584" t="s">
        <v>724</v>
      </c>
      <c r="D77" s="1000" t="str">
        <f>IF('WK2 - Notional General Income'!D77="","",'WK2 - Notional General Income'!D77)</f>
        <v/>
      </c>
      <c r="E77" s="586"/>
      <c r="F77" s="587"/>
      <c r="G77" s="585"/>
      <c r="H77" s="588" t="str">
        <f t="shared" ref="H77:H86" si="5">IF(G77="",".",E77*G77/M77)</f>
        <v>.</v>
      </c>
      <c r="I77" s="585"/>
      <c r="J77" s="586"/>
      <c r="K77" s="586"/>
      <c r="L77" s="586"/>
      <c r="M77" s="589" t="str">
        <f t="shared" ref="M77:M86" si="6">IF(E77="",".",IF(G77&lt;&gt;"",G77*E77+K77*(F77/100),(K77-L77)*(F77/100)+I77*J77))</f>
        <v>.</v>
      </c>
      <c r="N77" s="214"/>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row>
    <row r="78" spans="1:60" ht="15" x14ac:dyDescent="0.25">
      <c r="A78" s="129"/>
      <c r="B78" s="212"/>
      <c r="C78" s="584" t="s">
        <v>724</v>
      </c>
      <c r="D78" s="1000" t="str">
        <f>IF('WK2 - Notional General Income'!D78="","",'WK2 - Notional General Income'!D78)</f>
        <v/>
      </c>
      <c r="E78" s="586"/>
      <c r="F78" s="587"/>
      <c r="G78" s="585"/>
      <c r="H78" s="588" t="str">
        <f t="shared" si="5"/>
        <v>.</v>
      </c>
      <c r="I78" s="585"/>
      <c r="J78" s="586"/>
      <c r="K78" s="586"/>
      <c r="L78" s="586"/>
      <c r="M78" s="589" t="str">
        <f t="shared" si="6"/>
        <v>.</v>
      </c>
      <c r="N78" s="214"/>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row>
    <row r="79" spans="1:60" ht="15" x14ac:dyDescent="0.25">
      <c r="A79" s="129"/>
      <c r="B79" s="212"/>
      <c r="C79" s="584" t="s">
        <v>724</v>
      </c>
      <c r="D79" s="1000" t="str">
        <f>IF('WK2 - Notional General Income'!D79="","",'WK2 - Notional General Income'!D79)</f>
        <v/>
      </c>
      <c r="E79" s="586"/>
      <c r="F79" s="587"/>
      <c r="G79" s="585"/>
      <c r="H79" s="588" t="str">
        <f t="shared" si="5"/>
        <v>.</v>
      </c>
      <c r="I79" s="585"/>
      <c r="J79" s="586"/>
      <c r="K79" s="586"/>
      <c r="L79" s="586"/>
      <c r="M79" s="589" t="str">
        <f t="shared" si="6"/>
        <v>.</v>
      </c>
      <c r="N79" s="214"/>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row>
    <row r="80" spans="1:60" ht="15" x14ac:dyDescent="0.25">
      <c r="A80" s="129"/>
      <c r="B80" s="212"/>
      <c r="C80" s="584" t="s">
        <v>724</v>
      </c>
      <c r="D80" s="1000" t="str">
        <f>IF('WK2 - Notional General Income'!D80="","",'WK2 - Notional General Income'!D80)</f>
        <v/>
      </c>
      <c r="E80" s="586"/>
      <c r="F80" s="587"/>
      <c r="G80" s="585"/>
      <c r="H80" s="588" t="str">
        <f t="shared" si="5"/>
        <v>.</v>
      </c>
      <c r="I80" s="585"/>
      <c r="J80" s="586"/>
      <c r="K80" s="586"/>
      <c r="L80" s="586"/>
      <c r="M80" s="589" t="str">
        <f t="shared" si="6"/>
        <v>.</v>
      </c>
      <c r="N80" s="214"/>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row>
    <row r="81" spans="1:60" ht="15" x14ac:dyDescent="0.25">
      <c r="A81" s="129"/>
      <c r="B81" s="212"/>
      <c r="C81" s="584" t="s">
        <v>724</v>
      </c>
      <c r="D81" s="1000" t="str">
        <f>IF('WK2 - Notional General Income'!D81="","",'WK2 - Notional General Income'!D81)</f>
        <v/>
      </c>
      <c r="E81" s="586"/>
      <c r="F81" s="587"/>
      <c r="G81" s="585"/>
      <c r="H81" s="588" t="str">
        <f t="shared" si="5"/>
        <v>.</v>
      </c>
      <c r="I81" s="585"/>
      <c r="J81" s="586"/>
      <c r="K81" s="586"/>
      <c r="L81" s="586"/>
      <c r="M81" s="589" t="str">
        <f t="shared" si="6"/>
        <v>.</v>
      </c>
      <c r="N81" s="214"/>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row>
    <row r="82" spans="1:60" ht="15" x14ac:dyDescent="0.25">
      <c r="A82" s="129"/>
      <c r="B82" s="212"/>
      <c r="C82" s="584" t="s">
        <v>724</v>
      </c>
      <c r="D82" s="1000" t="str">
        <f>IF('WK2 - Notional General Income'!D82="","",'WK2 - Notional General Income'!D82)</f>
        <v/>
      </c>
      <c r="E82" s="586"/>
      <c r="F82" s="587"/>
      <c r="G82" s="585"/>
      <c r="H82" s="588" t="str">
        <f t="shared" si="5"/>
        <v>.</v>
      </c>
      <c r="I82" s="585"/>
      <c r="J82" s="586"/>
      <c r="K82" s="586"/>
      <c r="L82" s="586"/>
      <c r="M82" s="589" t="str">
        <f t="shared" si="6"/>
        <v>.</v>
      </c>
      <c r="N82" s="214"/>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row>
    <row r="83" spans="1:60" ht="15" x14ac:dyDescent="0.25">
      <c r="A83" s="129"/>
      <c r="B83" s="212"/>
      <c r="C83" s="584" t="s">
        <v>724</v>
      </c>
      <c r="D83" s="1000" t="str">
        <f>IF('WK2 - Notional General Income'!D83="","",'WK2 - Notional General Income'!D83)</f>
        <v/>
      </c>
      <c r="E83" s="586"/>
      <c r="F83" s="587"/>
      <c r="G83" s="585"/>
      <c r="H83" s="588" t="str">
        <f t="shared" si="5"/>
        <v>.</v>
      </c>
      <c r="I83" s="585"/>
      <c r="J83" s="586"/>
      <c r="K83" s="586"/>
      <c r="L83" s="586"/>
      <c r="M83" s="589" t="str">
        <f t="shared" si="6"/>
        <v>.</v>
      </c>
      <c r="N83" s="214"/>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row>
    <row r="84" spans="1:60" ht="15" x14ac:dyDescent="0.25">
      <c r="A84" s="129"/>
      <c r="B84" s="212"/>
      <c r="C84" s="584" t="s">
        <v>724</v>
      </c>
      <c r="D84" s="1000" t="str">
        <f>IF('WK2 - Notional General Income'!D84="","",'WK2 - Notional General Income'!D84)</f>
        <v/>
      </c>
      <c r="E84" s="586"/>
      <c r="F84" s="587"/>
      <c r="G84" s="585"/>
      <c r="H84" s="588" t="str">
        <f t="shared" si="5"/>
        <v>.</v>
      </c>
      <c r="I84" s="585"/>
      <c r="J84" s="586"/>
      <c r="K84" s="586"/>
      <c r="L84" s="586"/>
      <c r="M84" s="589" t="str">
        <f t="shared" si="6"/>
        <v>.</v>
      </c>
      <c r="N84" s="214"/>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row>
    <row r="85" spans="1:60" ht="15" x14ac:dyDescent="0.25">
      <c r="A85" s="129"/>
      <c r="B85" s="212"/>
      <c r="C85" s="584" t="s">
        <v>724</v>
      </c>
      <c r="D85" s="1000" t="str">
        <f>IF('WK2 - Notional General Income'!D85="","",'WK2 - Notional General Income'!D85)</f>
        <v/>
      </c>
      <c r="E85" s="586"/>
      <c r="F85" s="587"/>
      <c r="G85" s="585"/>
      <c r="H85" s="588" t="str">
        <f t="shared" si="5"/>
        <v>.</v>
      </c>
      <c r="I85" s="585"/>
      <c r="J85" s="586"/>
      <c r="K85" s="586"/>
      <c r="L85" s="586"/>
      <c r="M85" s="589" t="str">
        <f t="shared" si="6"/>
        <v>.</v>
      </c>
      <c r="N85" s="214"/>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row>
    <row r="86" spans="1:60" ht="15" x14ac:dyDescent="0.25">
      <c r="A86" s="129"/>
      <c r="B86" s="212"/>
      <c r="C86" s="592" t="s">
        <v>724</v>
      </c>
      <c r="D86" s="1000" t="str">
        <f>IF('WK2 - Notional General Income'!D86="","",'WK2 - Notional General Income'!D86)</f>
        <v/>
      </c>
      <c r="E86" s="594"/>
      <c r="F86" s="595"/>
      <c r="G86" s="593"/>
      <c r="H86" s="596" t="str">
        <f t="shared" si="5"/>
        <v>.</v>
      </c>
      <c r="I86" s="593"/>
      <c r="J86" s="594"/>
      <c r="K86" s="594"/>
      <c r="L86" s="594"/>
      <c r="M86" s="597" t="str">
        <f t="shared" si="6"/>
        <v>.</v>
      </c>
      <c r="N86" s="214"/>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row>
    <row r="87" spans="1:60" s="26" customFormat="1" ht="15" x14ac:dyDescent="0.25">
      <c r="A87" s="129"/>
      <c r="B87" s="221"/>
      <c r="C87" s="107"/>
      <c r="D87" s="107" t="s">
        <v>725</v>
      </c>
      <c r="E87" s="110">
        <f>SUM(E77:E86)</f>
        <v>0</v>
      </c>
      <c r="F87" s="108"/>
      <c r="G87" s="109"/>
      <c r="H87" s="446"/>
      <c r="I87" s="109"/>
      <c r="J87" s="110">
        <f>SUM(J77:J86)</f>
        <v>0</v>
      </c>
      <c r="K87" s="110">
        <f>SUM(K77:K86)</f>
        <v>0</v>
      </c>
      <c r="L87" s="110">
        <f>SUM(L77:L86)</f>
        <v>0</v>
      </c>
      <c r="M87" s="452">
        <f>SUM(M77:M86)</f>
        <v>0</v>
      </c>
      <c r="N87" s="214"/>
      <c r="O87" s="2"/>
      <c r="P87" s="2"/>
      <c r="Q87" s="2"/>
      <c r="R87" s="2"/>
      <c r="S87" s="2"/>
      <c r="T87" s="2"/>
      <c r="U87" s="2"/>
      <c r="V87" s="2"/>
      <c r="W87" s="2"/>
      <c r="X87" s="3"/>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1:60" ht="15" x14ac:dyDescent="0.25">
      <c r="A88" s="129"/>
      <c r="B88" s="212"/>
      <c r="C88" s="111" t="s">
        <v>726</v>
      </c>
      <c r="D88" s="112"/>
      <c r="E88" s="516">
        <f>E39+E65+E76+E87</f>
        <v>54967</v>
      </c>
      <c r="F88" s="3"/>
      <c r="G88" s="2"/>
      <c r="H88" s="2" t="s">
        <v>727</v>
      </c>
      <c r="I88" s="3"/>
      <c r="J88" s="3"/>
      <c r="K88" s="113">
        <f>K39+K65+K76+K87</f>
        <v>32804825891</v>
      </c>
      <c r="L88" s="113" t="s">
        <v>728</v>
      </c>
      <c r="M88" s="453">
        <f>M39+M65+M76+M87</f>
        <v>78422716.331909016</v>
      </c>
      <c r="N88" s="214"/>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row>
    <row r="89" spans="1:60" ht="15" x14ac:dyDescent="0.25">
      <c r="A89" s="129"/>
      <c r="B89" s="240"/>
      <c r="C89" s="114"/>
      <c r="D89" s="114"/>
      <c r="E89" s="93"/>
      <c r="F89" s="93"/>
      <c r="G89" s="115"/>
      <c r="H89" s="93"/>
      <c r="I89" s="93"/>
      <c r="J89" s="93"/>
      <c r="K89" s="93"/>
      <c r="L89" s="116"/>
      <c r="M89" s="117"/>
      <c r="N89" s="241"/>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row>
    <row r="90" spans="1:60" ht="15" x14ac:dyDescent="0.25">
      <c r="A90" s="129"/>
      <c r="B90" s="242"/>
      <c r="C90" s="1154"/>
      <c r="D90" s="1154"/>
      <c r="E90" s="727"/>
      <c r="F90" s="727"/>
      <c r="G90" s="727"/>
      <c r="H90" s="815"/>
      <c r="I90" s="815"/>
      <c r="J90" s="815"/>
      <c r="K90" s="815"/>
      <c r="L90" s="1158"/>
      <c r="M90" s="1158"/>
      <c r="N90" s="122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row>
    <row r="91" spans="1:60" ht="15.6" x14ac:dyDescent="0.3">
      <c r="A91" s="129"/>
      <c r="B91" s="243"/>
      <c r="C91" s="119"/>
      <c r="D91" s="119"/>
      <c r="E91" s="1"/>
      <c r="F91" s="1"/>
      <c r="G91" s="1"/>
      <c r="H91" s="85" t="s">
        <v>729</v>
      </c>
      <c r="I91" s="80"/>
      <c r="J91" s="80"/>
      <c r="K91" s="80"/>
      <c r="L91" s="121"/>
      <c r="M91" s="121"/>
      <c r="N91" s="218"/>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row>
    <row r="92" spans="1:60" ht="15" x14ac:dyDescent="0.25">
      <c r="A92" s="129"/>
      <c r="B92" s="212"/>
      <c r="C92" s="122"/>
      <c r="D92" s="122"/>
      <c r="E92" s="3"/>
      <c r="F92" s="3"/>
      <c r="G92" s="3"/>
      <c r="H92" s="3"/>
      <c r="I92" s="3"/>
      <c r="J92" s="3"/>
      <c r="K92" s="3"/>
      <c r="L92" s="118"/>
      <c r="M92" s="118"/>
      <c r="N92" s="229"/>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row>
    <row r="93" spans="1:60" ht="36" x14ac:dyDescent="0.25">
      <c r="A93" s="129"/>
      <c r="B93" s="238"/>
      <c r="C93" s="105" t="s">
        <v>705</v>
      </c>
      <c r="D93" s="105" t="s">
        <v>730</v>
      </c>
      <c r="E93" s="1215" t="s">
        <v>707</v>
      </c>
      <c r="F93" s="1215" t="s">
        <v>731</v>
      </c>
      <c r="G93" s="1215" t="s">
        <v>709</v>
      </c>
      <c r="H93" s="1215" t="s">
        <v>710</v>
      </c>
      <c r="I93" s="1215" t="s">
        <v>711</v>
      </c>
      <c r="J93" s="1215" t="s">
        <v>712</v>
      </c>
      <c r="K93" s="105" t="s">
        <v>753</v>
      </c>
      <c r="L93" s="106" t="s">
        <v>714</v>
      </c>
      <c r="M93" s="1216" t="s">
        <v>733</v>
      </c>
      <c r="N93" s="239"/>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row>
    <row r="94" spans="1:60" ht="15" x14ac:dyDescent="0.25">
      <c r="A94" s="129"/>
      <c r="B94" s="212"/>
      <c r="C94" s="1217" t="s">
        <v>716</v>
      </c>
      <c r="D94" s="1000" t="str">
        <f>IF('WK2 - Notional General Income'!D94="","",'WK2 - Notional General Income'!D94)</f>
        <v>Cachments - Residential</v>
      </c>
      <c r="E94" s="1218">
        <v>52016</v>
      </c>
      <c r="F94" s="1259">
        <v>1.1217E-2</v>
      </c>
      <c r="G94" s="1218"/>
      <c r="H94" s="1221" t="str">
        <f t="shared" ref="H94:H125" si="7">IF(G94="",".",E94*G94/M94)</f>
        <v>.</v>
      </c>
      <c r="I94" s="1218"/>
      <c r="J94" s="1218"/>
      <c r="K94" s="1219">
        <v>30443988568</v>
      </c>
      <c r="L94" s="1219"/>
      <c r="M94" s="1222">
        <f t="shared" ref="M94:M125" si="8">IF(E94="",".",IF(G94&lt;&gt;"",G94*E94+K94*(F94/100),(K94-L94)*(F94/100)+I94*J94))</f>
        <v>3414902.1976725599</v>
      </c>
      <c r="N94" s="214"/>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row>
    <row r="95" spans="1:60" ht="15" x14ac:dyDescent="0.25">
      <c r="A95" s="129"/>
      <c r="B95" s="212"/>
      <c r="C95" s="584" t="s">
        <v>716</v>
      </c>
      <c r="D95" s="1000" t="str">
        <f>IF('WK2 - Notional General Income'!D95="","",'WK2 - Notional General Income'!D95)</f>
        <v/>
      </c>
      <c r="E95" s="585"/>
      <c r="F95" s="587"/>
      <c r="G95" s="585"/>
      <c r="H95" s="588" t="str">
        <f t="shared" si="7"/>
        <v>.</v>
      </c>
      <c r="I95" s="585"/>
      <c r="J95" s="585"/>
      <c r="K95" s="586"/>
      <c r="L95" s="586"/>
      <c r="M95" s="589" t="str">
        <f t="shared" si="8"/>
        <v>.</v>
      </c>
      <c r="N95" s="214"/>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row>
    <row r="96" spans="1:60" ht="15" x14ac:dyDescent="0.25">
      <c r="A96" s="129"/>
      <c r="B96" s="212"/>
      <c r="C96" s="584" t="s">
        <v>716</v>
      </c>
      <c r="D96" s="1000" t="str">
        <f>IF('WK2 - Notional General Income'!D96="","",'WK2 - Notional General Income'!D96)</f>
        <v/>
      </c>
      <c r="E96" s="585"/>
      <c r="F96" s="587"/>
      <c r="G96" s="585"/>
      <c r="H96" s="588" t="str">
        <f t="shared" si="7"/>
        <v>.</v>
      </c>
      <c r="I96" s="585"/>
      <c r="J96" s="585"/>
      <c r="K96" s="586"/>
      <c r="L96" s="586"/>
      <c r="M96" s="589" t="str">
        <f t="shared" si="8"/>
        <v>.</v>
      </c>
      <c r="N96" s="214"/>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row>
    <row r="97" spans="1:60" ht="15" x14ac:dyDescent="0.25">
      <c r="A97" s="129"/>
      <c r="B97" s="212"/>
      <c r="C97" s="584" t="s">
        <v>716</v>
      </c>
      <c r="D97" s="1000" t="str">
        <f>IF('WK2 - Notional General Income'!D97="","",'WK2 - Notional General Income'!D97)</f>
        <v/>
      </c>
      <c r="E97" s="585"/>
      <c r="F97" s="587"/>
      <c r="G97" s="585"/>
      <c r="H97" s="588" t="str">
        <f t="shared" si="7"/>
        <v>.</v>
      </c>
      <c r="I97" s="585"/>
      <c r="J97" s="585"/>
      <c r="K97" s="586"/>
      <c r="L97" s="586"/>
      <c r="M97" s="589" t="str">
        <f t="shared" si="8"/>
        <v>.</v>
      </c>
      <c r="N97" s="214"/>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row>
    <row r="98" spans="1:60" ht="15" x14ac:dyDescent="0.25">
      <c r="A98" s="129"/>
      <c r="B98" s="212"/>
      <c r="C98" s="584" t="s">
        <v>716</v>
      </c>
      <c r="D98" s="1000" t="str">
        <f>IF('WK2 - Notional General Income'!D98="","",'WK2 - Notional General Income'!D98)</f>
        <v/>
      </c>
      <c r="E98" s="585"/>
      <c r="F98" s="587"/>
      <c r="G98" s="585"/>
      <c r="H98" s="588" t="str">
        <f t="shared" si="7"/>
        <v>.</v>
      </c>
      <c r="I98" s="585"/>
      <c r="J98" s="585"/>
      <c r="K98" s="586"/>
      <c r="L98" s="586"/>
      <c r="M98" s="589" t="str">
        <f t="shared" si="8"/>
        <v>.</v>
      </c>
      <c r="N98" s="214"/>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row>
    <row r="99" spans="1:60" ht="15" x14ac:dyDescent="0.25">
      <c r="A99" s="129"/>
      <c r="B99" s="212"/>
      <c r="C99" s="584" t="s">
        <v>716</v>
      </c>
      <c r="D99" s="1000" t="str">
        <f>IF('WK2 - Notional General Income'!D99="","",'WK2 - Notional General Income'!D99)</f>
        <v/>
      </c>
      <c r="E99" s="585"/>
      <c r="F99" s="587"/>
      <c r="G99" s="585"/>
      <c r="H99" s="588" t="str">
        <f t="shared" si="7"/>
        <v>.</v>
      </c>
      <c r="I99" s="585"/>
      <c r="J99" s="585"/>
      <c r="K99" s="586"/>
      <c r="L99" s="586"/>
      <c r="M99" s="589" t="str">
        <f t="shared" si="8"/>
        <v>.</v>
      </c>
      <c r="N99" s="214"/>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row>
    <row r="100" spans="1:60" ht="15" x14ac:dyDescent="0.25">
      <c r="A100" s="129"/>
      <c r="B100" s="212"/>
      <c r="C100" s="584" t="s">
        <v>716</v>
      </c>
      <c r="D100" s="1000" t="str">
        <f>IF('WK2 - Notional General Income'!D100="","",'WK2 - Notional General Income'!D100)</f>
        <v/>
      </c>
      <c r="E100" s="585"/>
      <c r="F100" s="587"/>
      <c r="G100" s="585"/>
      <c r="H100" s="588" t="str">
        <f t="shared" si="7"/>
        <v>.</v>
      </c>
      <c r="I100" s="585"/>
      <c r="J100" s="585"/>
      <c r="K100" s="586"/>
      <c r="L100" s="586"/>
      <c r="M100" s="589" t="str">
        <f t="shared" si="8"/>
        <v>.</v>
      </c>
      <c r="N100" s="214"/>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row>
    <row r="101" spans="1:60" ht="15" x14ac:dyDescent="0.25">
      <c r="A101" s="129"/>
      <c r="B101" s="212"/>
      <c r="C101" s="584" t="s">
        <v>716</v>
      </c>
      <c r="D101" s="1000" t="str">
        <f>IF('WK2 - Notional General Income'!D101="","",'WK2 - Notional General Income'!D101)</f>
        <v/>
      </c>
      <c r="E101" s="585"/>
      <c r="F101" s="587"/>
      <c r="G101" s="585"/>
      <c r="H101" s="588" t="str">
        <f t="shared" si="7"/>
        <v>.</v>
      </c>
      <c r="I101" s="585"/>
      <c r="J101" s="585"/>
      <c r="K101" s="586"/>
      <c r="L101" s="586"/>
      <c r="M101" s="589" t="str">
        <f t="shared" si="8"/>
        <v>.</v>
      </c>
      <c r="N101" s="214"/>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row>
    <row r="102" spans="1:60" ht="15" x14ac:dyDescent="0.25">
      <c r="A102" s="129"/>
      <c r="B102" s="212"/>
      <c r="C102" s="584" t="s">
        <v>716</v>
      </c>
      <c r="D102" s="1000" t="str">
        <f>IF('WK2 - Notional General Income'!D102="","",'WK2 - Notional General Income'!D102)</f>
        <v/>
      </c>
      <c r="E102" s="585"/>
      <c r="F102" s="587"/>
      <c r="G102" s="585"/>
      <c r="H102" s="588" t="str">
        <f t="shared" si="7"/>
        <v>.</v>
      </c>
      <c r="I102" s="585"/>
      <c r="J102" s="585"/>
      <c r="K102" s="586"/>
      <c r="L102" s="586"/>
      <c r="M102" s="589" t="str">
        <f t="shared" si="8"/>
        <v>.</v>
      </c>
      <c r="N102" s="214"/>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row>
    <row r="103" spans="1:60" ht="15" x14ac:dyDescent="0.25">
      <c r="A103" s="129"/>
      <c r="B103" s="212"/>
      <c r="C103" s="584" t="s">
        <v>716</v>
      </c>
      <c r="D103" s="1000" t="str">
        <f>IF('WK2 - Notional General Income'!D103="","",'WK2 - Notional General Income'!D103)</f>
        <v/>
      </c>
      <c r="E103" s="585"/>
      <c r="F103" s="587"/>
      <c r="G103" s="585"/>
      <c r="H103" s="588" t="str">
        <f t="shared" si="7"/>
        <v>.</v>
      </c>
      <c r="I103" s="585"/>
      <c r="J103" s="585"/>
      <c r="K103" s="586"/>
      <c r="L103" s="586"/>
      <c r="M103" s="589" t="str">
        <f t="shared" si="8"/>
        <v>.</v>
      </c>
      <c r="N103" s="214"/>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row>
    <row r="104" spans="1:60" ht="15" x14ac:dyDescent="0.25">
      <c r="A104" s="129"/>
      <c r="B104" s="212"/>
      <c r="C104" s="584" t="s">
        <v>718</v>
      </c>
      <c r="D104" s="1000" t="str">
        <f>IF('WK2 - Notional General Income'!D104="","",'WK2 - Notional General Income'!D104)</f>
        <v>Cachments - Business</v>
      </c>
      <c r="E104" s="585">
        <v>2126</v>
      </c>
      <c r="F104" s="1260">
        <v>2.1011999999999999E-2</v>
      </c>
      <c r="G104" s="585"/>
      <c r="H104" s="588" t="str">
        <f t="shared" si="7"/>
        <v>.</v>
      </c>
      <c r="I104" s="585"/>
      <c r="J104" s="585"/>
      <c r="K104" s="586">
        <v>1258619136</v>
      </c>
      <c r="L104" s="586"/>
      <c r="M104" s="589">
        <f t="shared" si="8"/>
        <v>264461.05285631999</v>
      </c>
      <c r="N104" s="214"/>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row>
    <row r="105" spans="1:60" ht="15" x14ac:dyDescent="0.25">
      <c r="A105" s="129"/>
      <c r="B105" s="212"/>
      <c r="C105" s="584" t="s">
        <v>718</v>
      </c>
      <c r="D105" s="1000" t="str">
        <f>IF('WK2 - Notional General Income'!D105="","",'WK2 - Notional General Income'!D105)</f>
        <v>Cachments - Hornsby CBD</v>
      </c>
      <c r="E105" s="585">
        <v>507</v>
      </c>
      <c r="F105" s="1260">
        <v>2.6651999999999999E-2</v>
      </c>
      <c r="G105" s="585"/>
      <c r="H105" s="588" t="str">
        <f t="shared" si="7"/>
        <v>.</v>
      </c>
      <c r="I105" s="585"/>
      <c r="J105" s="585"/>
      <c r="K105" s="586">
        <v>505706687</v>
      </c>
      <c r="L105" s="586"/>
      <c r="M105" s="589">
        <f t="shared" si="8"/>
        <v>134780.94621924</v>
      </c>
      <c r="N105" s="214"/>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row>
    <row r="106" spans="1:60" ht="15" x14ac:dyDescent="0.25">
      <c r="A106" s="129"/>
      <c r="B106" s="212"/>
      <c r="C106" s="584" t="s">
        <v>718</v>
      </c>
      <c r="D106" s="1000" t="str">
        <f>IF('WK2 - Notional General Income'!D106="","",'WK2 - Notional General Income'!D106)</f>
        <v>Cachments - Shopping Centre</v>
      </c>
      <c r="E106" s="585">
        <v>5</v>
      </c>
      <c r="F106" s="1260">
        <v>7.9157000000000005E-2</v>
      </c>
      <c r="G106" s="585"/>
      <c r="H106" s="588" t="str">
        <f t="shared" si="7"/>
        <v>.</v>
      </c>
      <c r="I106" s="585"/>
      <c r="J106" s="585"/>
      <c r="K106" s="586">
        <v>87609000</v>
      </c>
      <c r="L106" s="586"/>
      <c r="M106" s="589">
        <f t="shared" si="8"/>
        <v>69348.656130000003</v>
      </c>
      <c r="N106" s="214"/>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row>
    <row r="107" spans="1:60" ht="15" x14ac:dyDescent="0.25">
      <c r="A107" s="129"/>
      <c r="B107" s="212"/>
      <c r="C107" s="584" t="s">
        <v>718</v>
      </c>
      <c r="D107" s="1000" t="str">
        <f>IF('WK2 - Notional General Income'!D107="","",'WK2 - Notional General Income'!D107)</f>
        <v/>
      </c>
      <c r="E107" s="585"/>
      <c r="F107" s="587"/>
      <c r="G107" s="585"/>
      <c r="H107" s="588" t="str">
        <f t="shared" si="7"/>
        <v>.</v>
      </c>
      <c r="I107" s="585"/>
      <c r="J107" s="585"/>
      <c r="K107" s="586"/>
      <c r="L107" s="586"/>
      <c r="M107" s="589" t="str">
        <f t="shared" si="8"/>
        <v>.</v>
      </c>
      <c r="N107" s="214"/>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row>
    <row r="108" spans="1:60" ht="15" x14ac:dyDescent="0.25">
      <c r="A108" s="129"/>
      <c r="B108" s="212"/>
      <c r="C108" s="584" t="s">
        <v>718</v>
      </c>
      <c r="D108" s="1000" t="str">
        <f>IF('WK2 - Notional General Income'!D108="","",'WK2 - Notional General Income'!D108)</f>
        <v/>
      </c>
      <c r="E108" s="585"/>
      <c r="F108" s="587"/>
      <c r="G108" s="585"/>
      <c r="H108" s="588" t="str">
        <f t="shared" si="7"/>
        <v>.</v>
      </c>
      <c r="I108" s="585"/>
      <c r="J108" s="585"/>
      <c r="K108" s="586"/>
      <c r="L108" s="586"/>
      <c r="M108" s="589" t="str">
        <f t="shared" si="8"/>
        <v>.</v>
      </c>
      <c r="N108" s="214"/>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row>
    <row r="109" spans="1:60" ht="15" x14ac:dyDescent="0.25">
      <c r="A109" s="129"/>
      <c r="B109" s="212"/>
      <c r="C109" s="584" t="s">
        <v>718</v>
      </c>
      <c r="D109" s="1000" t="str">
        <f>IF('WK2 - Notional General Income'!D109="","",'WK2 - Notional General Income'!D109)</f>
        <v/>
      </c>
      <c r="E109" s="585"/>
      <c r="F109" s="587"/>
      <c r="G109" s="585"/>
      <c r="H109" s="588" t="str">
        <f t="shared" si="7"/>
        <v>.</v>
      </c>
      <c r="I109" s="585"/>
      <c r="J109" s="585"/>
      <c r="K109" s="586"/>
      <c r="L109" s="586"/>
      <c r="M109" s="589" t="str">
        <f t="shared" si="8"/>
        <v>.</v>
      </c>
      <c r="N109" s="214"/>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row>
    <row r="110" spans="1:60" ht="15" x14ac:dyDescent="0.25">
      <c r="A110" s="129"/>
      <c r="B110" s="212"/>
      <c r="C110" s="584" t="s">
        <v>718</v>
      </c>
      <c r="D110" s="1000" t="str">
        <f>IF('WK2 - Notional General Income'!D110="","",'WK2 - Notional General Income'!D110)</f>
        <v/>
      </c>
      <c r="E110" s="585"/>
      <c r="F110" s="587"/>
      <c r="G110" s="585"/>
      <c r="H110" s="588" t="str">
        <f t="shared" si="7"/>
        <v>.</v>
      </c>
      <c r="I110" s="585"/>
      <c r="J110" s="585"/>
      <c r="K110" s="586"/>
      <c r="L110" s="586"/>
      <c r="M110" s="589" t="str">
        <f t="shared" si="8"/>
        <v>.</v>
      </c>
      <c r="N110" s="214"/>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row>
    <row r="111" spans="1:60" ht="15" x14ac:dyDescent="0.25">
      <c r="A111" s="129"/>
      <c r="B111" s="212"/>
      <c r="C111" s="584" t="s">
        <v>718</v>
      </c>
      <c r="D111" s="1000" t="str">
        <f>IF('WK2 - Notional General Income'!D111="","",'WK2 - Notional General Income'!D111)</f>
        <v/>
      </c>
      <c r="E111" s="585"/>
      <c r="F111" s="587"/>
      <c r="G111" s="585"/>
      <c r="H111" s="588" t="str">
        <f t="shared" si="7"/>
        <v>.</v>
      </c>
      <c r="I111" s="585"/>
      <c r="J111" s="585"/>
      <c r="K111" s="586"/>
      <c r="L111" s="586"/>
      <c r="M111" s="589" t="str">
        <f t="shared" si="8"/>
        <v>.</v>
      </c>
      <c r="N111" s="214"/>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row>
    <row r="112" spans="1:60" ht="15" x14ac:dyDescent="0.25">
      <c r="A112" s="129"/>
      <c r="B112" s="212"/>
      <c r="C112" s="584" t="s">
        <v>718</v>
      </c>
      <c r="D112" s="1000" t="str">
        <f>IF('WK2 - Notional General Income'!D112="","",'WK2 - Notional General Income'!D112)</f>
        <v/>
      </c>
      <c r="E112" s="585"/>
      <c r="F112" s="587"/>
      <c r="G112" s="585"/>
      <c r="H112" s="588" t="str">
        <f t="shared" si="7"/>
        <v>.</v>
      </c>
      <c r="I112" s="585"/>
      <c r="J112" s="585"/>
      <c r="K112" s="586"/>
      <c r="L112" s="586"/>
      <c r="M112" s="589" t="str">
        <f t="shared" si="8"/>
        <v>.</v>
      </c>
      <c r="N112" s="214"/>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row>
    <row r="113" spans="1:60" ht="15" x14ac:dyDescent="0.25">
      <c r="A113" s="129"/>
      <c r="B113" s="212"/>
      <c r="C113" s="584" t="s">
        <v>718</v>
      </c>
      <c r="D113" s="1000" t="str">
        <f>IF('WK2 - Notional General Income'!D113="","",'WK2 - Notional General Income'!D113)</f>
        <v/>
      </c>
      <c r="E113" s="585"/>
      <c r="F113" s="587"/>
      <c r="G113" s="585"/>
      <c r="H113" s="588" t="str">
        <f t="shared" si="7"/>
        <v>.</v>
      </c>
      <c r="I113" s="585"/>
      <c r="J113" s="585"/>
      <c r="K113" s="586"/>
      <c r="L113" s="586"/>
      <c r="M113" s="589" t="str">
        <f t="shared" si="8"/>
        <v>.</v>
      </c>
      <c r="N113" s="214"/>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row>
    <row r="114" spans="1:60" ht="15" x14ac:dyDescent="0.25">
      <c r="A114" s="129"/>
      <c r="B114" s="212"/>
      <c r="C114" s="584" t="s">
        <v>718</v>
      </c>
      <c r="D114" s="1000" t="str">
        <f>IF('WK2 - Notional General Income'!D114="","",'WK2 - Notional General Income'!D114)</f>
        <v/>
      </c>
      <c r="E114" s="585"/>
      <c r="F114" s="587"/>
      <c r="G114" s="585"/>
      <c r="H114" s="588" t="str">
        <f t="shared" si="7"/>
        <v>.</v>
      </c>
      <c r="I114" s="585"/>
      <c r="J114" s="585"/>
      <c r="K114" s="586"/>
      <c r="L114" s="586"/>
      <c r="M114" s="589" t="str">
        <f t="shared" si="8"/>
        <v>.</v>
      </c>
      <c r="N114" s="214"/>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row>
    <row r="115" spans="1:60" ht="15" x14ac:dyDescent="0.25">
      <c r="A115" s="129"/>
      <c r="B115" s="212"/>
      <c r="C115" s="584" t="s">
        <v>718</v>
      </c>
      <c r="D115" s="1000" t="str">
        <f>IF('WK2 - Notional General Income'!D115="","",'WK2 - Notional General Income'!D115)</f>
        <v/>
      </c>
      <c r="E115" s="585"/>
      <c r="F115" s="587"/>
      <c r="G115" s="585"/>
      <c r="H115" s="588" t="str">
        <f t="shared" si="7"/>
        <v>.</v>
      </c>
      <c r="I115" s="585"/>
      <c r="J115" s="585"/>
      <c r="K115" s="586"/>
      <c r="L115" s="586"/>
      <c r="M115" s="589" t="str">
        <f t="shared" si="8"/>
        <v>.</v>
      </c>
      <c r="N115" s="214"/>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row>
    <row r="116" spans="1:60" ht="15" x14ac:dyDescent="0.25">
      <c r="A116" s="129"/>
      <c r="B116" s="212"/>
      <c r="C116" s="584" t="s">
        <v>718</v>
      </c>
      <c r="D116" s="1000" t="str">
        <f>IF('WK2 - Notional General Income'!D116="","",'WK2 - Notional General Income'!D116)</f>
        <v/>
      </c>
      <c r="E116" s="585"/>
      <c r="F116" s="587"/>
      <c r="G116" s="585"/>
      <c r="H116" s="588" t="str">
        <f t="shared" si="7"/>
        <v>.</v>
      </c>
      <c r="I116" s="585"/>
      <c r="J116" s="585"/>
      <c r="K116" s="586"/>
      <c r="L116" s="586"/>
      <c r="M116" s="589" t="str">
        <f t="shared" si="8"/>
        <v>.</v>
      </c>
      <c r="N116" s="214"/>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row>
    <row r="117" spans="1:60" ht="15" x14ac:dyDescent="0.25">
      <c r="A117" s="129"/>
      <c r="B117" s="212"/>
      <c r="C117" s="584" t="s">
        <v>718</v>
      </c>
      <c r="D117" s="1000" t="str">
        <f>IF('WK2 - Notional General Income'!D117="","",'WK2 - Notional General Income'!D117)</f>
        <v/>
      </c>
      <c r="E117" s="585"/>
      <c r="F117" s="587"/>
      <c r="G117" s="585"/>
      <c r="H117" s="588" t="str">
        <f t="shared" si="7"/>
        <v>.</v>
      </c>
      <c r="I117" s="585"/>
      <c r="J117" s="585"/>
      <c r="K117" s="586"/>
      <c r="L117" s="586"/>
      <c r="M117" s="589" t="str">
        <f t="shared" si="8"/>
        <v>.</v>
      </c>
      <c r="N117" s="214"/>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row>
    <row r="118" spans="1:60" ht="15" x14ac:dyDescent="0.25">
      <c r="A118" s="129"/>
      <c r="B118" s="212"/>
      <c r="C118" s="584" t="s">
        <v>718</v>
      </c>
      <c r="D118" s="1000" t="str">
        <f>IF('WK2 - Notional General Income'!D118="","",'WK2 - Notional General Income'!D118)</f>
        <v/>
      </c>
      <c r="E118" s="585"/>
      <c r="F118" s="587"/>
      <c r="G118" s="585"/>
      <c r="H118" s="588" t="str">
        <f t="shared" si="7"/>
        <v>.</v>
      </c>
      <c r="I118" s="585"/>
      <c r="J118" s="585"/>
      <c r="K118" s="586"/>
      <c r="L118" s="586"/>
      <c r="M118" s="589" t="str">
        <f t="shared" si="8"/>
        <v>.</v>
      </c>
      <c r="N118" s="214"/>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row>
    <row r="119" spans="1:60" ht="15" x14ac:dyDescent="0.25">
      <c r="A119" s="129"/>
      <c r="B119" s="212"/>
      <c r="C119" s="584" t="s">
        <v>718</v>
      </c>
      <c r="D119" s="1000" t="str">
        <f>IF('WK2 - Notional General Income'!D119="","",'WK2 - Notional General Income'!D119)</f>
        <v/>
      </c>
      <c r="E119" s="585"/>
      <c r="F119" s="587"/>
      <c r="G119" s="585"/>
      <c r="H119" s="588" t="str">
        <f t="shared" si="7"/>
        <v>.</v>
      </c>
      <c r="I119" s="585"/>
      <c r="J119" s="585"/>
      <c r="K119" s="586"/>
      <c r="L119" s="586"/>
      <c r="M119" s="589" t="str">
        <f t="shared" si="8"/>
        <v>.</v>
      </c>
      <c r="N119" s="214"/>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row>
    <row r="120" spans="1:60" ht="15" x14ac:dyDescent="0.25">
      <c r="A120" s="129"/>
      <c r="B120" s="212"/>
      <c r="C120" s="584" t="s">
        <v>718</v>
      </c>
      <c r="D120" s="1000" t="str">
        <f>IF('WK2 - Notional General Income'!D120="","",'WK2 - Notional General Income'!D120)</f>
        <v/>
      </c>
      <c r="E120" s="585"/>
      <c r="F120" s="587"/>
      <c r="G120" s="585"/>
      <c r="H120" s="588" t="str">
        <f t="shared" si="7"/>
        <v>.</v>
      </c>
      <c r="I120" s="585"/>
      <c r="J120" s="585"/>
      <c r="K120" s="586"/>
      <c r="L120" s="586"/>
      <c r="M120" s="589" t="str">
        <f t="shared" si="8"/>
        <v>.</v>
      </c>
      <c r="N120" s="214"/>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row>
    <row r="121" spans="1:60" ht="15" x14ac:dyDescent="0.25">
      <c r="A121" s="129"/>
      <c r="B121" s="212"/>
      <c r="C121" s="584" t="s">
        <v>718</v>
      </c>
      <c r="D121" s="1000" t="str">
        <f>IF('WK2 - Notional General Income'!D121="","",'WK2 - Notional General Income'!D121)</f>
        <v/>
      </c>
      <c r="E121" s="585"/>
      <c r="F121" s="587"/>
      <c r="G121" s="585"/>
      <c r="H121" s="588" t="str">
        <f t="shared" si="7"/>
        <v>.</v>
      </c>
      <c r="I121" s="585"/>
      <c r="J121" s="585"/>
      <c r="K121" s="586"/>
      <c r="L121" s="586"/>
      <c r="M121" s="589" t="str">
        <f t="shared" si="8"/>
        <v>.</v>
      </c>
      <c r="N121" s="214"/>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row>
    <row r="122" spans="1:60" ht="15" x14ac:dyDescent="0.25">
      <c r="A122" s="129"/>
      <c r="B122" s="212"/>
      <c r="C122" s="584" t="s">
        <v>718</v>
      </c>
      <c r="D122" s="1000" t="str">
        <f>IF('WK2 - Notional General Income'!D122="","",'WK2 - Notional General Income'!D122)</f>
        <v/>
      </c>
      <c r="E122" s="585"/>
      <c r="F122" s="587"/>
      <c r="G122" s="585"/>
      <c r="H122" s="588" t="str">
        <f t="shared" si="7"/>
        <v>.</v>
      </c>
      <c r="I122" s="585"/>
      <c r="J122" s="585"/>
      <c r="K122" s="586"/>
      <c r="L122" s="586"/>
      <c r="M122" s="589" t="str">
        <f t="shared" si="8"/>
        <v>.</v>
      </c>
      <c r="N122" s="214"/>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row>
    <row r="123" spans="1:60" ht="15" x14ac:dyDescent="0.25">
      <c r="A123" s="129"/>
      <c r="B123" s="212"/>
      <c r="C123" s="584" t="s">
        <v>718</v>
      </c>
      <c r="D123" s="1000" t="str">
        <f>IF('WK2 - Notional General Income'!D123="","",'WK2 - Notional General Income'!D123)</f>
        <v/>
      </c>
      <c r="E123" s="585"/>
      <c r="F123" s="587"/>
      <c r="G123" s="585"/>
      <c r="H123" s="588" t="str">
        <f t="shared" si="7"/>
        <v>.</v>
      </c>
      <c r="I123" s="585"/>
      <c r="J123" s="585"/>
      <c r="K123" s="586"/>
      <c r="L123" s="586"/>
      <c r="M123" s="589" t="str">
        <f t="shared" si="8"/>
        <v>.</v>
      </c>
      <c r="N123" s="214"/>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row>
    <row r="124" spans="1:60" ht="15" x14ac:dyDescent="0.25">
      <c r="A124" s="129"/>
      <c r="B124" s="212"/>
      <c r="C124" s="584" t="s">
        <v>722</v>
      </c>
      <c r="D124" s="1000" t="str">
        <f>IF('WK2 - Notional General Income'!D124="","",'WK2 - Notional General Income'!D124)</f>
        <v>Cachments - Farmland</v>
      </c>
      <c r="E124" s="585">
        <v>313</v>
      </c>
      <c r="F124" s="1260">
        <v>6.7749999999999998E-3</v>
      </c>
      <c r="G124" s="585"/>
      <c r="H124" s="588" t="str">
        <f t="shared" si="7"/>
        <v>.</v>
      </c>
      <c r="I124" s="585"/>
      <c r="J124" s="585"/>
      <c r="K124" s="586">
        <v>508902500</v>
      </c>
      <c r="L124" s="586"/>
      <c r="M124" s="589">
        <f t="shared" si="8"/>
        <v>34478.144374999996</v>
      </c>
      <c r="N124" s="214"/>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row>
    <row r="125" spans="1:60" ht="15" x14ac:dyDescent="0.25">
      <c r="A125" s="129"/>
      <c r="B125" s="212"/>
      <c r="C125" s="584" t="s">
        <v>722</v>
      </c>
      <c r="D125" s="1000" t="str">
        <f>IF('WK2 - Notional General Income'!D125="","",'WK2 - Notional General Income'!D125)</f>
        <v/>
      </c>
      <c r="E125" s="585"/>
      <c r="F125" s="587"/>
      <c r="G125" s="585"/>
      <c r="H125" s="588" t="str">
        <f t="shared" si="7"/>
        <v>.</v>
      </c>
      <c r="I125" s="585"/>
      <c r="J125" s="585"/>
      <c r="K125" s="586"/>
      <c r="L125" s="586"/>
      <c r="M125" s="589" t="str">
        <f t="shared" si="8"/>
        <v>.</v>
      </c>
      <c r="N125" s="214"/>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row>
    <row r="126" spans="1:60" ht="15" x14ac:dyDescent="0.25">
      <c r="A126" s="129"/>
      <c r="B126" s="212"/>
      <c r="C126" s="584" t="s">
        <v>722</v>
      </c>
      <c r="D126" s="1000" t="str">
        <f>IF('WK2 - Notional General Income'!D126="","",'WK2 - Notional General Income'!D126)</f>
        <v/>
      </c>
      <c r="E126" s="585"/>
      <c r="F126" s="587"/>
      <c r="G126" s="585"/>
      <c r="H126" s="588" t="str">
        <f t="shared" ref="H126:H143" si="9">IF(G126="",".",E126*G126/M126)</f>
        <v>.</v>
      </c>
      <c r="I126" s="585"/>
      <c r="J126" s="585"/>
      <c r="K126" s="586"/>
      <c r="L126" s="586"/>
      <c r="M126" s="589" t="str">
        <f t="shared" ref="M126:M143" si="10">IF(E126="",".",IF(G126&lt;&gt;"",G126*E126+K126*(F126/100),(K126-L126)*(F126/100)+I126*J126))</f>
        <v>.</v>
      </c>
      <c r="N126" s="214"/>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row>
    <row r="127" spans="1:60" ht="15" x14ac:dyDescent="0.25">
      <c r="A127" s="129"/>
      <c r="B127" s="212"/>
      <c r="C127" s="584" t="s">
        <v>722</v>
      </c>
      <c r="D127" s="1000" t="str">
        <f>IF('WK2 - Notional General Income'!D127="","",'WK2 - Notional General Income'!D127)</f>
        <v/>
      </c>
      <c r="E127" s="585"/>
      <c r="F127" s="587"/>
      <c r="G127" s="585"/>
      <c r="H127" s="588" t="str">
        <f t="shared" si="9"/>
        <v>.</v>
      </c>
      <c r="I127" s="585"/>
      <c r="J127" s="585"/>
      <c r="K127" s="586"/>
      <c r="L127" s="586"/>
      <c r="M127" s="589" t="str">
        <f t="shared" si="10"/>
        <v>.</v>
      </c>
      <c r="N127" s="214"/>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row>
    <row r="128" spans="1:60" ht="15" x14ac:dyDescent="0.25">
      <c r="A128" s="129"/>
      <c r="B128" s="212"/>
      <c r="C128" s="584" t="s">
        <v>722</v>
      </c>
      <c r="D128" s="1000" t="str">
        <f>IF('WK2 - Notional General Income'!D128="","",'WK2 - Notional General Income'!D128)</f>
        <v/>
      </c>
      <c r="E128" s="585"/>
      <c r="F128" s="587"/>
      <c r="G128" s="585"/>
      <c r="H128" s="588" t="str">
        <f t="shared" si="9"/>
        <v>.</v>
      </c>
      <c r="I128" s="585"/>
      <c r="J128" s="585"/>
      <c r="K128" s="586"/>
      <c r="L128" s="586"/>
      <c r="M128" s="589" t="str">
        <f t="shared" si="10"/>
        <v>.</v>
      </c>
      <c r="N128" s="214"/>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row>
    <row r="129" spans="1:60" ht="15" x14ac:dyDescent="0.25">
      <c r="A129" s="129"/>
      <c r="B129" s="212"/>
      <c r="C129" s="584" t="s">
        <v>722</v>
      </c>
      <c r="D129" s="1000" t="str">
        <f>IF('WK2 - Notional General Income'!D129="","",'WK2 - Notional General Income'!D129)</f>
        <v/>
      </c>
      <c r="E129" s="585"/>
      <c r="F129" s="587"/>
      <c r="G129" s="585"/>
      <c r="H129" s="588" t="str">
        <f t="shared" si="9"/>
        <v>.</v>
      </c>
      <c r="I129" s="585"/>
      <c r="J129" s="585"/>
      <c r="K129" s="586"/>
      <c r="L129" s="586"/>
      <c r="M129" s="589" t="str">
        <f t="shared" si="10"/>
        <v>.</v>
      </c>
      <c r="N129" s="214"/>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row>
    <row r="130" spans="1:60" ht="15" x14ac:dyDescent="0.25">
      <c r="A130" s="129"/>
      <c r="B130" s="212"/>
      <c r="C130" s="584" t="s">
        <v>722</v>
      </c>
      <c r="D130" s="1000" t="str">
        <f>IF('WK2 - Notional General Income'!D130="","",'WK2 - Notional General Income'!D130)</f>
        <v/>
      </c>
      <c r="E130" s="585"/>
      <c r="F130" s="587"/>
      <c r="G130" s="585"/>
      <c r="H130" s="588" t="str">
        <f t="shared" si="9"/>
        <v>.</v>
      </c>
      <c r="I130" s="585"/>
      <c r="J130" s="585"/>
      <c r="K130" s="586"/>
      <c r="L130" s="586"/>
      <c r="M130" s="589" t="str">
        <f t="shared" si="10"/>
        <v>.</v>
      </c>
      <c r="N130" s="214"/>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row>
    <row r="131" spans="1:60" ht="15" x14ac:dyDescent="0.25">
      <c r="A131" s="129"/>
      <c r="B131" s="212"/>
      <c r="C131" s="584" t="s">
        <v>722</v>
      </c>
      <c r="D131" s="1000" t="str">
        <f>IF('WK2 - Notional General Income'!D131="","",'WK2 - Notional General Income'!D131)</f>
        <v/>
      </c>
      <c r="E131" s="585"/>
      <c r="F131" s="587"/>
      <c r="G131" s="585"/>
      <c r="H131" s="588" t="str">
        <f t="shared" si="9"/>
        <v>.</v>
      </c>
      <c r="I131" s="585"/>
      <c r="J131" s="585"/>
      <c r="K131" s="586"/>
      <c r="L131" s="586"/>
      <c r="M131" s="589" t="str">
        <f t="shared" si="10"/>
        <v>.</v>
      </c>
      <c r="N131" s="214"/>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row>
    <row r="132" spans="1:60" ht="15" x14ac:dyDescent="0.25">
      <c r="A132" s="129"/>
      <c r="B132" s="212"/>
      <c r="C132" s="584" t="s">
        <v>722</v>
      </c>
      <c r="D132" s="1000" t="str">
        <f>IF('WK2 - Notional General Income'!D132="","",'WK2 - Notional General Income'!D132)</f>
        <v/>
      </c>
      <c r="E132" s="585"/>
      <c r="F132" s="587"/>
      <c r="G132" s="585"/>
      <c r="H132" s="588" t="str">
        <f t="shared" si="9"/>
        <v>.</v>
      </c>
      <c r="I132" s="585"/>
      <c r="J132" s="585"/>
      <c r="K132" s="586"/>
      <c r="L132" s="586"/>
      <c r="M132" s="589" t="str">
        <f t="shared" si="10"/>
        <v>.</v>
      </c>
      <c r="N132" s="214"/>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row>
    <row r="133" spans="1:60" ht="15" x14ac:dyDescent="0.25">
      <c r="A133" s="129"/>
      <c r="B133" s="212"/>
      <c r="C133" s="584" t="s">
        <v>722</v>
      </c>
      <c r="D133" s="1000" t="str">
        <f>IF('WK2 - Notional General Income'!D133="","",'WK2 - Notional General Income'!D133)</f>
        <v/>
      </c>
      <c r="E133" s="585"/>
      <c r="F133" s="587"/>
      <c r="G133" s="585"/>
      <c r="H133" s="588" t="str">
        <f t="shared" si="9"/>
        <v>.</v>
      </c>
      <c r="I133" s="585"/>
      <c r="J133" s="585"/>
      <c r="K133" s="586"/>
      <c r="L133" s="586"/>
      <c r="M133" s="589" t="str">
        <f t="shared" si="10"/>
        <v>.</v>
      </c>
      <c r="N133" s="214"/>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row>
    <row r="134" spans="1:60" ht="15" x14ac:dyDescent="0.25">
      <c r="A134" s="129"/>
      <c r="B134" s="212"/>
      <c r="C134" s="584" t="s">
        <v>724</v>
      </c>
      <c r="D134" s="1000" t="str">
        <f>IF('WK2 - Notional General Income'!D134="","",'WK2 - Notional General Income'!D134)</f>
        <v/>
      </c>
      <c r="E134" s="585"/>
      <c r="F134" s="587"/>
      <c r="G134" s="585"/>
      <c r="H134" s="588" t="str">
        <f t="shared" si="9"/>
        <v>.</v>
      </c>
      <c r="I134" s="585"/>
      <c r="J134" s="585"/>
      <c r="K134" s="586"/>
      <c r="L134" s="586"/>
      <c r="M134" s="589" t="str">
        <f t="shared" si="10"/>
        <v>.</v>
      </c>
      <c r="N134" s="214"/>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row>
    <row r="135" spans="1:60" ht="15" x14ac:dyDescent="0.25">
      <c r="A135" s="129"/>
      <c r="B135" s="212"/>
      <c r="C135" s="584" t="s">
        <v>724</v>
      </c>
      <c r="D135" s="1000" t="str">
        <f>IF('WK2 - Notional General Income'!D135="","",'WK2 - Notional General Income'!D135)</f>
        <v/>
      </c>
      <c r="E135" s="585"/>
      <c r="F135" s="587"/>
      <c r="G135" s="585"/>
      <c r="H135" s="588" t="str">
        <f t="shared" si="9"/>
        <v>.</v>
      </c>
      <c r="I135" s="585"/>
      <c r="J135" s="585"/>
      <c r="K135" s="586"/>
      <c r="L135" s="586"/>
      <c r="M135" s="589" t="str">
        <f t="shared" si="10"/>
        <v>.</v>
      </c>
      <c r="N135" s="214"/>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row>
    <row r="136" spans="1:60" ht="15" x14ac:dyDescent="0.25">
      <c r="A136" s="129"/>
      <c r="B136" s="212"/>
      <c r="C136" s="584" t="s">
        <v>724</v>
      </c>
      <c r="D136" s="1000" t="str">
        <f>IF('WK2 - Notional General Income'!D136="","",'WK2 - Notional General Income'!D136)</f>
        <v/>
      </c>
      <c r="E136" s="585"/>
      <c r="F136" s="587"/>
      <c r="G136" s="585"/>
      <c r="H136" s="588" t="str">
        <f t="shared" si="9"/>
        <v>.</v>
      </c>
      <c r="I136" s="585"/>
      <c r="J136" s="585"/>
      <c r="K136" s="586"/>
      <c r="L136" s="586"/>
      <c r="M136" s="589" t="str">
        <f t="shared" si="10"/>
        <v>.</v>
      </c>
      <c r="N136" s="214"/>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row>
    <row r="137" spans="1:60" ht="15" x14ac:dyDescent="0.25">
      <c r="A137" s="129"/>
      <c r="B137" s="212"/>
      <c r="C137" s="584" t="s">
        <v>724</v>
      </c>
      <c r="D137" s="1000" t="str">
        <f>IF('WK2 - Notional General Income'!D137="","",'WK2 - Notional General Income'!D137)</f>
        <v/>
      </c>
      <c r="E137" s="585"/>
      <c r="F137" s="587"/>
      <c r="G137" s="585"/>
      <c r="H137" s="588" t="str">
        <f t="shared" si="9"/>
        <v>.</v>
      </c>
      <c r="I137" s="585"/>
      <c r="J137" s="585"/>
      <c r="K137" s="586"/>
      <c r="L137" s="586"/>
      <c r="M137" s="589" t="str">
        <f t="shared" si="10"/>
        <v>.</v>
      </c>
      <c r="N137" s="214"/>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row>
    <row r="138" spans="1:60" ht="15" x14ac:dyDescent="0.25">
      <c r="A138" s="129"/>
      <c r="B138" s="212"/>
      <c r="C138" s="584" t="s">
        <v>724</v>
      </c>
      <c r="D138" s="1000" t="str">
        <f>IF('WK2 - Notional General Income'!D138="","",'WK2 - Notional General Income'!D138)</f>
        <v/>
      </c>
      <c r="E138" s="585"/>
      <c r="F138" s="587"/>
      <c r="G138" s="585"/>
      <c r="H138" s="588" t="str">
        <f t="shared" si="9"/>
        <v>.</v>
      </c>
      <c r="I138" s="585"/>
      <c r="J138" s="585"/>
      <c r="K138" s="586"/>
      <c r="L138" s="586"/>
      <c r="M138" s="589" t="str">
        <f t="shared" si="10"/>
        <v>.</v>
      </c>
      <c r="N138" s="214"/>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row>
    <row r="139" spans="1:60" ht="15" x14ac:dyDescent="0.25">
      <c r="A139" s="129"/>
      <c r="B139" s="212"/>
      <c r="C139" s="584" t="s">
        <v>724</v>
      </c>
      <c r="D139" s="1000" t="str">
        <f>IF('WK2 - Notional General Income'!D139="","",'WK2 - Notional General Income'!D139)</f>
        <v/>
      </c>
      <c r="E139" s="585"/>
      <c r="F139" s="587"/>
      <c r="G139" s="585"/>
      <c r="H139" s="588" t="str">
        <f t="shared" si="9"/>
        <v>.</v>
      </c>
      <c r="I139" s="585"/>
      <c r="J139" s="585"/>
      <c r="K139" s="586"/>
      <c r="L139" s="586"/>
      <c r="M139" s="589" t="str">
        <f t="shared" si="10"/>
        <v>.</v>
      </c>
      <c r="N139" s="214"/>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row>
    <row r="140" spans="1:60" ht="15" x14ac:dyDescent="0.25">
      <c r="A140" s="129"/>
      <c r="B140" s="212"/>
      <c r="C140" s="584" t="s">
        <v>724</v>
      </c>
      <c r="D140" s="1000" t="str">
        <f>IF('WK2 - Notional General Income'!D140="","",'WK2 - Notional General Income'!D140)</f>
        <v/>
      </c>
      <c r="E140" s="585"/>
      <c r="F140" s="587"/>
      <c r="G140" s="585"/>
      <c r="H140" s="588" t="str">
        <f t="shared" si="9"/>
        <v>.</v>
      </c>
      <c r="I140" s="585"/>
      <c r="J140" s="585"/>
      <c r="K140" s="586"/>
      <c r="L140" s="586"/>
      <c r="M140" s="589" t="str">
        <f t="shared" si="10"/>
        <v>.</v>
      </c>
      <c r="N140" s="214"/>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row>
    <row r="141" spans="1:60" ht="15" x14ac:dyDescent="0.25">
      <c r="A141" s="129"/>
      <c r="B141" s="212"/>
      <c r="C141" s="584" t="s">
        <v>724</v>
      </c>
      <c r="D141" s="1000" t="str">
        <f>IF('WK2 - Notional General Income'!D141="","",'WK2 - Notional General Income'!D141)</f>
        <v/>
      </c>
      <c r="E141" s="585"/>
      <c r="F141" s="587"/>
      <c r="G141" s="585"/>
      <c r="H141" s="588" t="str">
        <f t="shared" si="9"/>
        <v>.</v>
      </c>
      <c r="I141" s="585"/>
      <c r="J141" s="585"/>
      <c r="K141" s="586"/>
      <c r="L141" s="586"/>
      <c r="M141" s="589" t="str">
        <f t="shared" si="10"/>
        <v>.</v>
      </c>
      <c r="N141" s="214"/>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row>
    <row r="142" spans="1:60" ht="15" x14ac:dyDescent="0.25">
      <c r="A142" s="129"/>
      <c r="B142" s="212"/>
      <c r="C142" s="584" t="s">
        <v>724</v>
      </c>
      <c r="D142" s="1000" t="str">
        <f>IF('WK2 - Notional General Income'!D142="","",'WK2 - Notional General Income'!D142)</f>
        <v/>
      </c>
      <c r="E142" s="585"/>
      <c r="F142" s="587"/>
      <c r="G142" s="585"/>
      <c r="H142" s="588" t="str">
        <f t="shared" si="9"/>
        <v>.</v>
      </c>
      <c r="I142" s="585"/>
      <c r="J142" s="585"/>
      <c r="K142" s="586"/>
      <c r="L142" s="586"/>
      <c r="M142" s="589" t="str">
        <f t="shared" si="10"/>
        <v>.</v>
      </c>
      <c r="N142" s="214"/>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row>
    <row r="143" spans="1:60" ht="15" x14ac:dyDescent="0.25">
      <c r="A143" s="129"/>
      <c r="B143" s="212"/>
      <c r="C143" s="592" t="s">
        <v>724</v>
      </c>
      <c r="D143" s="1000" t="str">
        <f>IF('WK2 - Notional General Income'!D143="","",'WK2 - Notional General Income'!D143)</f>
        <v/>
      </c>
      <c r="E143" s="593"/>
      <c r="F143" s="595"/>
      <c r="G143" s="593"/>
      <c r="H143" s="596" t="str">
        <f t="shared" si="9"/>
        <v>.</v>
      </c>
      <c r="I143" s="593"/>
      <c r="J143" s="593"/>
      <c r="K143" s="594"/>
      <c r="L143" s="594"/>
      <c r="M143" s="597" t="str">
        <f t="shared" si="10"/>
        <v>.</v>
      </c>
      <c r="N143" s="214"/>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row>
    <row r="144" spans="1:60" ht="15" x14ac:dyDescent="0.25">
      <c r="A144" s="129"/>
      <c r="B144" s="212"/>
      <c r="C144" s="3"/>
      <c r="D144" s="3"/>
      <c r="E144" s="3"/>
      <c r="F144" s="3"/>
      <c r="G144" s="2"/>
      <c r="H144" s="3"/>
      <c r="I144" s="3"/>
      <c r="J144" s="3"/>
      <c r="K144" s="123"/>
      <c r="L144" s="124" t="s">
        <v>728</v>
      </c>
      <c r="M144" s="453">
        <f>SUM(M94:M143)</f>
        <v>3917970.9972531199</v>
      </c>
      <c r="N144" s="214"/>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row>
    <row r="145" spans="1:60" ht="15" x14ac:dyDescent="0.25">
      <c r="A145" s="129"/>
      <c r="B145" s="240"/>
      <c r="C145" s="83"/>
      <c r="D145" s="83"/>
      <c r="E145" s="93"/>
      <c r="F145" s="93"/>
      <c r="G145" s="94"/>
      <c r="H145" s="93"/>
      <c r="I145" s="93"/>
      <c r="J145" s="93"/>
      <c r="K145" s="93"/>
      <c r="L145" s="95"/>
      <c r="M145" s="82"/>
      <c r="N145" s="1157"/>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row>
    <row r="146" spans="1:60" ht="17.399999999999999" x14ac:dyDescent="0.3">
      <c r="A146" s="129"/>
      <c r="B146" s="242"/>
      <c r="C146" s="1161"/>
      <c r="D146" s="1161"/>
      <c r="E146" s="815"/>
      <c r="F146" s="815"/>
      <c r="G146" s="815"/>
      <c r="H146" s="815"/>
      <c r="I146" s="815"/>
      <c r="J146" s="815"/>
      <c r="K146" s="815"/>
      <c r="L146" s="1162"/>
      <c r="M146" s="1162"/>
      <c r="N146" s="122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row>
    <row r="147" spans="1:60" ht="25.5" customHeight="1" x14ac:dyDescent="0.4">
      <c r="A147" s="129"/>
      <c r="B147" s="243"/>
      <c r="C147" s="102"/>
      <c r="E147" s="86"/>
      <c r="F147" s="86"/>
      <c r="G147" s="86"/>
      <c r="H147" s="85" t="s">
        <v>739</v>
      </c>
      <c r="I147" s="86"/>
      <c r="J147" s="86"/>
      <c r="K147" s="86"/>
      <c r="L147" s="86"/>
      <c r="M147" s="87"/>
      <c r="N147" s="1155"/>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row>
    <row r="148" spans="1:60" ht="15" x14ac:dyDescent="0.25">
      <c r="A148" s="129"/>
      <c r="B148" s="243"/>
      <c r="C148" s="104"/>
      <c r="D148" s="104"/>
      <c r="E148" s="81"/>
      <c r="F148" s="81"/>
      <c r="G148" s="81"/>
      <c r="H148" s="81"/>
      <c r="I148" s="81"/>
      <c r="J148" s="81"/>
      <c r="K148" s="3"/>
      <c r="L148" s="88"/>
      <c r="M148" s="88"/>
      <c r="N148" s="1156"/>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row>
    <row r="149" spans="1:60" ht="36" x14ac:dyDescent="0.25">
      <c r="A149" s="129"/>
      <c r="B149" s="238"/>
      <c r="C149" s="125" t="s">
        <v>740</v>
      </c>
      <c r="D149" s="126"/>
      <c r="E149" s="126"/>
      <c r="F149" s="126"/>
      <c r="G149" s="126"/>
      <c r="H149" s="126"/>
      <c r="I149" s="126"/>
      <c r="J149" s="127"/>
      <c r="K149" s="1215" t="s">
        <v>741</v>
      </c>
      <c r="L149" s="1215" t="s">
        <v>742</v>
      </c>
      <c r="M149" s="1216" t="s">
        <v>754</v>
      </c>
      <c r="N149" s="214"/>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row>
    <row r="150" spans="1:60" ht="15" x14ac:dyDescent="0.25">
      <c r="A150" s="129"/>
      <c r="B150" s="212"/>
      <c r="C150" s="1227"/>
      <c r="D150" s="729"/>
      <c r="E150" s="729"/>
      <c r="F150" s="729"/>
      <c r="G150" s="729"/>
      <c r="H150" s="729"/>
      <c r="I150" s="729"/>
      <c r="J150" s="1159"/>
      <c r="K150" s="1230"/>
      <c r="L150" s="1228"/>
      <c r="M150" s="1163" t="str">
        <f t="shared" ref="M150:M157" si="11">IF(C150="",".",K150*L150)</f>
        <v>.</v>
      </c>
      <c r="N150" s="214"/>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row>
    <row r="151" spans="1:60" ht="15" x14ac:dyDescent="0.25">
      <c r="A151" s="129"/>
      <c r="B151" s="212"/>
      <c r="C151" s="598"/>
      <c r="D151" s="599"/>
      <c r="E151" s="599"/>
      <c r="F151" s="599"/>
      <c r="G151" s="599"/>
      <c r="H151" s="599"/>
      <c r="I151" s="599"/>
      <c r="J151" s="600"/>
      <c r="K151" s="601"/>
      <c r="L151" s="602"/>
      <c r="M151" s="603" t="str">
        <f t="shared" si="11"/>
        <v>.</v>
      </c>
      <c r="N151" s="214"/>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row>
    <row r="152" spans="1:60" ht="15" x14ac:dyDescent="0.25">
      <c r="A152" s="129"/>
      <c r="B152" s="212"/>
      <c r="C152" s="598"/>
      <c r="D152" s="599"/>
      <c r="E152" s="599"/>
      <c r="F152" s="599"/>
      <c r="G152" s="599"/>
      <c r="H152" s="599"/>
      <c r="I152" s="599"/>
      <c r="J152" s="600"/>
      <c r="K152" s="601"/>
      <c r="L152" s="602"/>
      <c r="M152" s="603" t="str">
        <f t="shared" si="11"/>
        <v>.</v>
      </c>
      <c r="N152" s="214"/>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row>
    <row r="153" spans="1:60" ht="15" x14ac:dyDescent="0.25">
      <c r="A153" s="129"/>
      <c r="B153" s="212"/>
      <c r="C153" s="598"/>
      <c r="D153" s="599"/>
      <c r="E153" s="599"/>
      <c r="F153" s="599"/>
      <c r="G153" s="599"/>
      <c r="H153" s="599"/>
      <c r="I153" s="599"/>
      <c r="J153" s="600"/>
      <c r="K153" s="601"/>
      <c r="L153" s="602"/>
      <c r="M153" s="603" t="str">
        <f t="shared" si="11"/>
        <v>.</v>
      </c>
      <c r="N153" s="214"/>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row>
    <row r="154" spans="1:60" ht="15" x14ac:dyDescent="0.25">
      <c r="A154" s="129"/>
      <c r="B154" s="212"/>
      <c r="C154" s="598"/>
      <c r="D154" s="599"/>
      <c r="E154" s="599"/>
      <c r="F154" s="599"/>
      <c r="G154" s="599"/>
      <c r="H154" s="599"/>
      <c r="I154" s="599"/>
      <c r="J154" s="600"/>
      <c r="K154" s="601"/>
      <c r="L154" s="602"/>
      <c r="M154" s="603" t="str">
        <f t="shared" si="11"/>
        <v>.</v>
      </c>
      <c r="N154" s="214"/>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row>
    <row r="155" spans="1:60" ht="15" x14ac:dyDescent="0.25">
      <c r="A155" s="129"/>
      <c r="B155" s="212"/>
      <c r="C155" s="598"/>
      <c r="D155" s="599"/>
      <c r="E155" s="599"/>
      <c r="F155" s="599"/>
      <c r="G155" s="599"/>
      <c r="H155" s="599"/>
      <c r="I155" s="599"/>
      <c r="J155" s="600"/>
      <c r="K155" s="601"/>
      <c r="L155" s="602"/>
      <c r="M155" s="603" t="str">
        <f t="shared" si="11"/>
        <v>.</v>
      </c>
      <c r="N155" s="214"/>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row>
    <row r="156" spans="1:60" ht="15" x14ac:dyDescent="0.25">
      <c r="A156" s="129"/>
      <c r="B156" s="212"/>
      <c r="C156" s="598"/>
      <c r="D156" s="599"/>
      <c r="E156" s="599"/>
      <c r="F156" s="599"/>
      <c r="G156" s="599"/>
      <c r="H156" s="599"/>
      <c r="I156" s="599"/>
      <c r="J156" s="600"/>
      <c r="K156" s="601"/>
      <c r="L156" s="602"/>
      <c r="M156" s="603" t="str">
        <f t="shared" si="11"/>
        <v>.</v>
      </c>
      <c r="N156" s="214"/>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row>
    <row r="157" spans="1:60" ht="15" x14ac:dyDescent="0.25">
      <c r="A157" s="129"/>
      <c r="B157" s="212"/>
      <c r="C157" s="604"/>
      <c r="D157" s="605"/>
      <c r="E157" s="605"/>
      <c r="F157" s="605"/>
      <c r="G157" s="605"/>
      <c r="H157" s="605"/>
      <c r="I157" s="605"/>
      <c r="J157" s="606"/>
      <c r="K157" s="607"/>
      <c r="L157" s="608"/>
      <c r="M157" s="609" t="str">
        <f t="shared" si="11"/>
        <v>.</v>
      </c>
      <c r="N157" s="214"/>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row>
    <row r="158" spans="1:60" ht="15" x14ac:dyDescent="0.25">
      <c r="A158" s="129"/>
      <c r="B158" s="212"/>
      <c r="C158" s="112"/>
      <c r="D158" s="112"/>
      <c r="E158" s="3"/>
      <c r="F158" s="3"/>
      <c r="G158" s="2"/>
      <c r="H158" s="3"/>
      <c r="I158" s="3"/>
      <c r="J158" s="3"/>
      <c r="K158" s="124"/>
      <c r="L158" s="124" t="s">
        <v>728</v>
      </c>
      <c r="M158" s="113">
        <f>SUM(M150:M157)</f>
        <v>0</v>
      </c>
      <c r="N158" s="214"/>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row>
    <row r="159" spans="1:60" ht="15" x14ac:dyDescent="0.25">
      <c r="A159" s="129"/>
      <c r="B159" s="212"/>
      <c r="C159" s="112"/>
      <c r="D159" s="112"/>
      <c r="E159" s="3"/>
      <c r="F159" s="3"/>
      <c r="G159" s="2"/>
      <c r="H159" s="3"/>
      <c r="I159" s="3"/>
      <c r="J159" s="3"/>
      <c r="K159" s="3"/>
      <c r="L159" s="123"/>
      <c r="M159" s="124"/>
      <c r="N159" s="244"/>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row>
    <row r="160" spans="1:60" ht="15" x14ac:dyDescent="0.25">
      <c r="A160" s="129"/>
      <c r="B160" s="212"/>
      <c r="C160" s="3"/>
      <c r="D160" s="3"/>
      <c r="E160" s="3"/>
      <c r="F160" s="3"/>
      <c r="G160" s="2"/>
      <c r="H160" s="3"/>
      <c r="I160" s="3"/>
      <c r="J160" s="3"/>
      <c r="K160" s="3"/>
      <c r="L160" s="123"/>
      <c r="M160" s="124"/>
      <c r="N160" s="244"/>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row>
    <row r="161" spans="1:60" ht="15" x14ac:dyDescent="0.25">
      <c r="A161" s="129"/>
      <c r="B161" s="212"/>
      <c r="C161" s="3"/>
      <c r="D161" s="3"/>
      <c r="E161" s="3"/>
      <c r="F161" s="3"/>
      <c r="G161" s="111" t="s">
        <v>755</v>
      </c>
      <c r="H161" s="3"/>
      <c r="I161" s="2"/>
      <c r="J161" s="3"/>
      <c r="K161" s="123"/>
      <c r="L161" s="3"/>
      <c r="M161" s="113">
        <f>M88+M144+M158</f>
        <v>82340687.329162136</v>
      </c>
      <c r="N161" s="214"/>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row>
    <row r="162" spans="1:60" ht="15" x14ac:dyDescent="0.25">
      <c r="A162" s="129"/>
      <c r="B162" s="212"/>
      <c r="C162" s="112"/>
      <c r="D162" s="112"/>
      <c r="E162" s="3"/>
      <c r="F162" s="3"/>
      <c r="G162" s="2"/>
      <c r="H162" s="3"/>
      <c r="I162" s="3"/>
      <c r="J162" s="3"/>
      <c r="K162" s="3"/>
      <c r="L162" s="123"/>
      <c r="M162" s="124"/>
      <c r="N162" s="244"/>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row>
    <row r="163" spans="1:60" ht="15" x14ac:dyDescent="0.25">
      <c r="A163" s="129"/>
      <c r="B163" s="212"/>
      <c r="C163" s="3"/>
      <c r="D163" s="3"/>
      <c r="E163" s="3"/>
      <c r="F163" s="3"/>
      <c r="G163" s="2" t="s">
        <v>756</v>
      </c>
      <c r="H163" s="2"/>
      <c r="I163" s="3"/>
      <c r="J163" s="3"/>
      <c r="K163" s="828"/>
      <c r="L163" s="3"/>
      <c r="M163" s="113">
        <f>-'WK1 - Identification'!K46</f>
        <v>0</v>
      </c>
      <c r="N163" s="214"/>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row>
    <row r="164" spans="1:60" ht="15" x14ac:dyDescent="0.25">
      <c r="A164" s="129"/>
      <c r="B164" s="212"/>
      <c r="C164" s="3"/>
      <c r="D164" s="3"/>
      <c r="E164" s="3"/>
      <c r="F164" s="3"/>
      <c r="G164" s="2"/>
      <c r="H164" s="3"/>
      <c r="I164" s="3"/>
      <c r="J164" s="3"/>
      <c r="K164" s="123"/>
      <c r="L164" s="132"/>
      <c r="M164" s="827"/>
      <c r="N164" s="214"/>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row>
    <row r="165" spans="1:60" ht="15" x14ac:dyDescent="0.25">
      <c r="A165" s="129"/>
      <c r="B165" s="212"/>
      <c r="C165" s="3"/>
      <c r="D165" s="3"/>
      <c r="E165" s="3"/>
      <c r="F165" s="3"/>
      <c r="G165" s="2" t="s">
        <v>757</v>
      </c>
      <c r="H165" s="3"/>
      <c r="I165" s="3"/>
      <c r="J165" s="3"/>
      <c r="K165" s="123"/>
      <c r="L165" s="3"/>
      <c r="M165" s="830">
        <f>M161+M163</f>
        <v>82340687.329162136</v>
      </c>
      <c r="N165" s="214"/>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row>
    <row r="166" spans="1:60" ht="15" x14ac:dyDescent="0.25">
      <c r="A166" s="129"/>
      <c r="B166" s="212"/>
      <c r="C166" s="3"/>
      <c r="D166" s="3"/>
      <c r="E166" s="3"/>
      <c r="F166" s="3"/>
      <c r="G166" s="538"/>
      <c r="H166" s="3"/>
      <c r="I166" s="3"/>
      <c r="J166" s="3"/>
      <c r="K166" s="1164"/>
      <c r="L166" s="130"/>
      <c r="M166" s="131"/>
      <c r="N166" s="214"/>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row>
    <row r="167" spans="1:60" ht="15" x14ac:dyDescent="0.25">
      <c r="A167" s="129"/>
      <c r="B167" s="212"/>
      <c r="C167" s="1165"/>
      <c r="D167" s="1165"/>
      <c r="E167" s="3"/>
      <c r="F167" s="3"/>
      <c r="G167" s="538"/>
      <c r="H167" s="3"/>
      <c r="I167" s="3"/>
      <c r="J167" s="3"/>
      <c r="K167" s="3"/>
      <c r="L167" s="1164"/>
      <c r="M167" s="1166"/>
      <c r="N167" s="244"/>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row>
    <row r="168" spans="1:60" ht="15" x14ac:dyDescent="0.25">
      <c r="A168" s="129"/>
      <c r="B168" s="212"/>
      <c r="C168" s="1167" t="s">
        <v>758</v>
      </c>
      <c r="D168" s="1167"/>
      <c r="E168" s="3"/>
      <c r="F168" s="3"/>
      <c r="G168" s="538"/>
      <c r="H168" s="3"/>
      <c r="I168" s="3"/>
      <c r="J168" s="3"/>
      <c r="K168" s="3"/>
      <c r="L168" s="1164"/>
      <c r="M168" s="1168"/>
      <c r="N168" s="244"/>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row>
    <row r="169" spans="1:60" ht="15.6" thickBot="1" x14ac:dyDescent="0.3">
      <c r="A169" s="129"/>
      <c r="B169" s="222"/>
      <c r="C169" s="245"/>
      <c r="D169" s="245"/>
      <c r="E169" s="245"/>
      <c r="F169" s="245"/>
      <c r="G169" s="245"/>
      <c r="H169" s="245"/>
      <c r="I169" s="245"/>
      <c r="J169" s="245"/>
      <c r="K169" s="245"/>
      <c r="L169" s="1169"/>
      <c r="M169" s="1169"/>
      <c r="N169" s="230"/>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row>
    <row r="170" spans="1:60" ht="15" x14ac:dyDescent="0.25">
      <c r="A170" s="129"/>
      <c r="B170" s="81"/>
      <c r="C170" s="81"/>
      <c r="D170" s="3"/>
      <c r="E170" s="3"/>
      <c r="F170" s="3"/>
      <c r="G170" s="3"/>
      <c r="H170" s="3"/>
      <c r="I170" s="3"/>
      <c r="J170" s="3"/>
      <c r="K170" s="3"/>
      <c r="L170" s="99"/>
      <c r="M170" s="99"/>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row>
    <row r="171" spans="1:60" ht="15" x14ac:dyDescent="0.25">
      <c r="A171" s="129"/>
      <c r="B171" s="81"/>
      <c r="C171" s="81"/>
      <c r="D171" s="3"/>
      <c r="E171" s="3"/>
      <c r="F171" s="3"/>
      <c r="G171" s="3"/>
      <c r="H171" s="3"/>
      <c r="I171" s="3"/>
      <c r="J171" s="3"/>
      <c r="K171" s="3"/>
      <c r="L171" s="99"/>
      <c r="M171" s="99"/>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row>
    <row r="172" spans="1:60" ht="15" x14ac:dyDescent="0.25">
      <c r="A172" s="129"/>
      <c r="B172" s="81"/>
      <c r="C172" s="81"/>
      <c r="D172" s="3"/>
      <c r="E172" s="3"/>
      <c r="F172" s="3"/>
      <c r="G172" s="3"/>
      <c r="H172" s="3"/>
      <c r="I172" s="3"/>
      <c r="J172" s="3"/>
      <c r="K172" s="3"/>
      <c r="L172" s="99"/>
      <c r="M172" s="99"/>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row>
    <row r="173" spans="1:60" ht="15" x14ac:dyDescent="0.25">
      <c r="A173" s="129"/>
      <c r="B173" s="81"/>
      <c r="C173" s="81"/>
      <c r="D173" s="3"/>
      <c r="E173" s="3"/>
      <c r="F173" s="3"/>
      <c r="G173" s="3"/>
      <c r="H173" s="3"/>
      <c r="I173" s="3"/>
      <c r="J173" s="3"/>
      <c r="K173" s="3"/>
      <c r="L173" s="1170"/>
      <c r="M173" s="1170"/>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row>
    <row r="174" spans="1:60" ht="15" x14ac:dyDescent="0.25">
      <c r="A174" s="129"/>
      <c r="B174" s="81"/>
      <c r="C174" s="81"/>
      <c r="D174" s="3"/>
      <c r="E174" s="3"/>
      <c r="F174" s="3"/>
      <c r="G174" s="3"/>
      <c r="H174" s="3"/>
      <c r="I174" s="3"/>
      <c r="J174" s="3"/>
      <c r="K174" s="3"/>
      <c r="L174" s="1170"/>
      <c r="M174" s="1170"/>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row>
    <row r="175" spans="1:60" ht="15" x14ac:dyDescent="0.25">
      <c r="A175" s="129"/>
      <c r="B175" s="81"/>
      <c r="C175" s="81"/>
      <c r="D175" s="3"/>
      <c r="E175" s="3"/>
      <c r="F175" s="3"/>
      <c r="G175" s="3"/>
      <c r="H175" s="3"/>
      <c r="I175" s="3"/>
      <c r="J175" s="3"/>
      <c r="K175" s="3"/>
      <c r="L175" s="1170"/>
      <c r="M175" s="1170"/>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row>
    <row r="176" spans="1:60" x14ac:dyDescent="0.25">
      <c r="A176" s="3"/>
      <c r="B176" s="3"/>
      <c r="C176" s="3"/>
      <c r="D176" s="3"/>
      <c r="E176" s="3"/>
      <c r="F176" s="3"/>
      <c r="G176" s="3"/>
      <c r="H176" s="3"/>
      <c r="I176" s="3"/>
      <c r="J176" s="3"/>
      <c r="K176" s="3"/>
      <c r="L176" s="1170"/>
      <c r="M176" s="1170"/>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row>
    <row r="177" spans="1:60" x14ac:dyDescent="0.25">
      <c r="A177" s="3"/>
      <c r="B177" s="3"/>
      <c r="C177" s="3"/>
      <c r="D177" s="3"/>
      <c r="E177" s="3"/>
      <c r="F177" s="3"/>
      <c r="G177" s="3"/>
      <c r="H177" s="3"/>
      <c r="I177" s="3"/>
      <c r="J177" s="3"/>
      <c r="K177" s="3"/>
      <c r="L177" s="1170"/>
      <c r="M177" s="1170"/>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row>
    <row r="178" spans="1:60" x14ac:dyDescent="0.25">
      <c r="A178" s="3"/>
      <c r="B178" s="3"/>
      <c r="C178" s="3"/>
      <c r="D178" s="3"/>
      <c r="E178" s="3"/>
      <c r="F178" s="3"/>
      <c r="G178" s="3"/>
      <c r="H178" s="3"/>
      <c r="I178" s="3"/>
      <c r="J178" s="3"/>
      <c r="K178" s="3"/>
      <c r="L178" s="1170"/>
      <c r="M178" s="1170"/>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row>
    <row r="179" spans="1:60" x14ac:dyDescent="0.25">
      <c r="A179" s="3"/>
      <c r="B179" s="3"/>
      <c r="C179" s="3"/>
      <c r="D179" s="3"/>
      <c r="E179" s="3"/>
      <c r="F179" s="3"/>
      <c r="G179" s="3"/>
      <c r="H179" s="3"/>
      <c r="I179" s="3"/>
      <c r="J179" s="3"/>
      <c r="K179" s="3"/>
      <c r="L179" s="1170"/>
      <c r="M179" s="1170"/>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row>
    <row r="180" spans="1:60" x14ac:dyDescent="0.25">
      <c r="A180" s="3"/>
      <c r="B180" s="3"/>
      <c r="C180" s="3"/>
      <c r="D180" s="3"/>
      <c r="E180" s="3"/>
      <c r="F180" s="3"/>
      <c r="G180" s="3"/>
      <c r="H180" s="3"/>
      <c r="I180" s="3"/>
      <c r="J180" s="3"/>
      <c r="K180" s="3"/>
      <c r="L180" s="1170"/>
      <c r="M180" s="1170"/>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row>
    <row r="181" spans="1:60" x14ac:dyDescent="0.25">
      <c r="A181" s="3"/>
      <c r="B181" s="3"/>
      <c r="C181" s="3"/>
      <c r="D181" s="3"/>
      <c r="E181" s="3"/>
      <c r="F181" s="3"/>
      <c r="G181" s="3"/>
      <c r="H181" s="3"/>
      <c r="I181" s="3"/>
      <c r="J181" s="3"/>
      <c r="K181" s="3"/>
      <c r="L181" s="1170"/>
      <c r="M181" s="1170"/>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row>
    <row r="182" spans="1:60" x14ac:dyDescent="0.25">
      <c r="A182" s="3"/>
      <c r="B182" s="3"/>
      <c r="C182" s="3"/>
      <c r="D182" s="3"/>
      <c r="E182" s="3"/>
      <c r="F182" s="3"/>
      <c r="G182" s="3"/>
      <c r="H182" s="3"/>
      <c r="I182" s="3"/>
      <c r="J182" s="3"/>
      <c r="K182" s="3"/>
      <c r="L182" s="1170"/>
      <c r="M182" s="1170"/>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row>
    <row r="183" spans="1:60" x14ac:dyDescent="0.25">
      <c r="A183" s="3"/>
      <c r="B183" s="3"/>
      <c r="C183" s="3"/>
      <c r="D183" s="3"/>
      <c r="E183" s="3"/>
      <c r="F183" s="3"/>
      <c r="G183" s="3"/>
      <c r="H183" s="3"/>
      <c r="I183" s="3"/>
      <c r="J183" s="3"/>
      <c r="K183" s="3"/>
      <c r="L183" s="1170"/>
      <c r="M183" s="1170"/>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row>
    <row r="184" spans="1:60" x14ac:dyDescent="0.25">
      <c r="A184" s="3"/>
      <c r="B184" s="3"/>
      <c r="C184" s="3"/>
      <c r="D184" s="3"/>
      <c r="E184" s="3"/>
      <c r="F184" s="3"/>
      <c r="G184" s="3"/>
      <c r="H184" s="3"/>
      <c r="I184" s="3"/>
      <c r="J184" s="3"/>
      <c r="K184" s="3"/>
      <c r="L184" s="1170"/>
      <c r="M184" s="1170"/>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row>
    <row r="185" spans="1:60" x14ac:dyDescent="0.25">
      <c r="A185" s="3"/>
      <c r="B185" s="3"/>
      <c r="C185" s="3"/>
      <c r="D185" s="3"/>
      <c r="E185" s="3"/>
      <c r="F185" s="3"/>
      <c r="G185" s="3"/>
      <c r="H185" s="3"/>
      <c r="I185" s="3"/>
      <c r="J185" s="3"/>
      <c r="K185" s="3"/>
      <c r="L185" s="1170"/>
      <c r="M185" s="1170"/>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row>
    <row r="186" spans="1:60" x14ac:dyDescent="0.25">
      <c r="A186" s="3"/>
      <c r="B186" s="3"/>
      <c r="C186" s="3"/>
      <c r="D186" s="3"/>
      <c r="E186" s="3"/>
      <c r="F186" s="3"/>
      <c r="G186" s="3"/>
      <c r="H186" s="3"/>
      <c r="I186" s="3"/>
      <c r="J186" s="3"/>
      <c r="K186" s="3"/>
      <c r="L186" s="1170"/>
      <c r="M186" s="1170"/>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row>
    <row r="187" spans="1:60" x14ac:dyDescent="0.25">
      <c r="A187" s="3"/>
      <c r="B187" s="3"/>
      <c r="C187" s="3"/>
      <c r="D187" s="3"/>
      <c r="E187" s="3"/>
      <c r="F187" s="3"/>
      <c r="G187" s="3"/>
      <c r="H187" s="3"/>
      <c r="I187" s="3"/>
      <c r="J187" s="3"/>
      <c r="K187" s="3"/>
      <c r="L187" s="1170"/>
      <c r="M187" s="1170"/>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row>
    <row r="188" spans="1:60" x14ac:dyDescent="0.25">
      <c r="A188" s="3"/>
      <c r="B188" s="3"/>
      <c r="C188" s="3"/>
      <c r="D188" s="3"/>
      <c r="E188" s="3"/>
      <c r="F188" s="3"/>
      <c r="G188" s="3"/>
      <c r="H188" s="3"/>
      <c r="I188" s="3"/>
      <c r="J188" s="3"/>
      <c r="K188" s="3"/>
      <c r="L188" s="1170"/>
      <c r="M188" s="1170"/>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row>
    <row r="189" spans="1:60" x14ac:dyDescent="0.25">
      <c r="A189" s="3"/>
      <c r="B189" s="3"/>
      <c r="C189" s="3"/>
      <c r="D189" s="3"/>
      <c r="E189" s="3"/>
      <c r="F189" s="3"/>
      <c r="G189" s="3"/>
      <c r="H189" s="3"/>
      <c r="I189" s="3"/>
      <c r="J189" s="3"/>
      <c r="K189" s="3"/>
      <c r="L189" s="1170"/>
      <c r="M189" s="1170"/>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row>
    <row r="190" spans="1:60" x14ac:dyDescent="0.25">
      <c r="A190" s="3"/>
      <c r="B190" s="3"/>
      <c r="C190" s="3"/>
      <c r="D190" s="3"/>
      <c r="E190" s="3"/>
      <c r="F190" s="3"/>
      <c r="G190" s="3"/>
      <c r="H190" s="3"/>
      <c r="I190" s="3"/>
      <c r="J190" s="3"/>
      <c r="K190" s="3"/>
      <c r="L190" s="1170"/>
      <c r="M190" s="1170"/>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row>
    <row r="191" spans="1:60" x14ac:dyDescent="0.25">
      <c r="A191" s="3"/>
      <c r="B191" s="3"/>
      <c r="C191" s="3"/>
      <c r="D191" s="3"/>
      <c r="E191" s="3"/>
      <c r="F191" s="3"/>
      <c r="G191" s="3"/>
      <c r="H191" s="3"/>
      <c r="I191" s="3"/>
      <c r="J191" s="3"/>
      <c r="K191" s="3"/>
      <c r="L191" s="1170"/>
      <c r="M191" s="1170"/>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row>
    <row r="192" spans="1:60" x14ac:dyDescent="0.25">
      <c r="A192" s="3"/>
      <c r="B192" s="3"/>
      <c r="C192" s="3"/>
      <c r="D192" s="3"/>
      <c r="E192" s="3"/>
      <c r="F192" s="3"/>
      <c r="G192" s="3"/>
      <c r="H192" s="3"/>
      <c r="I192" s="3"/>
      <c r="J192" s="3"/>
      <c r="K192" s="3"/>
      <c r="L192" s="1170"/>
      <c r="M192" s="1170"/>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row>
    <row r="193" spans="1:60" x14ac:dyDescent="0.25">
      <c r="A193" s="3"/>
      <c r="B193" s="3"/>
      <c r="C193" s="3"/>
      <c r="D193" s="3"/>
      <c r="E193" s="3"/>
      <c r="F193" s="3"/>
      <c r="G193" s="3"/>
      <c r="H193" s="3"/>
      <c r="I193" s="3"/>
      <c r="J193" s="3"/>
      <c r="K193" s="3"/>
      <c r="L193" s="1170"/>
      <c r="M193" s="1170"/>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row>
  </sheetData>
  <sheetProtection algorithmName="SHA-512" hashValue="v7qMGIzXSNuPSL2SvSdax0PvN1Dp8099+uyQ+FQQZS2t1yTHdec2pjt/87W23Css+4EG5/HtJ5CAPWbjvUkq2A==" saltValue="6osDJ8J6IWjhRoGsbdolTg==" spinCount="100000" sheet="1" formatColumns="0" formatRows="0"/>
  <phoneticPr fontId="3" type="noConversion"/>
  <conditionalFormatting sqref="C3">
    <cfRule type="cellIs" dxfId="18" priority="2" operator="equal">
      <formula>0</formula>
    </cfRule>
  </conditionalFormatting>
  <conditionalFormatting sqref="K163">
    <cfRule type="cellIs" dxfId="17" priority="1" operator="equal">
      <formula>"ok"</formula>
    </cfRule>
  </conditionalFormatting>
  <dataValidations xWindow="441" yWindow="697" count="5">
    <dataValidation allowBlank="1" showErrorMessage="1" promptTitle="Note:" prompt="Do not forget to enter base date at the top of this form._x000a_" sqref="M161" xr:uid="{00000000-0002-0000-0600-000000000000}"/>
    <dataValidation allowBlank="1" showInputMessage="1" showErrorMessage="1" promptTitle="Note:" prompt="Please enter Minimum, Ad Valorem Rate and Base Amount for this rating category/sub-category on the same row._x000a__x000a_Section 500 permits a maximum of 50% of category/sub-category income as a Base Amount." sqref="G77:G86 G94:G143 G40:G64 G66:G75 G19:G23 G26:G38" xr:uid="{00000000-0002-0000-0600-000001000000}"/>
    <dataValidation allowBlank="1" showInputMessage="1" showErrorMessage="1" promptTitle="Note:" prompt="Total land value includes all rateable parcels including those parcels subject to a minimum." sqref="K94:K143 K19:K38 K40:K64 K66:K75 K77:K86" xr:uid="{00000000-0002-0000-0600-000002000000}"/>
    <dataValidation operator="greaterThan" allowBlank="1" showInputMessage="1" showErrorMessage="1" errorTitle="Data Entry Error" error="Number must be greater than zero." promptTitle="Note:" prompt="Please enter Minimum, Ad Valorem Rate and Base Amount for this rating category/sub-category on the same row." sqref="F94:F143 F40:F64 F77:F86 F66:F75 F19:F23 F26:F38" xr:uid="{00000000-0002-0000-0600-000003000000}"/>
    <dataValidation allowBlank="1" showInputMessage="1" showErrorMessage="1" promptTitle="Note:" prompt="Please enter Minimum, Ad Valorem Rate and Base Amount for this rating category/sub-category on the same row." sqref="I94:I143 I40:I64 I66:I75 I77:I86 I19:I38" xr:uid="{00000000-0002-0000-0600-000004000000}"/>
  </dataValidations>
  <printOptions horizontalCentered="1"/>
  <pageMargins left="0.74803149606299213" right="0.74803149606299213" top="0.15748031496062992" bottom="0.15748031496062992" header="0.15748031496062992" footer="0.15748031496062992"/>
  <pageSetup paperSize="9" scale="85"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AJ181"/>
  <sheetViews>
    <sheetView showGridLines="0" topLeftCell="A4" zoomScale="130" zoomScaleNormal="130" workbookViewId="0">
      <selection activeCell="W39" sqref="W39"/>
    </sheetView>
  </sheetViews>
  <sheetFormatPr defaultRowHeight="11.4" outlineLevelRow="1" x14ac:dyDescent="0.2"/>
  <cols>
    <col min="1" max="1" width="2.625" customWidth="1"/>
    <col min="2" max="2" width="1.75" customWidth="1"/>
    <col min="3" max="3" width="10" customWidth="1"/>
    <col min="4" max="4" width="31.25" customWidth="1"/>
    <col min="5" max="5" width="10.875" customWidth="1"/>
    <col min="6" max="6" width="12.375" customWidth="1"/>
    <col min="7" max="7" width="11.875" customWidth="1"/>
    <col min="8" max="8" width="11.375" customWidth="1"/>
    <col min="9" max="9" width="11.75" customWidth="1"/>
    <col min="10" max="11" width="10.875" bestFit="1" customWidth="1"/>
    <col min="12" max="13" width="10.75" customWidth="1"/>
    <col min="14" max="14" width="10.875" customWidth="1"/>
    <col min="15" max="15" width="10.375" customWidth="1"/>
    <col min="16" max="16" width="1.75" customWidth="1"/>
    <col min="17" max="17" width="20" bestFit="1" customWidth="1"/>
  </cols>
  <sheetData>
    <row r="1" spans="1:36" ht="12" thickBo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s="142" customFormat="1" ht="12" customHeight="1" x14ac:dyDescent="0.25">
      <c r="A2" s="129"/>
      <c r="B2" s="363"/>
      <c r="C2" s="364"/>
      <c r="D2" s="364"/>
      <c r="E2" s="364"/>
      <c r="F2" s="364"/>
      <c r="G2" s="364"/>
      <c r="H2" s="364"/>
      <c r="I2" s="365"/>
      <c r="J2" s="3"/>
      <c r="K2" s="3"/>
      <c r="L2" s="3"/>
      <c r="M2" s="3"/>
      <c r="N2" s="3"/>
      <c r="O2" s="3"/>
      <c r="P2" s="3"/>
      <c r="Q2" s="3"/>
      <c r="R2" s="3"/>
      <c r="S2" s="3"/>
      <c r="T2" s="3"/>
      <c r="U2" s="3"/>
      <c r="V2" s="3"/>
      <c r="W2" s="3"/>
      <c r="X2" s="129"/>
      <c r="Y2" s="129"/>
      <c r="Z2" s="129"/>
      <c r="AA2" s="129"/>
      <c r="AB2" s="129"/>
      <c r="AC2" s="129"/>
      <c r="AD2" s="129"/>
      <c r="AE2" s="129"/>
      <c r="AF2" s="129"/>
      <c r="AG2" s="129"/>
      <c r="AH2" s="129"/>
      <c r="AI2" s="129"/>
      <c r="AJ2" s="129"/>
    </row>
    <row r="3" spans="1:36" s="142" customFormat="1" ht="15" x14ac:dyDescent="0.25">
      <c r="A3" s="129"/>
      <c r="B3" s="215"/>
      <c r="C3" s="695" t="str">
        <f>'WK2 - Notional General Income'!$C$3</f>
        <v>Hornsby, The Council of the Shire of</v>
      </c>
      <c r="D3" s="226"/>
      <c r="E3" s="226"/>
      <c r="F3" s="226"/>
      <c r="G3" s="227"/>
      <c r="H3" s="366"/>
      <c r="I3" s="236"/>
      <c r="J3" s="3"/>
      <c r="K3" s="3"/>
      <c r="L3" s="3"/>
      <c r="M3" s="3"/>
      <c r="N3" s="3"/>
      <c r="O3" s="3"/>
      <c r="P3" s="3"/>
      <c r="Q3" s="3"/>
      <c r="R3" s="3"/>
      <c r="S3" s="3"/>
      <c r="T3" s="3"/>
      <c r="U3" s="3"/>
      <c r="V3" s="3"/>
      <c r="W3" s="3"/>
      <c r="X3" s="129"/>
      <c r="Y3" s="129"/>
      <c r="Z3" s="129"/>
      <c r="AA3" s="129"/>
      <c r="AB3" s="129"/>
      <c r="AC3" s="129"/>
      <c r="AD3" s="129"/>
      <c r="AE3" s="129"/>
      <c r="AF3" s="129"/>
      <c r="AG3" s="129"/>
      <c r="AH3" s="129"/>
      <c r="AI3" s="129"/>
      <c r="AJ3" s="129"/>
    </row>
    <row r="4" spans="1:36" s="142" customFormat="1" ht="12" customHeight="1" x14ac:dyDescent="0.25">
      <c r="A4" s="129"/>
      <c r="B4" s="215"/>
      <c r="C4" s="1"/>
      <c r="D4" s="1"/>
      <c r="E4" s="1"/>
      <c r="F4" s="1"/>
      <c r="G4" s="1"/>
      <c r="H4" s="1"/>
      <c r="I4" s="236"/>
      <c r="J4" s="3"/>
      <c r="K4" s="3"/>
      <c r="L4" s="3"/>
      <c r="M4" s="3"/>
      <c r="N4" s="3"/>
      <c r="O4" s="3"/>
      <c r="P4" s="3"/>
      <c r="Q4" s="3"/>
      <c r="R4" s="3"/>
      <c r="S4" s="3"/>
      <c r="T4" s="3"/>
      <c r="U4" s="3"/>
      <c r="V4" s="3"/>
      <c r="W4" s="3"/>
      <c r="X4" s="129"/>
      <c r="Y4" s="129"/>
      <c r="Z4" s="129"/>
      <c r="AA4" s="129"/>
      <c r="AB4" s="129"/>
      <c r="AC4" s="129"/>
      <c r="AD4" s="129"/>
      <c r="AE4" s="129"/>
      <c r="AF4" s="129"/>
      <c r="AG4" s="129"/>
      <c r="AH4" s="129"/>
      <c r="AI4" s="129"/>
      <c r="AJ4" s="129"/>
    </row>
    <row r="5" spans="1:36" s="142" customFormat="1" ht="15.6" x14ac:dyDescent="0.3">
      <c r="A5" s="129"/>
      <c r="B5" s="215"/>
      <c r="C5" s="129"/>
      <c r="D5" s="103"/>
      <c r="E5" s="85" t="s">
        <v>558</v>
      </c>
      <c r="F5" s="103"/>
      <c r="G5" s="103"/>
      <c r="H5" s="103"/>
      <c r="I5" s="236"/>
      <c r="J5" s="3"/>
      <c r="K5" s="3"/>
      <c r="L5" s="3"/>
      <c r="M5" s="3"/>
      <c r="N5" s="3"/>
      <c r="O5" s="3"/>
      <c r="P5" s="3"/>
      <c r="Q5" s="3"/>
      <c r="R5" s="3"/>
      <c r="S5" s="3"/>
      <c r="T5" s="3"/>
      <c r="U5" s="3"/>
      <c r="V5" s="3"/>
      <c r="W5" s="3"/>
      <c r="X5" s="129"/>
      <c r="Y5" s="129"/>
      <c r="Z5" s="129"/>
      <c r="AA5" s="129"/>
      <c r="AB5" s="129"/>
      <c r="AC5" s="129"/>
      <c r="AD5" s="129"/>
      <c r="AE5" s="129"/>
      <c r="AF5" s="129"/>
      <c r="AG5" s="129"/>
      <c r="AH5" s="129"/>
      <c r="AI5" s="129"/>
      <c r="AJ5" s="129"/>
    </row>
    <row r="6" spans="1:36" s="142" customFormat="1" ht="12" customHeight="1" x14ac:dyDescent="0.25">
      <c r="A6" s="129"/>
      <c r="B6" s="215"/>
      <c r="C6" s="136"/>
      <c r="D6" s="136"/>
      <c r="E6" s="136"/>
      <c r="F6" s="136"/>
      <c r="G6" s="136"/>
      <c r="H6" s="136"/>
      <c r="I6" s="236"/>
      <c r="J6" s="3"/>
      <c r="K6" s="3"/>
      <c r="L6" s="3"/>
      <c r="M6" s="3"/>
      <c r="N6" s="3"/>
      <c r="O6" s="3"/>
      <c r="P6" s="3"/>
      <c r="Q6" s="3"/>
      <c r="R6" s="3"/>
      <c r="S6" s="3"/>
      <c r="T6" s="3"/>
      <c r="U6" s="3"/>
      <c r="V6" s="3"/>
      <c r="W6" s="3"/>
      <c r="X6" s="129"/>
      <c r="Y6" s="129"/>
      <c r="Z6" s="129"/>
      <c r="AA6" s="129"/>
      <c r="AB6" s="129"/>
      <c r="AC6" s="129"/>
      <c r="AD6" s="129"/>
      <c r="AE6" s="129"/>
      <c r="AF6" s="129"/>
      <c r="AG6" s="129"/>
      <c r="AH6" s="129"/>
      <c r="AI6" s="129"/>
      <c r="AJ6" s="129"/>
    </row>
    <row r="7" spans="1:36" s="142" customFormat="1" ht="15.6" x14ac:dyDescent="0.3">
      <c r="A7" s="129"/>
      <c r="B7" s="215"/>
      <c r="C7" s="129"/>
      <c r="D7" s="137"/>
      <c r="E7" s="134" t="str">
        <f>"PERMISSIBLE GENERAL INCOME SUMMARY FOR "&amp;'WK0 - Input data'!$D$45</f>
        <v>PERMISSIBLE GENERAL INCOME SUMMARY FOR 2023-24</v>
      </c>
      <c r="F7" s="137"/>
      <c r="G7" s="137"/>
      <c r="H7" s="137"/>
      <c r="I7" s="236"/>
      <c r="J7" s="3"/>
      <c r="K7" s="3"/>
      <c r="L7" s="3"/>
      <c r="M7" s="3"/>
      <c r="N7" s="3"/>
      <c r="O7" s="3"/>
      <c r="P7" s="3"/>
      <c r="Q7" s="3"/>
      <c r="R7" s="3"/>
      <c r="S7" s="3"/>
      <c r="T7" s="3"/>
      <c r="U7" s="3"/>
      <c r="V7" s="3"/>
      <c r="W7" s="3"/>
      <c r="X7" s="129"/>
      <c r="Y7" s="129"/>
      <c r="Z7" s="129"/>
      <c r="AA7" s="129"/>
      <c r="AB7" s="129"/>
      <c r="AC7" s="129"/>
      <c r="AD7" s="129"/>
      <c r="AE7" s="129"/>
      <c r="AF7" s="129"/>
      <c r="AG7" s="129"/>
      <c r="AH7" s="129"/>
      <c r="AI7" s="129"/>
      <c r="AJ7" s="129"/>
    </row>
    <row r="8" spans="1:36" s="142" customFormat="1" ht="15" x14ac:dyDescent="0.25">
      <c r="A8" s="129"/>
      <c r="B8" s="215"/>
      <c r="C8" s="111"/>
      <c r="D8" s="111"/>
      <c r="E8" s="151" t="s">
        <v>562</v>
      </c>
      <c r="F8" s="136"/>
      <c r="G8" s="111"/>
      <c r="H8" s="111"/>
      <c r="I8" s="236"/>
      <c r="J8" s="3"/>
      <c r="K8" s="3"/>
      <c r="L8" s="3"/>
      <c r="M8" s="3"/>
      <c r="N8" s="3"/>
      <c r="O8" s="3"/>
      <c r="P8" s="3"/>
      <c r="Q8" s="3"/>
      <c r="R8" s="3"/>
      <c r="S8" s="3"/>
      <c r="T8" s="3"/>
      <c r="U8" s="3"/>
      <c r="V8" s="3"/>
      <c r="W8" s="3"/>
      <c r="X8" s="129"/>
      <c r="Y8" s="129"/>
      <c r="Z8" s="129"/>
      <c r="AA8" s="129"/>
      <c r="AB8" s="129"/>
      <c r="AC8" s="129"/>
      <c r="AD8" s="129"/>
      <c r="AE8" s="129"/>
      <c r="AF8" s="129"/>
      <c r="AG8" s="129"/>
      <c r="AH8" s="129"/>
      <c r="AI8" s="129"/>
      <c r="AJ8" s="129"/>
    </row>
    <row r="9" spans="1:36" s="142" customFormat="1" ht="26.25" customHeight="1" x14ac:dyDescent="0.25">
      <c r="A9" s="129"/>
      <c r="B9" s="367"/>
      <c r="C9" s="129"/>
      <c r="D9" s="368"/>
      <c r="E9" s="175" t="s">
        <v>563</v>
      </c>
      <c r="F9" s="368"/>
      <c r="G9" s="368"/>
      <c r="H9" s="368"/>
      <c r="I9" s="236"/>
      <c r="J9" s="3"/>
      <c r="K9" s="3"/>
      <c r="L9" s="3"/>
      <c r="M9" s="3"/>
      <c r="N9" s="3"/>
      <c r="O9" s="3"/>
      <c r="P9" s="3"/>
      <c r="Q9" s="3"/>
      <c r="R9" s="3"/>
      <c r="S9" s="3"/>
      <c r="T9" s="3"/>
      <c r="U9" s="3"/>
      <c r="V9" s="3"/>
      <c r="W9" s="3"/>
      <c r="X9" s="129"/>
      <c r="Y9" s="129"/>
      <c r="Z9" s="129"/>
      <c r="AA9" s="129"/>
      <c r="AB9" s="129"/>
      <c r="AC9" s="129"/>
      <c r="AD9" s="129"/>
      <c r="AE9" s="129"/>
      <c r="AF9" s="129"/>
      <c r="AG9" s="129"/>
      <c r="AH9" s="129"/>
      <c r="AI9" s="129"/>
      <c r="AJ9" s="129"/>
    </row>
    <row r="10" spans="1:36" s="142" customFormat="1" ht="16.5" customHeight="1" x14ac:dyDescent="0.25">
      <c r="A10" s="129"/>
      <c r="B10" s="215"/>
      <c r="C10" s="129"/>
      <c r="D10" s="1"/>
      <c r="E10" s="175" t="s">
        <v>564</v>
      </c>
      <c r="F10" s="1"/>
      <c r="G10" s="1"/>
      <c r="H10" s="1"/>
      <c r="I10" s="236"/>
      <c r="J10" s="395" t="s">
        <v>127</v>
      </c>
      <c r="K10" s="3"/>
      <c r="L10" s="3"/>
      <c r="M10" s="3"/>
      <c r="N10" s="3"/>
      <c r="O10" s="3"/>
      <c r="P10" s="3"/>
      <c r="Q10" s="3"/>
      <c r="R10" s="3"/>
      <c r="S10" s="3"/>
      <c r="T10" s="3"/>
      <c r="U10" s="3"/>
      <c r="V10" s="3"/>
      <c r="W10" s="3"/>
      <c r="X10" s="129"/>
      <c r="Y10" s="129"/>
      <c r="Z10" s="129"/>
      <c r="AA10" s="129"/>
      <c r="AB10" s="129"/>
      <c r="AC10" s="129"/>
      <c r="AD10" s="129"/>
      <c r="AE10" s="129"/>
      <c r="AF10" s="129"/>
      <c r="AG10" s="129"/>
      <c r="AH10" s="129"/>
      <c r="AI10" s="129"/>
      <c r="AJ10" s="129"/>
    </row>
    <row r="11" spans="1:36" s="142" customFormat="1" ht="26.25" customHeight="1" x14ac:dyDescent="0.25">
      <c r="A11" s="129"/>
      <c r="B11" s="215"/>
      <c r="C11" s="1" t="s">
        <v>566</v>
      </c>
      <c r="D11" s="1"/>
      <c r="E11" s="1"/>
      <c r="F11" s="1"/>
      <c r="G11" s="1"/>
      <c r="H11" s="369">
        <f>'WK2 - Notional General Income'!M161</f>
        <v>75890108.680906355</v>
      </c>
      <c r="I11" s="236"/>
      <c r="J11" s="539">
        <f>IF(H11=0,0,H11-G45)</f>
        <v>0</v>
      </c>
      <c r="L11" s="3"/>
      <c r="M11" s="3"/>
      <c r="N11" s="3"/>
      <c r="O11" s="3"/>
      <c r="P11" s="3"/>
      <c r="Q11" s="3"/>
      <c r="R11" s="3"/>
      <c r="S11" s="3"/>
      <c r="T11" s="3"/>
      <c r="U11" s="3"/>
      <c r="V11" s="3"/>
      <c r="W11" s="3"/>
      <c r="X11" s="129"/>
      <c r="Y11" s="129"/>
      <c r="Z11" s="129"/>
      <c r="AA11" s="129"/>
      <c r="AB11" s="129"/>
      <c r="AC11" s="129"/>
      <c r="AD11" s="129"/>
      <c r="AE11" s="129"/>
      <c r="AF11" s="129"/>
      <c r="AG11" s="129"/>
      <c r="AH11" s="129"/>
      <c r="AI11" s="129"/>
      <c r="AJ11" s="129"/>
    </row>
    <row r="12" spans="1:36" s="142" customFormat="1" ht="19.5" customHeight="1" x14ac:dyDescent="0.25">
      <c r="A12" s="129"/>
      <c r="B12" s="215"/>
      <c r="C12" s="2" t="s">
        <v>568</v>
      </c>
      <c r="D12" s="3" t="s">
        <v>569</v>
      </c>
      <c r="E12" s="3"/>
      <c r="F12" s="3"/>
      <c r="G12" s="3"/>
      <c r="H12" s="370">
        <f>'WK1 - Identification'!F74</f>
        <v>0</v>
      </c>
      <c r="I12" s="236"/>
      <c r="J12" s="539">
        <f>IF(H12=0,0,H12-G46)</f>
        <v>0</v>
      </c>
      <c r="K12" s="3"/>
      <c r="L12" s="3"/>
      <c r="M12" s="3"/>
      <c r="N12" s="3"/>
      <c r="O12" s="3"/>
      <c r="P12" s="3"/>
      <c r="Q12" s="3"/>
      <c r="R12" s="3"/>
      <c r="S12" s="3"/>
      <c r="T12" s="3"/>
      <c r="U12" s="3"/>
      <c r="V12" s="3"/>
      <c r="W12" s="3"/>
      <c r="X12" s="129"/>
      <c r="Y12" s="129"/>
      <c r="Z12" s="129"/>
      <c r="AA12" s="129"/>
      <c r="AB12" s="129"/>
      <c r="AC12" s="129"/>
      <c r="AD12" s="129"/>
      <c r="AE12" s="129"/>
      <c r="AF12" s="129"/>
      <c r="AG12" s="129"/>
      <c r="AH12" s="129"/>
      <c r="AI12" s="129"/>
      <c r="AJ12" s="129"/>
    </row>
    <row r="13" spans="1:36" s="142" customFormat="1" ht="6" customHeight="1" x14ac:dyDescent="0.25">
      <c r="A13" s="129"/>
      <c r="B13" s="215"/>
      <c r="C13" s="2"/>
      <c r="D13" s="3"/>
      <c r="E13" s="3"/>
      <c r="F13" s="3"/>
      <c r="G13" s="3"/>
      <c r="H13" s="370"/>
      <c r="I13" s="236"/>
      <c r="J13" s="3"/>
      <c r="K13" s="3"/>
      <c r="L13" s="3"/>
      <c r="M13" s="3"/>
      <c r="N13" s="3"/>
      <c r="O13" s="3"/>
      <c r="P13" s="3"/>
      <c r="Q13" s="3"/>
      <c r="R13" s="3"/>
      <c r="S13" s="3"/>
      <c r="T13" s="3"/>
      <c r="U13" s="3"/>
      <c r="V13" s="3"/>
      <c r="W13" s="3"/>
      <c r="X13" s="129"/>
      <c r="Y13" s="129"/>
      <c r="Z13" s="129"/>
      <c r="AA13" s="129"/>
      <c r="AB13" s="129"/>
      <c r="AC13" s="129"/>
      <c r="AD13" s="129"/>
      <c r="AE13" s="129"/>
      <c r="AF13" s="129"/>
      <c r="AG13" s="129"/>
      <c r="AH13" s="129"/>
      <c r="AI13" s="129"/>
      <c r="AJ13" s="129"/>
    </row>
    <row r="14" spans="1:36" ht="21.75" customHeight="1" x14ac:dyDescent="0.25">
      <c r="A14" s="3"/>
      <c r="B14" s="215"/>
      <c r="C14" s="3" t="s">
        <v>572</v>
      </c>
      <c r="D14" s="3"/>
      <c r="E14" s="3"/>
      <c r="F14" s="77"/>
      <c r="G14" s="112" t="s">
        <v>573</v>
      </c>
      <c r="H14" s="371">
        <f>H11-H12</f>
        <v>75890108.680906355</v>
      </c>
      <c r="I14" s="236"/>
      <c r="J14" s="440"/>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 x14ac:dyDescent="0.25">
      <c r="A15" s="3"/>
      <c r="B15" s="215"/>
      <c r="C15" s="3"/>
      <c r="D15" s="3"/>
      <c r="E15" s="3"/>
      <c r="F15" s="3"/>
      <c r="G15" s="3"/>
      <c r="H15" s="3"/>
      <c r="I15" s="236"/>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8.75" customHeight="1" x14ac:dyDescent="0.25">
      <c r="A16" s="3"/>
      <c r="B16" s="215"/>
      <c r="C16" s="2" t="s">
        <v>575</v>
      </c>
      <c r="D16" s="3" t="s">
        <v>759</v>
      </c>
      <c r="E16" s="3"/>
      <c r="F16" s="341">
        <f>'WK1 - Identification'!G62</f>
        <v>3.6999999999999998E-2</v>
      </c>
      <c r="G16" s="372"/>
      <c r="H16" s="192">
        <f>H$14*F16</f>
        <v>2807934.0211935351</v>
      </c>
      <c r="I16" s="214"/>
      <c r="J16" s="539">
        <f>IF(H16=0,0,H16-G49)</f>
        <v>0</v>
      </c>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8.75" customHeight="1" x14ac:dyDescent="0.25">
      <c r="A17" s="3"/>
      <c r="B17" s="215"/>
      <c r="C17" s="2" t="s">
        <v>575</v>
      </c>
      <c r="D17" s="3" t="str">
        <f>CHOOSE('WK1 - Identification'!$S$24,"Existing SV above rate peg - first year","na")</f>
        <v>na</v>
      </c>
      <c r="E17" s="3"/>
      <c r="F17" s="341">
        <f>'WK1 - Identification'!G63</f>
        <v>0</v>
      </c>
      <c r="G17" s="372"/>
      <c r="H17" s="192">
        <f t="shared" ref="H17:H19" si="0">H$14*F17</f>
        <v>0</v>
      </c>
      <c r="I17" s="214"/>
      <c r="J17" s="539"/>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9.5" customHeight="1" x14ac:dyDescent="0.25">
      <c r="A18" s="3"/>
      <c r="B18" s="215"/>
      <c r="C18" s="2" t="s">
        <v>575</v>
      </c>
      <c r="D18" s="3" t="str">
        <f>CHOOSE('WK1 - Identification'!$S$35,"Additional increase that is temporary - first year","Additional increase - first year")</f>
        <v>Additional increase - first year</v>
      </c>
      <c r="E18" s="3"/>
      <c r="F18" s="341">
        <f>'WK1 - Identification'!G64</f>
        <v>4.8000000000000001E-2</v>
      </c>
      <c r="G18" s="372"/>
      <c r="H18" s="192">
        <f t="shared" si="0"/>
        <v>3642725.2166835051</v>
      </c>
      <c r="I18" s="214"/>
      <c r="J18" s="539">
        <f>IF(H18=0,0,H18-G51)</f>
        <v>0</v>
      </c>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9.5" customHeight="1" x14ac:dyDescent="0.25">
      <c r="A19" s="3"/>
      <c r="B19" s="215"/>
      <c r="C19" s="2" t="s">
        <v>575</v>
      </c>
      <c r="D19" s="3" t="str">
        <f>CHOOSE('WK1 - Identification'!$S$35,"Additional increase that is permanent - first year","na")</f>
        <v>na</v>
      </c>
      <c r="E19" s="3"/>
      <c r="F19" s="341">
        <f>'WK1 - Identification'!G65</f>
        <v>0</v>
      </c>
      <c r="G19" s="372"/>
      <c r="H19" s="192">
        <f t="shared" si="0"/>
        <v>0</v>
      </c>
      <c r="I19" s="214"/>
      <c r="J19" s="539"/>
      <c r="K19" s="3"/>
      <c r="L19" s="3"/>
      <c r="M19" s="3"/>
      <c r="N19" s="3"/>
      <c r="O19" s="3"/>
      <c r="P19" s="3"/>
      <c r="Q19" s="3"/>
      <c r="R19" s="3"/>
      <c r="S19" s="3"/>
      <c r="T19" s="3"/>
      <c r="U19" s="3"/>
      <c r="V19" s="3"/>
      <c r="W19" s="3"/>
      <c r="X19" s="3"/>
      <c r="Y19" s="3"/>
      <c r="Z19" s="3"/>
      <c r="AA19" s="3"/>
      <c r="AB19" s="3"/>
      <c r="AC19" s="3"/>
      <c r="AD19" s="3"/>
      <c r="AE19" s="3"/>
      <c r="AF19" s="3"/>
      <c r="AG19" s="3"/>
      <c r="AH19" s="3"/>
      <c r="AI19" s="3"/>
      <c r="AJ19" s="3"/>
    </row>
    <row r="20" spans="1:36" ht="19.5" customHeight="1" x14ac:dyDescent="0.25">
      <c r="A20" s="3"/>
      <c r="B20" s="215"/>
      <c r="C20" s="2" t="s">
        <v>575</v>
      </c>
      <c r="D20" s="3" t="s">
        <v>580</v>
      </c>
      <c r="E20" s="3"/>
      <c r="F20" s="341">
        <f>IF(H14=0,0,H20/H14)</f>
        <v>0</v>
      </c>
      <c r="G20" s="372"/>
      <c r="H20" s="192">
        <f>'WK1 - Identification'!K44</f>
        <v>0</v>
      </c>
      <c r="I20" s="214"/>
      <c r="J20" s="539">
        <f>IF(H20=0,0,H20-G53)</f>
        <v>0</v>
      </c>
      <c r="K20" s="3"/>
      <c r="L20" s="3"/>
      <c r="M20" s="3"/>
      <c r="N20" s="3"/>
      <c r="O20" s="3"/>
      <c r="P20" s="3"/>
      <c r="Q20" s="3"/>
      <c r="R20" s="3"/>
      <c r="S20" s="3"/>
      <c r="T20" s="3"/>
      <c r="U20" s="3"/>
      <c r="V20" s="3"/>
      <c r="W20" s="3"/>
      <c r="X20" s="3"/>
      <c r="Y20" s="3"/>
      <c r="Z20" s="3"/>
      <c r="AA20" s="3"/>
      <c r="AB20" s="3"/>
      <c r="AC20" s="3"/>
      <c r="AD20" s="3"/>
      <c r="AE20" s="3"/>
      <c r="AF20" s="3"/>
      <c r="AG20" s="3"/>
      <c r="AH20" s="3"/>
      <c r="AI20" s="3"/>
      <c r="AJ20" s="3"/>
    </row>
    <row r="21" spans="1:36" ht="6" customHeight="1" x14ac:dyDescent="0.25">
      <c r="A21" s="3"/>
      <c r="B21" s="215"/>
      <c r="C21" s="2"/>
      <c r="D21" s="3"/>
      <c r="E21" s="3"/>
      <c r="F21" s="346"/>
      <c r="G21" s="3"/>
      <c r="H21" s="188"/>
      <c r="I21" s="21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row>
    <row r="22" spans="1:36" ht="22.5" customHeight="1" x14ac:dyDescent="0.25">
      <c r="A22" s="3"/>
      <c r="B22" s="215"/>
      <c r="C22" s="2"/>
      <c r="D22" s="2" t="s">
        <v>583</v>
      </c>
      <c r="E22" s="3"/>
      <c r="F22" s="373">
        <f>SUM(F16:F20)</f>
        <v>8.4999999999999992E-2</v>
      </c>
      <c r="G22" s="112" t="s">
        <v>573</v>
      </c>
      <c r="H22" s="371">
        <f>H14*F22</f>
        <v>6450659.2378770392</v>
      </c>
      <c r="I22" s="214"/>
      <c r="J22" s="539">
        <f>IF(H22=0,0,H22-G54)</f>
        <v>-9.3132257461547852E-10</v>
      </c>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2" customHeight="1" x14ac:dyDescent="0.25">
      <c r="A23" s="3"/>
      <c r="B23" s="215"/>
      <c r="C23" s="2"/>
      <c r="D23" s="2"/>
      <c r="E23" s="3"/>
      <c r="F23" s="372"/>
      <c r="G23" s="3"/>
      <c r="H23" s="188"/>
      <c r="I23" s="214"/>
      <c r="J23" s="539">
        <f>SUM(H16:H20)-H22</f>
        <v>0</v>
      </c>
      <c r="K23" s="3"/>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ht="15.75" customHeight="1" x14ac:dyDescent="0.25">
      <c r="A24" s="3"/>
      <c r="B24" s="215"/>
      <c r="C24" s="122" t="s">
        <v>585</v>
      </c>
      <c r="D24" s="3"/>
      <c r="E24" s="3"/>
      <c r="F24" s="3"/>
      <c r="G24" s="3"/>
      <c r="H24" s="3"/>
      <c r="I24" s="214"/>
      <c r="J24" s="539"/>
      <c r="K24" s="3"/>
      <c r="L24" s="3"/>
      <c r="M24" s="3"/>
      <c r="N24" s="3"/>
      <c r="O24" s="3"/>
      <c r="P24" s="3"/>
      <c r="Q24" s="3"/>
      <c r="R24" s="3"/>
      <c r="S24" s="3"/>
      <c r="T24" s="3"/>
      <c r="U24" s="3"/>
      <c r="V24" s="3"/>
      <c r="W24" s="3"/>
      <c r="X24" s="3"/>
      <c r="Y24" s="3"/>
      <c r="Z24" s="3"/>
      <c r="AA24" s="3"/>
      <c r="AB24" s="3"/>
      <c r="AC24" s="3"/>
      <c r="AD24" s="3"/>
      <c r="AE24" s="3"/>
      <c r="AF24" s="3"/>
      <c r="AG24" s="3"/>
      <c r="AH24" s="3"/>
      <c r="AI24" s="3"/>
      <c r="AJ24" s="3"/>
    </row>
    <row r="25" spans="1:36" ht="20.25" customHeight="1" x14ac:dyDescent="0.25">
      <c r="A25" s="3"/>
      <c r="B25" s="215"/>
      <c r="C25" s="2" t="s">
        <v>587</v>
      </c>
      <c r="D25" s="3" t="s">
        <v>588</v>
      </c>
      <c r="E25" s="3"/>
      <c r="F25" s="3"/>
      <c r="G25" s="3"/>
      <c r="H25" s="192">
        <f>'WK1 - Identification'!K45</f>
        <v>0</v>
      </c>
      <c r="I25" s="214"/>
      <c r="J25" s="539"/>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ht="18.75" customHeight="1" x14ac:dyDescent="0.25">
      <c r="A26" s="3"/>
      <c r="B26" s="215"/>
      <c r="C26" s="2" t="s">
        <v>590</v>
      </c>
      <c r="D26" s="3" t="s">
        <v>591</v>
      </c>
      <c r="E26" s="3"/>
      <c r="F26" s="3"/>
      <c r="G26" s="77"/>
      <c r="H26" s="192">
        <f>-'WK1 - Identification'!K46</f>
        <v>0</v>
      </c>
      <c r="I26" s="236"/>
      <c r="J26" s="539"/>
      <c r="K26" s="3"/>
      <c r="L26" s="3"/>
      <c r="M26" s="3"/>
      <c r="N26" s="3"/>
      <c r="O26" s="3"/>
      <c r="P26" s="3"/>
      <c r="Q26" s="3"/>
      <c r="R26" s="3"/>
      <c r="S26" s="3"/>
      <c r="T26" s="3"/>
      <c r="U26" s="3"/>
      <c r="V26" s="3"/>
      <c r="W26" s="3"/>
      <c r="X26" s="3"/>
      <c r="Y26" s="3"/>
      <c r="Z26" s="3"/>
      <c r="AA26" s="3"/>
      <c r="AB26" s="3"/>
      <c r="AC26" s="3"/>
      <c r="AD26" s="3"/>
      <c r="AE26" s="3"/>
      <c r="AF26" s="3"/>
      <c r="AG26" s="3"/>
      <c r="AH26" s="3"/>
      <c r="AI26" s="3"/>
      <c r="AJ26" s="3"/>
    </row>
    <row r="27" spans="1:36" ht="8.1" customHeight="1" x14ac:dyDescent="0.25">
      <c r="A27" s="3"/>
      <c r="B27" s="215"/>
      <c r="C27" s="2"/>
      <c r="D27" s="3"/>
      <c r="E27" s="3"/>
      <c r="F27" s="3"/>
      <c r="G27" s="3"/>
      <c r="H27" s="3"/>
      <c r="I27" s="214"/>
      <c r="J27" s="539"/>
      <c r="K27" s="3"/>
      <c r="L27" s="3"/>
      <c r="M27" s="3"/>
      <c r="N27" s="3"/>
      <c r="O27" s="3"/>
      <c r="P27" s="3"/>
      <c r="Q27" s="3"/>
      <c r="R27" s="3"/>
      <c r="S27" s="3"/>
      <c r="T27" s="3"/>
      <c r="U27" s="3"/>
      <c r="V27" s="3"/>
      <c r="W27" s="3"/>
      <c r="X27" s="3"/>
      <c r="Y27" s="3"/>
      <c r="Z27" s="3"/>
      <c r="AA27" s="3"/>
      <c r="AB27" s="3"/>
      <c r="AC27" s="3"/>
      <c r="AD27" s="3"/>
      <c r="AE27" s="3"/>
      <c r="AF27" s="3"/>
      <c r="AG27" s="3"/>
      <c r="AH27" s="3"/>
      <c r="AI27" s="3"/>
      <c r="AJ27" s="3"/>
    </row>
    <row r="28" spans="1:36" ht="11.25" customHeight="1" x14ac:dyDescent="0.25">
      <c r="A28" s="3"/>
      <c r="B28" s="215"/>
      <c r="C28" s="2"/>
      <c r="D28" s="3"/>
      <c r="E28" s="3"/>
      <c r="F28" s="3"/>
      <c r="G28" s="3"/>
      <c r="H28" s="374"/>
      <c r="I28" s="214"/>
      <c r="J28" s="539"/>
      <c r="K28" s="3"/>
      <c r="L28" s="3"/>
      <c r="M28" s="3"/>
      <c r="N28" s="3"/>
      <c r="O28" s="3"/>
      <c r="P28" s="3"/>
      <c r="Q28" s="3"/>
      <c r="R28" s="3"/>
      <c r="S28" s="3"/>
      <c r="T28" s="3"/>
      <c r="U28" s="3"/>
      <c r="V28" s="3"/>
      <c r="W28" s="3"/>
      <c r="X28" s="3"/>
      <c r="Y28" s="3"/>
      <c r="Z28" s="3"/>
      <c r="AA28" s="3"/>
      <c r="AB28" s="3"/>
      <c r="AC28" s="3"/>
      <c r="AD28" s="3"/>
      <c r="AE28" s="3"/>
      <c r="AF28" s="3"/>
      <c r="AG28" s="3"/>
      <c r="AH28" s="3"/>
      <c r="AI28" s="3"/>
      <c r="AJ28" s="3"/>
    </row>
    <row r="29" spans="1:36" ht="15" x14ac:dyDescent="0.25">
      <c r="A29" s="3"/>
      <c r="B29" s="215"/>
      <c r="C29" s="2"/>
      <c r="D29" s="3"/>
      <c r="E29" s="3"/>
      <c r="F29" s="3" t="s">
        <v>594</v>
      </c>
      <c r="G29" s="3"/>
      <c r="H29" s="375">
        <f>H25+H26</f>
        <v>0</v>
      </c>
      <c r="I29" s="214"/>
      <c r="J29" s="539">
        <f>H29-G57</f>
        <v>0</v>
      </c>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x14ac:dyDescent="0.25">
      <c r="A30" s="3"/>
      <c r="B30" s="215"/>
      <c r="C30" s="2"/>
      <c r="D30" s="3"/>
      <c r="E30" s="3"/>
      <c r="F30" s="3"/>
      <c r="G30" s="3"/>
      <c r="H30" s="3"/>
      <c r="I30" s="214"/>
      <c r="J30" s="539"/>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spans="1:36" ht="15.6" thickBot="1" x14ac:dyDescent="0.3">
      <c r="A31" s="3"/>
      <c r="B31" s="215"/>
      <c r="C31" s="3"/>
      <c r="D31" s="2" t="s">
        <v>597</v>
      </c>
      <c r="E31" s="3"/>
      <c r="F31" s="77"/>
      <c r="G31" s="112" t="s">
        <v>573</v>
      </c>
      <c r="H31" s="376">
        <f>H14+H22+H29</f>
        <v>82340767.918783396</v>
      </c>
      <c r="I31" s="214"/>
      <c r="J31" s="539">
        <f>IF(H31=0,0,H31-G58)</f>
        <v>0</v>
      </c>
      <c r="K31" s="3"/>
      <c r="L31" s="3"/>
      <c r="M31" s="3"/>
      <c r="N31" s="3"/>
      <c r="O31" s="3"/>
      <c r="P31" s="3"/>
      <c r="Q31" s="3"/>
      <c r="R31" s="3"/>
      <c r="S31" s="3"/>
      <c r="T31" s="3"/>
      <c r="U31" s="3"/>
      <c r="V31" s="3"/>
      <c r="W31" s="3"/>
      <c r="X31" s="3"/>
      <c r="Y31" s="3"/>
      <c r="Z31" s="3"/>
      <c r="AA31" s="3"/>
      <c r="AB31" s="3"/>
      <c r="AC31" s="3"/>
      <c r="AD31" s="3"/>
      <c r="AE31" s="3"/>
      <c r="AF31" s="3"/>
      <c r="AG31" s="3"/>
      <c r="AH31" s="3"/>
      <c r="AI31" s="3"/>
      <c r="AJ31" s="3"/>
    </row>
    <row r="32" spans="1:36" ht="15.6" thickTop="1" x14ac:dyDescent="0.25">
      <c r="A32" s="3"/>
      <c r="B32" s="378"/>
      <c r="C32" s="93"/>
      <c r="D32" s="93"/>
      <c r="E32" s="93"/>
      <c r="F32" s="93"/>
      <c r="G32" s="93"/>
      <c r="H32" s="93"/>
      <c r="I32" s="379"/>
      <c r="J32" s="3"/>
      <c r="K32" s="3"/>
      <c r="L32" s="3"/>
      <c r="M32" s="380"/>
      <c r="N32" s="3"/>
      <c r="O32" s="3"/>
      <c r="P32" s="3"/>
      <c r="Q32" s="3"/>
      <c r="R32" s="3"/>
      <c r="S32" s="3"/>
      <c r="T32" s="3"/>
      <c r="U32" s="3"/>
      <c r="V32" s="3"/>
      <c r="W32" s="3"/>
      <c r="X32" s="3"/>
      <c r="Y32" s="3"/>
      <c r="Z32" s="3"/>
      <c r="AA32" s="3"/>
      <c r="AB32" s="3"/>
      <c r="AC32" s="3"/>
      <c r="AD32" s="3"/>
      <c r="AE32" s="3"/>
      <c r="AF32" s="3"/>
      <c r="AG32" s="3"/>
      <c r="AH32" s="3"/>
      <c r="AI32" s="3"/>
      <c r="AJ32" s="3"/>
    </row>
    <row r="33" spans="1:36"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row>
    <row r="34" spans="1:36"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ht="10.9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row r="36" spans="1:36"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6" x14ac:dyDescent="0.3">
      <c r="A37" s="3"/>
      <c r="B37" s="4" t="str">
        <f>"PERMISSABLE GENERAL INCOME (PGI) OVER PROPOSED SV PERIOD ("&amp;E45&amp;")"</f>
        <v>PERMISSABLE GENERAL INCOME (PGI) OVER PROPOSED SV PERIOD ($ nominal)</v>
      </c>
      <c r="C37" s="4"/>
      <c r="D37" s="129"/>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row>
    <row r="38" spans="1:36" ht="14.25" customHeight="1" thickBot="1" x14ac:dyDescent="0.35">
      <c r="A38" s="3"/>
      <c r="B38" s="3" t="s">
        <v>760</v>
      </c>
      <c r="C38" s="4"/>
      <c r="D38" s="129"/>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row>
    <row r="39" spans="1:36" ht="12" x14ac:dyDescent="0.25">
      <c r="A39" s="3"/>
      <c r="B39" s="209"/>
      <c r="C39" s="210"/>
      <c r="D39" s="210"/>
      <c r="E39" s="210"/>
      <c r="F39" s="381" t="str">
        <f>'WK0 - Input data'!H$55</f>
        <v>Year 0</v>
      </c>
      <c r="G39" s="381" t="str">
        <f>'WK0 - Input data'!I$55</f>
        <v>Year 1</v>
      </c>
      <c r="H39" s="381" t="str">
        <f>'WK0 - Input data'!J$55</f>
        <v>Year 2</v>
      </c>
      <c r="I39" s="381" t="str">
        <f>'WK0 - Input data'!K$55</f>
        <v>Year 3</v>
      </c>
      <c r="J39" s="381" t="str">
        <f>'WK0 - Input data'!L$55</f>
        <v>Year 4</v>
      </c>
      <c r="K39" s="381" t="str">
        <f>'WK0 - Input data'!M$55</f>
        <v>Year 5</v>
      </c>
      <c r="L39" s="381" t="str">
        <f>'WK0 - Input data'!N$55</f>
        <v>Year 6</v>
      </c>
      <c r="M39" s="836" t="str">
        <f>'WK0 - Input data'!O$55</f>
        <v>Year 7</v>
      </c>
      <c r="N39" s="552" t="s">
        <v>761</v>
      </c>
      <c r="O39" s="228" t="s">
        <v>762</v>
      </c>
      <c r="P39" s="211"/>
      <c r="Q39" s="3"/>
      <c r="S39" s="3"/>
      <c r="T39" s="3"/>
      <c r="U39" s="1116"/>
      <c r="V39" s="1116"/>
      <c r="W39" s="1116"/>
      <c r="X39" s="1116"/>
      <c r="Y39" s="1116"/>
      <c r="Z39" s="1116"/>
      <c r="AA39" s="1116"/>
      <c r="AB39" s="1116"/>
      <c r="AC39" s="1116"/>
      <c r="AD39" s="1116"/>
      <c r="AE39" s="1116"/>
      <c r="AF39" s="1116"/>
      <c r="AG39" s="1116"/>
      <c r="AH39" s="1116"/>
      <c r="AI39" s="1116"/>
      <c r="AJ39" s="1116"/>
    </row>
    <row r="40" spans="1:36" ht="12" x14ac:dyDescent="0.25">
      <c r="A40" s="3"/>
      <c r="B40" s="212"/>
      <c r="C40" s="3" t="str">
        <f>'WK0 - Input data'!B$58</f>
        <v>Financial year</v>
      </c>
      <c r="D40" s="3"/>
      <c r="E40" s="80" t="s">
        <v>763</v>
      </c>
      <c r="F40" s="112" t="str">
        <f>'WK0 - Input data'!H$58</f>
        <v>2022-23</v>
      </c>
      <c r="G40" s="112" t="str">
        <f>'WK0 - Input data'!I$58</f>
        <v>2023-24</v>
      </c>
      <c r="H40" s="112" t="str">
        <f>'WK0 - Input data'!J$58</f>
        <v>2024-25</v>
      </c>
      <c r="I40" s="112" t="str">
        <f>'WK0 - Input data'!K$58</f>
        <v>2025-26</v>
      </c>
      <c r="J40" s="112" t="str">
        <f>'WK0 - Input data'!L$58</f>
        <v>2026-27</v>
      </c>
      <c r="K40" s="112" t="str">
        <f>'WK0 - Input data'!M$58</f>
        <v>2027-28</v>
      </c>
      <c r="L40" s="112" t="str">
        <f>'WK0 - Input data'!N$58</f>
        <v>2028-29</v>
      </c>
      <c r="M40" s="913" t="str">
        <f>'WK0 - Input data'!O$58</f>
        <v>2029-30</v>
      </c>
      <c r="N40" s="80" t="str">
        <f>E45</f>
        <v>$ nominal</v>
      </c>
      <c r="O40" s="80" t="s">
        <v>7</v>
      </c>
      <c r="P40" s="214"/>
      <c r="Q40" s="3"/>
      <c r="R40" s="3"/>
      <c r="S40" s="3"/>
      <c r="T40" s="3"/>
      <c r="U40" s="1116"/>
      <c r="V40" s="1116"/>
      <c r="W40" s="1116"/>
      <c r="X40" s="1116"/>
      <c r="Y40" s="1116"/>
      <c r="Z40" s="1116"/>
      <c r="AA40" s="1116"/>
      <c r="AB40" s="1116"/>
      <c r="AC40" s="1116"/>
      <c r="AD40" s="1116"/>
      <c r="AE40" s="1116"/>
      <c r="AF40" s="1116"/>
      <c r="AG40" s="1116"/>
      <c r="AH40" s="1116"/>
      <c r="AI40" s="1116"/>
      <c r="AJ40" s="1116"/>
    </row>
    <row r="41" spans="1:36" ht="21" x14ac:dyDescent="0.25">
      <c r="A41" s="3"/>
      <c r="B41" s="212"/>
      <c r="C41" s="411"/>
      <c r="D41" s="411"/>
      <c r="E41" s="411"/>
      <c r="F41" s="915"/>
      <c r="G41" s="916" t="str">
        <f>IF('WK1 - Identification'!G57=1,"Proposed SV period",IF(AND('WK1 - Identification'!G57=0,'WK1 - Identification'!G60&gt;0),"Existing SV period","no SV"))</f>
        <v>Proposed SV period</v>
      </c>
      <c r="H41" s="916" t="str">
        <f>IF('WK1 - Identification'!H57=1,"Proposed SV period",IF(AND('WK1 - Identification'!H57=0,'WK1 - Identification'!H60&gt;0),"Existing SV period","no SV"))</f>
        <v>Proposed SV period</v>
      </c>
      <c r="I41" s="916" t="str">
        <f>IF('WK1 - Identification'!I57=1,"Proposed SV period",IF(AND('WK1 - Identification'!I57=0,'WK1 - Identification'!I60&gt;0),"Existing SV period","no SV"))</f>
        <v>Proposed SV period</v>
      </c>
      <c r="J41" s="916" t="str">
        <f>IF('WK1 - Identification'!J57=1,"Proposed SV period",IF(AND('WK1 - Identification'!J57=0,'WK1 - Identification'!J60&gt;0),"Existing SV period","no SV"))</f>
        <v>Proposed SV period</v>
      </c>
      <c r="K41" s="916" t="str">
        <f>IF('WK1 - Identification'!K57=1,"Proposed SV period",IF(AND('WK1 - Identification'!K57=0,'WK1 - Identification'!K60&gt;0),"Existing SV period","no SV"))</f>
        <v>no SV</v>
      </c>
      <c r="L41" s="916" t="str">
        <f>IF('WK1 - Identification'!L57=1,"Proposed SV period",IF(AND('WK1 - Identification'!L57=0,'WK1 - Identification'!L60&gt;0),"Existing SV period","no SV"))</f>
        <v>no SV</v>
      </c>
      <c r="M41" s="916" t="str">
        <f>IF('WK1 - Identification'!M57=1,"Proposed SV period",IF(AND('WK1 - Identification'!M57=0,'WK1 - Identification'!M60&gt;0),"Existing SV period","no SV"))</f>
        <v>no SV</v>
      </c>
      <c r="N41" s="914"/>
      <c r="O41" s="833"/>
      <c r="P41" s="214"/>
      <c r="Q41" s="3"/>
      <c r="R41" s="3"/>
      <c r="S41" s="3"/>
      <c r="T41" s="3"/>
      <c r="U41" s="1116"/>
      <c r="V41" s="1116"/>
      <c r="W41" s="1116"/>
      <c r="X41" s="1116"/>
      <c r="Y41" s="1116"/>
      <c r="Z41" s="1116"/>
      <c r="AA41" s="1116"/>
      <c r="AB41" s="1116"/>
      <c r="AC41" s="1116"/>
      <c r="AD41" s="1116"/>
      <c r="AE41" s="1116"/>
      <c r="AF41" s="1116"/>
      <c r="AG41" s="1116"/>
      <c r="AH41" s="1116"/>
      <c r="AI41" s="1116"/>
      <c r="AJ41" s="1116"/>
    </row>
    <row r="42" spans="1:36" outlineLevel="1" x14ac:dyDescent="0.2">
      <c r="A42" s="3"/>
      <c r="B42" s="212"/>
      <c r="C42" s="866" t="str">
        <f>'WK1 - Identification'!C58</f>
        <v>0 = beyond temporary SV period</v>
      </c>
      <c r="D42" s="866"/>
      <c r="E42" s="867"/>
      <c r="F42" s="422">
        <f>'WK1 - Identification'!F58</f>
        <v>1</v>
      </c>
      <c r="G42" s="422">
        <f>'WK1 - Identification'!G58</f>
        <v>1</v>
      </c>
      <c r="H42" s="422">
        <f>'WK1 - Identification'!H58</f>
        <v>1</v>
      </c>
      <c r="I42" s="422">
        <f>'WK1 - Identification'!I58</f>
        <v>1</v>
      </c>
      <c r="J42" s="422">
        <f>'WK1 - Identification'!J58</f>
        <v>1</v>
      </c>
      <c r="K42" s="422">
        <f>'WK1 - Identification'!K58</f>
        <v>1</v>
      </c>
      <c r="L42" s="422">
        <f>'WK1 - Identification'!L58</f>
        <v>1</v>
      </c>
      <c r="M42" s="422">
        <f>'WK1 - Identification'!M58</f>
        <v>1</v>
      </c>
      <c r="N42" s="838"/>
      <c r="O42" s="80"/>
      <c r="P42" s="214"/>
      <c r="Q42" s="3"/>
      <c r="R42" s="3"/>
      <c r="S42" s="3"/>
      <c r="T42" s="3"/>
      <c r="U42" s="1116"/>
      <c r="V42" s="1116"/>
      <c r="W42" s="1116"/>
      <c r="X42" s="1116"/>
      <c r="Y42" s="1116"/>
      <c r="Z42" s="1116"/>
      <c r="AA42" s="1116"/>
      <c r="AB42" s="1116"/>
      <c r="AC42" s="1116"/>
      <c r="AD42" s="1116"/>
      <c r="AE42" s="1116"/>
      <c r="AF42" s="1116"/>
      <c r="AG42" s="1116"/>
      <c r="AH42" s="1116"/>
      <c r="AI42" s="1116"/>
      <c r="AJ42" s="1116"/>
    </row>
    <row r="43" spans="1:36" ht="12" x14ac:dyDescent="0.25">
      <c r="A43" s="3"/>
      <c r="B43" s="212"/>
      <c r="C43" s="3"/>
      <c r="D43" s="3"/>
      <c r="E43" s="3"/>
      <c r="F43" s="2"/>
      <c r="G43" s="2"/>
      <c r="H43" s="2"/>
      <c r="I43" s="2"/>
      <c r="J43" s="2"/>
      <c r="K43" s="2"/>
      <c r="L43" s="2"/>
      <c r="M43" s="112"/>
      <c r="N43" s="838"/>
      <c r="O43" s="112"/>
      <c r="P43" s="214"/>
      <c r="Q43" s="3"/>
      <c r="R43" s="3"/>
      <c r="S43" s="3"/>
      <c r="T43" s="3"/>
      <c r="U43" s="1116"/>
      <c r="V43" s="1116"/>
      <c r="W43" s="1116"/>
      <c r="X43" s="1116"/>
      <c r="Y43" s="1116"/>
      <c r="Z43" s="1116"/>
      <c r="AA43" s="1116"/>
      <c r="AB43" s="1116"/>
      <c r="AC43" s="1116"/>
      <c r="AD43" s="1116"/>
      <c r="AE43" s="1116"/>
      <c r="AF43" s="1116"/>
      <c r="AG43" s="1116"/>
      <c r="AH43" s="1116"/>
      <c r="AI43" s="1116"/>
      <c r="AJ43" s="1116"/>
    </row>
    <row r="44" spans="1:36" ht="12" x14ac:dyDescent="0.25">
      <c r="A44" s="3"/>
      <c r="B44" s="212"/>
      <c r="C44" s="122" t="s">
        <v>764</v>
      </c>
      <c r="D44" s="3"/>
      <c r="E44" s="3"/>
      <c r="F44" s="2"/>
      <c r="G44" s="2"/>
      <c r="H44" s="112"/>
      <c r="I44" s="112"/>
      <c r="J44" s="112"/>
      <c r="K44" s="112"/>
      <c r="L44" s="112"/>
      <c r="M44" s="112"/>
      <c r="N44" s="838"/>
      <c r="O44" s="3"/>
      <c r="P44" s="214"/>
      <c r="Q44" s="3"/>
      <c r="R44" s="3"/>
      <c r="S44" s="3"/>
      <c r="T44" s="3"/>
      <c r="U44" s="1116"/>
      <c r="V44" s="1116"/>
      <c r="W44" s="1116"/>
      <c r="X44" s="1116"/>
      <c r="Y44" s="1116"/>
      <c r="Z44" s="1116"/>
      <c r="AA44" s="1116"/>
      <c r="AB44" s="1116"/>
      <c r="AC44" s="1116"/>
      <c r="AD44" s="1116"/>
      <c r="AE44" s="1116"/>
      <c r="AF44" s="1116"/>
      <c r="AG44" s="1116"/>
      <c r="AH44" s="1116"/>
      <c r="AI44" s="1116"/>
      <c r="AJ44" s="1116"/>
    </row>
    <row r="45" spans="1:36" x14ac:dyDescent="0.2">
      <c r="A45" s="3"/>
      <c r="B45" s="212"/>
      <c r="C45" s="3" t="s">
        <v>765</v>
      </c>
      <c r="D45" s="3"/>
      <c r="E45" s="3" t="str">
        <f>'WK0 - Input data'!$C$62</f>
        <v>$ nominal</v>
      </c>
      <c r="F45" s="192"/>
      <c r="G45" s="455">
        <f t="shared" ref="G45" si="1">IF(G$42=0,0,F58)</f>
        <v>75890108.680906355</v>
      </c>
      <c r="H45" s="455">
        <f t="shared" ref="H45:K45" si="2">IF(H$42=0,0,G58)</f>
        <v>82340767.918783396</v>
      </c>
      <c r="I45" s="455">
        <f t="shared" si="2"/>
        <v>88516325.512692153</v>
      </c>
      <c r="J45" s="455">
        <f t="shared" si="2"/>
        <v>94269886.67101714</v>
      </c>
      <c r="K45" s="455">
        <f t="shared" si="2"/>
        <v>99454730.437923089</v>
      </c>
      <c r="L45" s="455">
        <f t="shared" ref="L45" si="3">IF(L$42=0,0,K58)</f>
        <v>101941098.69887117</v>
      </c>
      <c r="M45" s="455">
        <f>IF(M$42=0,0,L58)</f>
        <v>104489626.16634294</v>
      </c>
      <c r="N45" s="839"/>
      <c r="O45" s="3"/>
      <c r="P45" s="214"/>
      <c r="Q45" s="3"/>
      <c r="R45" s="3"/>
      <c r="S45" s="3"/>
      <c r="T45" s="3"/>
      <c r="U45" s="1116"/>
      <c r="V45" s="1116"/>
      <c r="W45" s="1116"/>
      <c r="X45" s="1116"/>
      <c r="Y45" s="1116"/>
      <c r="Z45" s="1116"/>
      <c r="AA45" s="1116"/>
      <c r="AB45" s="1116"/>
      <c r="AC45" s="1116"/>
      <c r="AD45" s="1116"/>
      <c r="AE45" s="1116"/>
      <c r="AF45" s="1116"/>
      <c r="AG45" s="1116"/>
      <c r="AH45" s="1116"/>
      <c r="AI45" s="1116"/>
      <c r="AJ45" s="1116"/>
    </row>
    <row r="46" spans="1:36" x14ac:dyDescent="0.2">
      <c r="A46" s="3"/>
      <c r="B46" s="212"/>
      <c r="C46" s="76" t="s">
        <v>766</v>
      </c>
      <c r="D46" s="3" t="s">
        <v>767</v>
      </c>
      <c r="E46" s="3" t="str">
        <f>E45</f>
        <v>$ nominal</v>
      </c>
      <c r="F46" s="192"/>
      <c r="G46" s="455">
        <f>'WK1 - Identification'!F74</f>
        <v>0</v>
      </c>
      <c r="H46" s="455">
        <f>'WK1 - Identification'!G74</f>
        <v>0</v>
      </c>
      <c r="I46" s="455">
        <f>'WK1 - Identification'!H74</f>
        <v>0</v>
      </c>
      <c r="J46" s="455">
        <f>'WK1 - Identification'!I74</f>
        <v>0</v>
      </c>
      <c r="K46" s="455">
        <f>'WK1 - Identification'!J74</f>
        <v>0</v>
      </c>
      <c r="L46" s="455">
        <f>'WK1 - Identification'!K74</f>
        <v>0</v>
      </c>
      <c r="M46" s="455">
        <f>IF(M$42=0,0,'WK1 - Identification'!L74)</f>
        <v>0</v>
      </c>
      <c r="N46" s="839"/>
      <c r="O46" s="3"/>
      <c r="P46" s="214"/>
      <c r="Q46" s="3"/>
      <c r="R46" s="3"/>
      <c r="S46" s="3"/>
      <c r="T46" s="3"/>
      <c r="U46" s="1116"/>
      <c r="V46" s="1116"/>
      <c r="W46" s="1116"/>
      <c r="X46" s="1116"/>
      <c r="Y46" s="1116"/>
      <c r="Z46" s="1116"/>
      <c r="AA46" s="1116"/>
      <c r="AB46" s="1116"/>
      <c r="AC46" s="1116"/>
      <c r="AD46" s="1116"/>
      <c r="AE46" s="1116"/>
      <c r="AF46" s="1116"/>
      <c r="AG46" s="1116"/>
      <c r="AH46" s="1116"/>
      <c r="AI46" s="1116"/>
      <c r="AJ46" s="1116"/>
    </row>
    <row r="47" spans="1:36" x14ac:dyDescent="0.2">
      <c r="A47" s="3"/>
      <c r="B47" s="212"/>
      <c r="C47" s="3" t="s">
        <v>768</v>
      </c>
      <c r="D47" s="3"/>
      <c r="E47" s="3" t="str">
        <f>E46</f>
        <v>$ nominal</v>
      </c>
      <c r="F47" s="192"/>
      <c r="G47" s="455">
        <f t="shared" ref="G47" si="4">G45-G46</f>
        <v>75890108.680906355</v>
      </c>
      <c r="H47" s="455">
        <f t="shared" ref="H47:K47" si="5">H45-H46</f>
        <v>82340767.918783396</v>
      </c>
      <c r="I47" s="455">
        <f t="shared" si="5"/>
        <v>88516325.512692153</v>
      </c>
      <c r="J47" s="455">
        <f t="shared" si="5"/>
        <v>94269886.67101714</v>
      </c>
      <c r="K47" s="455">
        <f t="shared" si="5"/>
        <v>99454730.437923089</v>
      </c>
      <c r="L47" s="455">
        <f t="shared" ref="L47:M47" si="6">L45-L46</f>
        <v>101941098.69887117</v>
      </c>
      <c r="M47" s="455">
        <f t="shared" si="6"/>
        <v>104489626.16634294</v>
      </c>
      <c r="N47" s="839"/>
      <c r="O47" s="3"/>
      <c r="P47" s="214"/>
      <c r="Q47" s="3"/>
      <c r="R47" s="3"/>
      <c r="S47" s="3"/>
      <c r="T47" s="3"/>
      <c r="U47" s="1116"/>
      <c r="V47" s="1116"/>
      <c r="W47" s="1116"/>
      <c r="X47" s="1116"/>
      <c r="Y47" s="1116"/>
      <c r="Z47" s="1116"/>
      <c r="AA47" s="1116"/>
      <c r="AB47" s="1116"/>
      <c r="AC47" s="1116"/>
      <c r="AD47" s="1116"/>
      <c r="AE47" s="1116"/>
      <c r="AF47" s="1116"/>
      <c r="AG47" s="1116"/>
      <c r="AH47" s="1116"/>
      <c r="AI47" s="1116"/>
      <c r="AJ47" s="1116"/>
    </row>
    <row r="48" spans="1:36" ht="7.5" customHeight="1" x14ac:dyDescent="0.2">
      <c r="A48" s="3"/>
      <c r="B48" s="212"/>
      <c r="C48" s="3"/>
      <c r="D48" s="3"/>
      <c r="E48" s="3"/>
      <c r="F48" s="192"/>
      <c r="G48" s="455"/>
      <c r="H48" s="455"/>
      <c r="I48" s="455"/>
      <c r="J48" s="455"/>
      <c r="K48" s="455"/>
      <c r="L48" s="455"/>
      <c r="M48" s="455"/>
      <c r="N48" s="839"/>
      <c r="O48" s="3"/>
      <c r="P48" s="214"/>
      <c r="Q48" s="3"/>
      <c r="R48" s="3"/>
      <c r="S48" s="3"/>
      <c r="T48" s="3"/>
      <c r="U48" s="1116"/>
      <c r="V48" s="1116"/>
      <c r="W48" s="1116"/>
      <c r="X48" s="1116"/>
      <c r="Y48" s="1116"/>
      <c r="Z48" s="1116"/>
      <c r="AA48" s="1116"/>
      <c r="AB48" s="1116"/>
      <c r="AC48" s="1116"/>
      <c r="AD48" s="1116"/>
      <c r="AE48" s="1116"/>
      <c r="AF48" s="1116"/>
      <c r="AG48" s="1116"/>
      <c r="AH48" s="1116"/>
      <c r="AI48" s="1116"/>
      <c r="AJ48" s="1116"/>
    </row>
    <row r="49" spans="1:36" x14ac:dyDescent="0.2">
      <c r="A49" s="3"/>
      <c r="B49" s="212"/>
      <c r="C49" s="76" t="s">
        <v>690</v>
      </c>
      <c r="D49" s="3" t="s">
        <v>769</v>
      </c>
      <c r="E49" s="3" t="str">
        <f>$E$45</f>
        <v>$ nominal</v>
      </c>
      <c r="F49" s="192"/>
      <c r="G49" s="455">
        <f>G$47*'WK1 - Identification'!G62</f>
        <v>2807934.0211935351</v>
      </c>
      <c r="H49" s="455">
        <f>H$47*'WK1 - Identification'!H62</f>
        <v>2058519.197969585</v>
      </c>
      <c r="I49" s="455">
        <f>I$47*'WK1 - Identification'!I62</f>
        <v>2212908.1378173041</v>
      </c>
      <c r="J49" s="455">
        <f>J$47*'WK1 - Identification'!J62</f>
        <v>2356747.1667754287</v>
      </c>
      <c r="K49" s="455">
        <f>K$47*'WK1 - Identification'!K62</f>
        <v>2486368.2609480773</v>
      </c>
      <c r="L49" s="455">
        <f>L$47*'WK1 - Identification'!L62</f>
        <v>2548527.4674717793</v>
      </c>
      <c r="M49" s="455">
        <f>M$47*'WK1 - Identification'!M62</f>
        <v>2612240.6541585736</v>
      </c>
      <c r="N49" s="839"/>
      <c r="O49" s="3"/>
      <c r="P49" s="214"/>
      <c r="Q49" s="3"/>
      <c r="R49" s="3"/>
      <c r="S49" s="3"/>
      <c r="T49" s="3"/>
      <c r="U49" s="1116"/>
      <c r="V49" s="1116"/>
      <c r="W49" s="1116"/>
      <c r="X49" s="1116"/>
      <c r="Y49" s="1116"/>
      <c r="Z49" s="1116"/>
      <c r="AA49" s="1116"/>
      <c r="AB49" s="1116"/>
      <c r="AC49" s="1116"/>
      <c r="AD49" s="1116"/>
      <c r="AE49" s="1116"/>
      <c r="AF49" s="1116"/>
      <c r="AG49" s="1116"/>
      <c r="AH49" s="1116"/>
      <c r="AI49" s="1116"/>
      <c r="AJ49" s="1116"/>
    </row>
    <row r="50" spans="1:36" x14ac:dyDescent="0.2">
      <c r="A50" s="3"/>
      <c r="B50" s="212"/>
      <c r="C50" s="76" t="s">
        <v>690</v>
      </c>
      <c r="D50" s="3" t="str">
        <f>CHOOSE('WK1 - Identification'!$S$24,"existing SV above rate peg","na")</f>
        <v>na</v>
      </c>
      <c r="E50" s="3" t="str">
        <f>$E$45</f>
        <v>$ nominal</v>
      </c>
      <c r="F50" s="192"/>
      <c r="G50" s="455">
        <f>G$47*'WK1 - Identification'!G63</f>
        <v>0</v>
      </c>
      <c r="H50" s="455">
        <f>H$47*'WK1 - Identification'!H63</f>
        <v>0</v>
      </c>
      <c r="I50" s="455">
        <f>I$47*'WK1 - Identification'!I63</f>
        <v>0</v>
      </c>
      <c r="J50" s="455">
        <f>J$47*'WK1 - Identification'!J63</f>
        <v>0</v>
      </c>
      <c r="K50" s="455">
        <f>K$47*'WK1 - Identification'!K63</f>
        <v>0</v>
      </c>
      <c r="L50" s="455">
        <f>L$47*'WK1 - Identification'!L63</f>
        <v>0</v>
      </c>
      <c r="M50" s="455">
        <f>M$47*'WK1 - Identification'!M63</f>
        <v>0</v>
      </c>
      <c r="N50" s="839"/>
      <c r="O50" s="3"/>
      <c r="P50" s="214"/>
      <c r="Q50" s="3"/>
      <c r="R50" s="3"/>
      <c r="S50" s="3"/>
      <c r="T50" s="3"/>
      <c r="U50" s="1116"/>
      <c r="V50" s="1116"/>
      <c r="W50" s="1116"/>
      <c r="X50" s="1116"/>
      <c r="Y50" s="1116"/>
      <c r="Z50" s="1116"/>
      <c r="AA50" s="1116"/>
      <c r="AB50" s="1116"/>
      <c r="AC50" s="1116"/>
      <c r="AD50" s="1116"/>
      <c r="AE50" s="1116"/>
      <c r="AF50" s="1116"/>
      <c r="AG50" s="1116"/>
      <c r="AH50" s="1116"/>
      <c r="AI50" s="1116"/>
      <c r="AJ50" s="1116"/>
    </row>
    <row r="51" spans="1:36" x14ac:dyDescent="0.2">
      <c r="A51" s="3"/>
      <c r="B51" s="212"/>
      <c r="C51" s="76" t="str">
        <f>C49</f>
        <v xml:space="preserve">     plus</v>
      </c>
      <c r="D51" s="3" t="str">
        <f>CHOOSE('WK1 - Identification'!$S$35,"additional increase that is temporary","additional increase")</f>
        <v>additional increase</v>
      </c>
      <c r="E51" s="3" t="str">
        <f>E49</f>
        <v>$ nominal</v>
      </c>
      <c r="F51" s="192"/>
      <c r="G51" s="455">
        <f>G$47*'WK1 - Identification'!G64</f>
        <v>3642725.2166835051</v>
      </c>
      <c r="H51" s="455">
        <f>H$47*'WK1 - Identification'!H64</f>
        <v>4117038.3959391695</v>
      </c>
      <c r="I51" s="455">
        <f>I$47*'WK1 - Identification'!I64</f>
        <v>3540653.0205076863</v>
      </c>
      <c r="J51" s="455">
        <f>J$47*'WK1 - Identification'!J64</f>
        <v>2828096.6001305142</v>
      </c>
      <c r="K51" s="455">
        <f>K$47*'WK1 - Identification'!K64</f>
        <v>0</v>
      </c>
      <c r="L51" s="455">
        <f>L$47*'WK1 - Identification'!L64</f>
        <v>0</v>
      </c>
      <c r="M51" s="455">
        <f>M$47*'WK1 - Identification'!M64</f>
        <v>0</v>
      </c>
      <c r="N51" s="839"/>
      <c r="O51" s="3"/>
      <c r="P51" s="214"/>
      <c r="Q51" s="3"/>
      <c r="R51" s="3"/>
      <c r="S51" s="3"/>
      <c r="T51" s="3"/>
      <c r="U51" s="1116"/>
      <c r="V51" s="1116"/>
      <c r="W51" s="1116"/>
      <c r="X51" s="1116"/>
      <c r="Y51" s="1116"/>
      <c r="Z51" s="1116"/>
      <c r="AA51" s="1116"/>
      <c r="AB51" s="1116"/>
      <c r="AC51" s="1116"/>
      <c r="AD51" s="1116"/>
      <c r="AE51" s="1116"/>
      <c r="AF51" s="1116"/>
      <c r="AG51" s="1116"/>
      <c r="AH51" s="1116"/>
      <c r="AI51" s="1116"/>
      <c r="AJ51" s="1116"/>
    </row>
    <row r="52" spans="1:36" x14ac:dyDescent="0.2">
      <c r="A52" s="3"/>
      <c r="B52" s="212"/>
      <c r="C52" s="76" t="str">
        <f>C50</f>
        <v xml:space="preserve">     plus</v>
      </c>
      <c r="D52" s="3" t="str">
        <f>CHOOSE('WK1 - Identification'!$S$35,"additional increase that is permanent","na")</f>
        <v>na</v>
      </c>
      <c r="E52" s="3" t="str">
        <f t="shared" ref="E52:E53" si="7">E50</f>
        <v>$ nominal</v>
      </c>
      <c r="F52" s="192"/>
      <c r="G52" s="455">
        <f>G$47*'WK1 - Identification'!G65</f>
        <v>0</v>
      </c>
      <c r="H52" s="455">
        <f>H$47*'WK1 - Identification'!H65</f>
        <v>0</v>
      </c>
      <c r="I52" s="455">
        <f>I$47*'WK1 - Identification'!I65</f>
        <v>0</v>
      </c>
      <c r="J52" s="455">
        <f>J$47*'WK1 - Identification'!J65</f>
        <v>0</v>
      </c>
      <c r="K52" s="455">
        <f>K$47*'WK1 - Identification'!K65</f>
        <v>0</v>
      </c>
      <c r="L52" s="455">
        <f>L$47*'WK1 - Identification'!L65</f>
        <v>0</v>
      </c>
      <c r="M52" s="455">
        <f>M$47*'WK1 - Identification'!M65</f>
        <v>0</v>
      </c>
      <c r="N52" s="839"/>
      <c r="O52" s="3"/>
      <c r="P52" s="214"/>
      <c r="Q52" s="3"/>
      <c r="R52" s="3"/>
      <c r="S52" s="3"/>
      <c r="T52" s="3"/>
      <c r="U52" s="1116"/>
      <c r="V52" s="1116"/>
      <c r="W52" s="1116"/>
      <c r="X52" s="1116"/>
      <c r="Y52" s="1116"/>
      <c r="Z52" s="1116"/>
      <c r="AA52" s="1116"/>
      <c r="AB52" s="1116"/>
      <c r="AC52" s="1116"/>
      <c r="AD52" s="1116"/>
      <c r="AE52" s="1116"/>
      <c r="AF52" s="1116"/>
      <c r="AG52" s="1116"/>
      <c r="AH52" s="1116"/>
      <c r="AI52" s="1116"/>
      <c r="AJ52" s="1116"/>
    </row>
    <row r="53" spans="1:36" x14ac:dyDescent="0.2">
      <c r="A53" s="3"/>
      <c r="B53" s="212"/>
      <c r="C53" s="76" t="str">
        <f>C51</f>
        <v xml:space="preserve">     plus</v>
      </c>
      <c r="D53" s="3" t="s">
        <v>691</v>
      </c>
      <c r="E53" s="3" t="str">
        <f t="shared" si="7"/>
        <v>$ nominal</v>
      </c>
      <c r="F53" s="192"/>
      <c r="G53" s="455">
        <f>G$47*'WK1 - Identification'!G66</f>
        <v>0</v>
      </c>
      <c r="H53" s="455">
        <f>H$47*'WK1 - Identification'!H66</f>
        <v>0</v>
      </c>
      <c r="I53" s="455">
        <f>I$47*'WK1 - Identification'!I66</f>
        <v>0</v>
      </c>
      <c r="J53" s="455">
        <f>J$47*'WK1 - Identification'!J66</f>
        <v>0</v>
      </c>
      <c r="K53" s="455">
        <f>K$47*'WK1 - Identification'!K66</f>
        <v>0</v>
      </c>
      <c r="L53" s="455">
        <f>L$47*'WK1 - Identification'!L66</f>
        <v>0</v>
      </c>
      <c r="M53" s="455">
        <f>M$47*'WK1 - Identification'!M66</f>
        <v>0</v>
      </c>
      <c r="N53" s="839"/>
      <c r="O53" s="3"/>
      <c r="P53" s="214"/>
      <c r="Q53" s="3"/>
      <c r="R53" s="3"/>
      <c r="S53" s="961"/>
      <c r="T53" s="3"/>
      <c r="U53" s="1116"/>
      <c r="V53" s="1116"/>
      <c r="W53" s="1116"/>
      <c r="X53" s="1116"/>
      <c r="Y53" s="1116"/>
      <c r="Z53" s="1116"/>
      <c r="AA53" s="1116"/>
      <c r="AB53" s="1116"/>
      <c r="AC53" s="1116"/>
      <c r="AD53" s="1116"/>
      <c r="AE53" s="1116"/>
      <c r="AF53" s="1116"/>
      <c r="AG53" s="1116"/>
      <c r="AH53" s="1116"/>
      <c r="AI53" s="1116"/>
      <c r="AJ53" s="1116"/>
    </row>
    <row r="54" spans="1:36" ht="12" x14ac:dyDescent="0.25">
      <c r="A54" s="3"/>
      <c r="B54" s="212"/>
      <c r="C54" s="2" t="s">
        <v>770</v>
      </c>
      <c r="D54" s="3"/>
      <c r="E54" s="3" t="str">
        <f t="shared" ref="E54" si="8">E53</f>
        <v>$ nominal</v>
      </c>
      <c r="F54" s="192"/>
      <c r="G54" s="455">
        <f t="shared" ref="G54" si="9">SUM(G49:G53)</f>
        <v>6450659.2378770402</v>
      </c>
      <c r="H54" s="455">
        <f t="shared" ref="H54:K54" si="10">SUM(H49:H53)</f>
        <v>6175557.5939087542</v>
      </c>
      <c r="I54" s="455">
        <f t="shared" si="10"/>
        <v>5753561.1583249904</v>
      </c>
      <c r="J54" s="455">
        <f t="shared" si="10"/>
        <v>5184843.7669059429</v>
      </c>
      <c r="K54" s="455">
        <f t="shared" si="10"/>
        <v>2486368.2609480773</v>
      </c>
      <c r="L54" s="455">
        <f t="shared" ref="L54:M54" si="11">SUM(L49:L53)</f>
        <v>2548527.4674717793</v>
      </c>
      <c r="M54" s="455">
        <f t="shared" si="11"/>
        <v>2612240.6541585736</v>
      </c>
      <c r="N54" s="839"/>
      <c r="O54" s="3"/>
      <c r="P54" s="214"/>
      <c r="Q54" s="3"/>
      <c r="R54" s="3"/>
      <c r="S54" s="3"/>
      <c r="T54" s="3"/>
      <c r="U54" s="1116"/>
      <c r="V54" s="1116"/>
      <c r="W54" s="1116"/>
      <c r="X54" s="1116"/>
      <c r="Y54" s="1116"/>
      <c r="Z54" s="1116"/>
      <c r="AA54" s="1116"/>
      <c r="AB54" s="1116"/>
      <c r="AC54" s="1116"/>
      <c r="AD54" s="1116"/>
      <c r="AE54" s="1116"/>
      <c r="AF54" s="1116"/>
      <c r="AG54" s="1116"/>
      <c r="AH54" s="1116"/>
      <c r="AI54" s="1116"/>
      <c r="AJ54" s="1116"/>
    </row>
    <row r="55" spans="1:36" ht="6" customHeight="1" x14ac:dyDescent="0.2">
      <c r="A55" s="3"/>
      <c r="B55" s="212"/>
      <c r="C55" s="76"/>
      <c r="D55" s="3"/>
      <c r="E55" s="3"/>
      <c r="F55" s="192"/>
      <c r="G55" s="455"/>
      <c r="H55" s="455"/>
      <c r="I55" s="455"/>
      <c r="J55" s="455"/>
      <c r="K55" s="455"/>
      <c r="L55" s="455"/>
      <c r="M55" s="455"/>
      <c r="N55" s="839"/>
      <c r="O55" s="3"/>
      <c r="P55" s="214"/>
      <c r="Q55" s="3"/>
      <c r="R55" s="3"/>
      <c r="S55" s="3"/>
      <c r="T55" s="3"/>
      <c r="U55" s="1116"/>
      <c r="V55" s="1116"/>
      <c r="W55" s="1116"/>
      <c r="X55" s="1116"/>
      <c r="Y55" s="1116"/>
      <c r="Z55" s="1116"/>
      <c r="AA55" s="1116"/>
      <c r="AB55" s="1116"/>
      <c r="AC55" s="1116"/>
      <c r="AD55" s="1116"/>
      <c r="AE55" s="1116"/>
      <c r="AF55" s="1116"/>
      <c r="AG55" s="1116"/>
      <c r="AH55" s="1116"/>
      <c r="AI55" s="1116"/>
      <c r="AJ55" s="1116"/>
    </row>
    <row r="56" spans="1:36" x14ac:dyDescent="0.2">
      <c r="A56" s="3"/>
      <c r="B56" s="212"/>
      <c r="C56" s="3" t="s">
        <v>771</v>
      </c>
      <c r="D56" s="3"/>
      <c r="E56" s="3" t="str">
        <f>$E$45</f>
        <v>$ nominal</v>
      </c>
      <c r="F56" s="192"/>
      <c r="G56" s="455">
        <f t="shared" ref="G56" si="12">G47+G54</f>
        <v>82340767.918783396</v>
      </c>
      <c r="H56" s="455">
        <f t="shared" ref="H56:K56" si="13">H47+H54</f>
        <v>88516325.512692153</v>
      </c>
      <c r="I56" s="455">
        <f t="shared" si="13"/>
        <v>94269886.67101714</v>
      </c>
      <c r="J56" s="455">
        <f t="shared" si="13"/>
        <v>99454730.437923089</v>
      </c>
      <c r="K56" s="455">
        <f t="shared" si="13"/>
        <v>101941098.69887117</v>
      </c>
      <c r="L56" s="455">
        <f t="shared" ref="L56:M56" si="14">L47+L54</f>
        <v>104489626.16634294</v>
      </c>
      <c r="M56" s="455">
        <f t="shared" si="14"/>
        <v>107101866.82050152</v>
      </c>
      <c r="N56" s="839"/>
      <c r="O56" s="3"/>
      <c r="P56" s="214"/>
      <c r="Q56" s="3"/>
      <c r="R56" s="3"/>
      <c r="S56" s="3"/>
      <c r="T56" s="3"/>
      <c r="U56" s="1116"/>
      <c r="V56" s="1116"/>
      <c r="W56" s="1116"/>
      <c r="X56" s="1116"/>
      <c r="Y56" s="1116"/>
      <c r="Z56" s="1116"/>
      <c r="AA56" s="1116"/>
      <c r="AB56" s="1116"/>
      <c r="AC56" s="1116"/>
      <c r="AD56" s="1116"/>
      <c r="AE56" s="1116"/>
      <c r="AF56" s="1116"/>
      <c r="AG56" s="1116"/>
      <c r="AH56" s="1116"/>
      <c r="AI56" s="1116"/>
      <c r="AJ56" s="1116"/>
    </row>
    <row r="57" spans="1:36" x14ac:dyDescent="0.2">
      <c r="A57" s="3"/>
      <c r="B57" s="212"/>
      <c r="C57" s="76" t="str">
        <f>C49</f>
        <v xml:space="preserve">     plus</v>
      </c>
      <c r="D57" s="3" t="s">
        <v>772</v>
      </c>
      <c r="E57" s="3" t="str">
        <f>E56</f>
        <v>$ nominal</v>
      </c>
      <c r="F57" s="386"/>
      <c r="G57" s="387">
        <f>'WK1 - Identification'!K45-'WK1 - Identification'!K46</f>
        <v>0</v>
      </c>
      <c r="H57" s="868">
        <v>0</v>
      </c>
      <c r="I57" s="868">
        <v>0</v>
      </c>
      <c r="J57" s="868">
        <v>0</v>
      </c>
      <c r="K57" s="868">
        <v>0</v>
      </c>
      <c r="L57" s="868">
        <v>0</v>
      </c>
      <c r="M57" s="868">
        <v>0</v>
      </c>
      <c r="N57" s="839"/>
      <c r="O57" s="3"/>
      <c r="P57" s="214"/>
      <c r="Q57" s="3"/>
      <c r="R57" s="3"/>
      <c r="S57" s="3"/>
      <c r="T57" s="3"/>
      <c r="U57" s="1116"/>
      <c r="V57" s="1116"/>
      <c r="W57" s="1116"/>
      <c r="X57" s="1116"/>
      <c r="Y57" s="1116"/>
      <c r="Z57" s="1116"/>
      <c r="AA57" s="1116"/>
      <c r="AB57" s="1116"/>
      <c r="AC57" s="1116"/>
      <c r="AD57" s="1116"/>
      <c r="AE57" s="1116"/>
      <c r="AF57" s="1116"/>
      <c r="AG57" s="1116"/>
      <c r="AH57" s="1116"/>
      <c r="AI57" s="1116"/>
      <c r="AJ57" s="1116"/>
    </row>
    <row r="58" spans="1:36" ht="12.6" thickBot="1" x14ac:dyDescent="0.3">
      <c r="A58" s="3"/>
      <c r="B58" s="212"/>
      <c r="C58" s="2" t="s">
        <v>764</v>
      </c>
      <c r="D58" s="3"/>
      <c r="E58" s="3" t="str">
        <f>E57</f>
        <v>$ nominal</v>
      </c>
      <c r="F58" s="829">
        <f>'WK2 - Notional General Income'!M161</f>
        <v>75890108.680906355</v>
      </c>
      <c r="G58" s="834">
        <f>G56+G57</f>
        <v>82340767.918783396</v>
      </c>
      <c r="H58" s="834">
        <f t="shared" ref="H58:K58" si="15">H56+H57</f>
        <v>88516325.512692153</v>
      </c>
      <c r="I58" s="834">
        <f t="shared" si="15"/>
        <v>94269886.67101714</v>
      </c>
      <c r="J58" s="834">
        <f t="shared" si="15"/>
        <v>99454730.437923089</v>
      </c>
      <c r="K58" s="834">
        <f t="shared" si="15"/>
        <v>101941098.69887117</v>
      </c>
      <c r="L58" s="834">
        <f t="shared" ref="L58:M58" si="16">L56+L57</f>
        <v>104489626.16634294</v>
      </c>
      <c r="M58" s="834">
        <f t="shared" si="16"/>
        <v>107101866.82050152</v>
      </c>
      <c r="N58" s="840">
        <f>INDEX(F58:M58,'WK1 - Identification'!$S$31+1)-F58</f>
        <v>23564621.757016733</v>
      </c>
      <c r="O58" s="388">
        <f>IF(F58=0,0,N58/F58)</f>
        <v>0.31050979062500006</v>
      </c>
      <c r="P58" s="214"/>
      <c r="Q58" s="3"/>
      <c r="R58" s="3"/>
      <c r="S58" s="3"/>
      <c r="T58" s="3"/>
      <c r="U58" s="1116"/>
      <c r="V58" s="1116"/>
      <c r="W58" s="1116"/>
      <c r="X58" s="1116"/>
      <c r="Y58" s="1116"/>
      <c r="Z58" s="1116"/>
      <c r="AA58" s="1116"/>
      <c r="AB58" s="1116"/>
      <c r="AC58" s="1116"/>
      <c r="AD58" s="1116"/>
      <c r="AE58" s="1116"/>
      <c r="AF58" s="1116"/>
      <c r="AG58" s="1116"/>
      <c r="AH58" s="1116"/>
      <c r="AI58" s="1116"/>
      <c r="AJ58" s="1116"/>
    </row>
    <row r="59" spans="1:36" ht="12.6" thickTop="1" x14ac:dyDescent="0.25">
      <c r="A59" s="3"/>
      <c r="B59" s="212"/>
      <c r="C59" s="2"/>
      <c r="D59" s="3"/>
      <c r="E59" s="3"/>
      <c r="F59" s="389"/>
      <c r="G59" s="389"/>
      <c r="H59" s="389"/>
      <c r="I59" s="389"/>
      <c r="J59" s="389"/>
      <c r="K59" s="389"/>
      <c r="L59" s="389"/>
      <c r="M59" s="837"/>
      <c r="N59" s="840"/>
      <c r="O59" s="388"/>
      <c r="P59" s="214"/>
      <c r="Q59" s="3"/>
      <c r="R59" s="3"/>
      <c r="S59" s="3"/>
      <c r="T59" s="3"/>
      <c r="U59" s="1116"/>
      <c r="V59" s="1116"/>
      <c r="W59" s="1116"/>
      <c r="X59" s="1116"/>
      <c r="Y59" s="1116"/>
      <c r="Z59" s="1116"/>
      <c r="AA59" s="1116"/>
      <c r="AB59" s="1116"/>
      <c r="AC59" s="1116"/>
      <c r="AD59" s="1116"/>
      <c r="AE59" s="1116"/>
      <c r="AF59" s="1116"/>
      <c r="AG59" s="1116"/>
      <c r="AH59" s="1116"/>
      <c r="AI59" s="1116"/>
      <c r="AJ59" s="1116"/>
    </row>
    <row r="60" spans="1:36" ht="12" x14ac:dyDescent="0.25">
      <c r="A60" s="3"/>
      <c r="B60" s="854"/>
      <c r="C60" s="412"/>
      <c r="D60" s="413"/>
      <c r="E60" s="413"/>
      <c r="F60" s="856"/>
      <c r="G60" s="856"/>
      <c r="H60" s="856"/>
      <c r="I60" s="856"/>
      <c r="J60" s="856"/>
      <c r="K60" s="856"/>
      <c r="L60" s="856"/>
      <c r="M60" s="857"/>
      <c r="N60" s="858"/>
      <c r="O60" s="859"/>
      <c r="P60" s="860"/>
      <c r="Q60" s="3"/>
      <c r="R60" s="3"/>
      <c r="S60" s="3"/>
      <c r="T60" s="3"/>
      <c r="U60" s="1116"/>
      <c r="V60" s="1116"/>
      <c r="W60" s="1116"/>
      <c r="X60" s="1116"/>
      <c r="Y60" s="1116"/>
      <c r="Z60" s="1116"/>
      <c r="AA60" s="1116"/>
      <c r="AB60" s="1116"/>
      <c r="AC60" s="1116"/>
      <c r="AD60" s="1116"/>
      <c r="AE60" s="1116"/>
      <c r="AF60" s="1116"/>
      <c r="AG60" s="1116"/>
      <c r="AH60" s="1116"/>
      <c r="AI60" s="1116"/>
      <c r="AJ60" s="1116"/>
    </row>
    <row r="61" spans="1:36" ht="12" x14ac:dyDescent="0.25">
      <c r="A61" s="3"/>
      <c r="B61" s="212"/>
      <c r="C61" s="122" t="str">
        <f>CHOOSE('WK1 - Identification'!$S$24,"PGI if only the existing SV/rate peg applied","PGI if only the rate peg applied")</f>
        <v>PGI if only the rate peg applied</v>
      </c>
      <c r="D61" s="3"/>
      <c r="E61" s="3"/>
      <c r="F61" s="3"/>
      <c r="G61" s="3"/>
      <c r="H61" s="3"/>
      <c r="I61" s="3"/>
      <c r="J61" s="3"/>
      <c r="K61" s="3"/>
      <c r="L61" s="3"/>
      <c r="M61" s="77"/>
      <c r="N61" s="838"/>
      <c r="O61" s="388"/>
      <c r="P61" s="214"/>
      <c r="Q61" s="3"/>
      <c r="R61" s="3"/>
      <c r="S61" s="3"/>
      <c r="T61" s="3"/>
      <c r="U61" s="1116"/>
      <c r="V61" s="1116"/>
      <c r="W61" s="1116"/>
      <c r="X61" s="1116"/>
      <c r="Y61" s="1116"/>
      <c r="Z61" s="1116"/>
      <c r="AA61" s="1116"/>
      <c r="AB61" s="1116"/>
      <c r="AC61" s="1116"/>
      <c r="AD61" s="1116"/>
      <c r="AE61" s="1116"/>
      <c r="AF61" s="1116"/>
      <c r="AG61" s="1116"/>
      <c r="AH61" s="1116"/>
      <c r="AI61" s="1116"/>
      <c r="AJ61" s="1116"/>
    </row>
    <row r="62" spans="1:36" ht="12" x14ac:dyDescent="0.25">
      <c r="A62" s="3"/>
      <c r="B62" s="212"/>
      <c r="C62" s="3" t="str">
        <f>C45</f>
        <v>Prior year Notional General Income (NGI)</v>
      </c>
      <c r="D62" s="3"/>
      <c r="E62" s="3" t="str">
        <f>$E$45</f>
        <v>$ nominal</v>
      </c>
      <c r="F62" s="3"/>
      <c r="G62" s="455">
        <f t="shared" ref="G62:L62" si="17">IF(G$42=0,0,F68)</f>
        <v>75890108.680906355</v>
      </c>
      <c r="H62" s="455">
        <f t="shared" si="17"/>
        <v>78698042.70209989</v>
      </c>
      <c r="I62" s="455">
        <f t="shared" si="17"/>
        <v>80665493.769652382</v>
      </c>
      <c r="J62" s="455">
        <f t="shared" si="17"/>
        <v>82682131.113893688</v>
      </c>
      <c r="K62" s="455">
        <f t="shared" si="17"/>
        <v>84749184.391741037</v>
      </c>
      <c r="L62" s="455">
        <f t="shared" si="17"/>
        <v>86867914.001534566</v>
      </c>
      <c r="M62" s="455">
        <f>IF(M$42=0,0,L68)</f>
        <v>89039611.851572931</v>
      </c>
      <c r="N62" s="840"/>
      <c r="O62" s="390"/>
      <c r="P62" s="214"/>
      <c r="Q62" s="3"/>
      <c r="R62" s="3"/>
      <c r="S62" s="3"/>
      <c r="T62" s="3"/>
      <c r="U62" s="1116"/>
      <c r="V62" s="1116"/>
      <c r="W62" s="1116"/>
      <c r="X62" s="1116"/>
      <c r="Y62" s="1116"/>
      <c r="Z62" s="1116"/>
      <c r="AA62" s="1116"/>
      <c r="AB62" s="1116"/>
      <c r="AC62" s="1116"/>
      <c r="AD62" s="1116"/>
      <c r="AE62" s="1116"/>
      <c r="AF62" s="1116"/>
      <c r="AG62" s="1116"/>
      <c r="AH62" s="1116"/>
      <c r="AI62" s="1116"/>
      <c r="AJ62" s="1116"/>
    </row>
    <row r="63" spans="1:36" ht="11.25" customHeight="1" x14ac:dyDescent="0.25">
      <c r="A63" s="3"/>
      <c r="B63" s="212"/>
      <c r="C63" s="76" t="str">
        <f>C46</f>
        <v xml:space="preserve">  less</v>
      </c>
      <c r="D63" s="3" t="str">
        <f>D46</f>
        <v>expiry of a prior special variation</v>
      </c>
      <c r="E63" s="3" t="str">
        <f>E62</f>
        <v>$ nominal</v>
      </c>
      <c r="F63" s="389"/>
      <c r="G63" s="455">
        <f t="shared" ref="G63:L63" si="18">G46</f>
        <v>0</v>
      </c>
      <c r="H63" s="455">
        <f t="shared" si="18"/>
        <v>0</v>
      </c>
      <c r="I63" s="455">
        <f t="shared" si="18"/>
        <v>0</v>
      </c>
      <c r="J63" s="455">
        <f t="shared" si="18"/>
        <v>0</v>
      </c>
      <c r="K63" s="455">
        <f t="shared" si="18"/>
        <v>0</v>
      </c>
      <c r="L63" s="455">
        <f t="shared" si="18"/>
        <v>0</v>
      </c>
      <c r="M63" s="455">
        <f t="shared" ref="M63" si="19">M46</f>
        <v>0</v>
      </c>
      <c r="N63" s="840"/>
      <c r="O63" s="390"/>
      <c r="P63" s="214"/>
      <c r="Q63" s="3"/>
      <c r="R63" s="3"/>
      <c r="S63" s="3"/>
      <c r="T63" s="3"/>
      <c r="U63" s="1116"/>
      <c r="V63" s="1116"/>
      <c r="W63" s="1116"/>
      <c r="X63" s="1116"/>
      <c r="Y63" s="1116"/>
      <c r="Z63" s="1116"/>
      <c r="AA63" s="1116"/>
      <c r="AB63" s="1116"/>
      <c r="AC63" s="1116"/>
      <c r="AD63" s="1116"/>
      <c r="AE63" s="1116"/>
      <c r="AF63" s="1116"/>
      <c r="AG63" s="1116"/>
      <c r="AH63" s="1116"/>
      <c r="AI63" s="1116"/>
      <c r="AJ63" s="1116"/>
    </row>
    <row r="64" spans="1:36" ht="12" x14ac:dyDescent="0.25">
      <c r="A64" s="3"/>
      <c r="B64" s="212"/>
      <c r="C64" s="3" t="str">
        <f>C47</f>
        <v>Adjusted Notional General income</v>
      </c>
      <c r="D64" s="3"/>
      <c r="E64" s="3" t="str">
        <f t="shared" ref="E64" si="20">E63</f>
        <v>$ nominal</v>
      </c>
      <c r="F64" s="391"/>
      <c r="G64" s="455">
        <f t="shared" ref="G64:L64" si="21">G62-G63</f>
        <v>75890108.680906355</v>
      </c>
      <c r="H64" s="455">
        <f t="shared" si="21"/>
        <v>78698042.70209989</v>
      </c>
      <c r="I64" s="455">
        <f t="shared" si="21"/>
        <v>80665493.769652382</v>
      </c>
      <c r="J64" s="455">
        <f t="shared" si="21"/>
        <v>82682131.113893688</v>
      </c>
      <c r="K64" s="455">
        <f t="shared" si="21"/>
        <v>84749184.391741037</v>
      </c>
      <c r="L64" s="455">
        <f t="shared" si="21"/>
        <v>86867914.001534566</v>
      </c>
      <c r="M64" s="455">
        <f t="shared" ref="M64" si="22">M62-M63</f>
        <v>89039611.851572931</v>
      </c>
      <c r="N64" s="840"/>
      <c r="O64" s="390"/>
      <c r="P64" s="214"/>
      <c r="Q64" s="3"/>
      <c r="R64" s="3"/>
      <c r="S64" s="3"/>
      <c r="T64" s="3"/>
      <c r="U64" s="1116"/>
      <c r="V64" s="1116"/>
      <c r="W64" s="1116"/>
      <c r="X64" s="1116"/>
      <c r="Y64" s="1116"/>
      <c r="Z64" s="1116"/>
      <c r="AA64" s="1116"/>
      <c r="AB64" s="1116"/>
      <c r="AC64" s="1116"/>
      <c r="AD64" s="1116"/>
      <c r="AE64" s="1116"/>
      <c r="AF64" s="1116"/>
      <c r="AG64" s="1116"/>
      <c r="AH64" s="1116"/>
      <c r="AI64" s="1116"/>
      <c r="AJ64" s="1116"/>
    </row>
    <row r="65" spans="1:36" ht="12" x14ac:dyDescent="0.25">
      <c r="A65" s="3"/>
      <c r="B65" s="212"/>
      <c r="C65" s="76" t="str">
        <f>C49</f>
        <v xml:space="preserve">     plus</v>
      </c>
      <c r="D65" s="3" t="str">
        <f>D49</f>
        <v>rate peg increase</v>
      </c>
      <c r="E65" s="3" t="str">
        <f>$E$45</f>
        <v>$ nominal</v>
      </c>
      <c r="F65" s="455"/>
      <c r="G65" s="455">
        <f>IF(G$42=0,0,'WK1 - Identification'!G62*G$64)</f>
        <v>2807934.0211935351</v>
      </c>
      <c r="H65" s="455">
        <f>IF(H$42=0,0,'WK1 - Identification'!H62*H$64)</f>
        <v>1967451.0675524974</v>
      </c>
      <c r="I65" s="455">
        <f>IF(I$42=0,0,'WK1 - Identification'!I62*I$64)</f>
        <v>2016637.3442413097</v>
      </c>
      <c r="J65" s="455">
        <f>IF(J$42=0,0,'WK1 - Identification'!J62*J$64)</f>
        <v>2067053.2778473422</v>
      </c>
      <c r="K65" s="455">
        <f>IF(K$42=0,0,'WK1 - Identification'!K62*K$64)</f>
        <v>2118729.6097935261</v>
      </c>
      <c r="L65" s="455">
        <f>IF(L$42=0,0,'WK1 - Identification'!L62*L$64)</f>
        <v>2171697.8500383641</v>
      </c>
      <c r="M65" s="455">
        <f>IF(M$42=0,0,'WK1 - Identification'!M62*M$64)</f>
        <v>2225990.2962893234</v>
      </c>
      <c r="N65" s="840"/>
      <c r="O65" s="390"/>
      <c r="P65" s="214"/>
      <c r="Q65" s="3"/>
      <c r="R65" s="3"/>
      <c r="S65" s="3"/>
      <c r="T65" s="3"/>
      <c r="U65" s="1116"/>
      <c r="V65" s="1116"/>
      <c r="W65" s="1116"/>
      <c r="X65" s="1116"/>
      <c r="Y65" s="1116"/>
      <c r="Z65" s="1116"/>
      <c r="AA65" s="1116"/>
      <c r="AB65" s="1116"/>
      <c r="AC65" s="1116"/>
      <c r="AD65" s="1116"/>
      <c r="AE65" s="1116"/>
      <c r="AF65" s="1116"/>
      <c r="AG65" s="1116"/>
      <c r="AH65" s="1116"/>
      <c r="AI65" s="1116"/>
      <c r="AJ65" s="1116"/>
    </row>
    <row r="66" spans="1:36" ht="12" x14ac:dyDescent="0.25">
      <c r="A66" s="3"/>
      <c r="B66" s="212"/>
      <c r="C66" s="76" t="str">
        <f>C50</f>
        <v xml:space="preserve">     plus</v>
      </c>
      <c r="D66" s="3" t="str">
        <f>D50</f>
        <v>na</v>
      </c>
      <c r="E66" s="3" t="str">
        <f>$E$45</f>
        <v>$ nominal</v>
      </c>
      <c r="F66" s="455"/>
      <c r="G66" s="455">
        <f>'WK1 - Identification'!G63*G$64</f>
        <v>0</v>
      </c>
      <c r="H66" s="455">
        <f>'WK1 - Identification'!H63*H$64</f>
        <v>0</v>
      </c>
      <c r="I66" s="455">
        <f>'WK1 - Identification'!I63*I$64</f>
        <v>0</v>
      </c>
      <c r="J66" s="455">
        <f>'WK1 - Identification'!J63*J$64</f>
        <v>0</v>
      </c>
      <c r="K66" s="455">
        <f>'WK1 - Identification'!K63*K$64</f>
        <v>0</v>
      </c>
      <c r="L66" s="455">
        <f>'WK1 - Identification'!L63*L$64</f>
        <v>0</v>
      </c>
      <c r="M66" s="455">
        <f>'WK1 - Identification'!M63*M$64</f>
        <v>0</v>
      </c>
      <c r="N66" s="840"/>
      <c r="O66" s="390"/>
      <c r="P66" s="214"/>
      <c r="Q66" s="3"/>
      <c r="R66" s="3"/>
      <c r="S66" s="3"/>
      <c r="T66" s="3"/>
      <c r="U66" s="1116"/>
      <c r="V66" s="1116"/>
      <c r="W66" s="1116"/>
      <c r="X66" s="1116"/>
      <c r="Y66" s="1116"/>
      <c r="Z66" s="1116"/>
      <c r="AA66" s="1116"/>
      <c r="AB66" s="1116"/>
      <c r="AC66" s="1116"/>
      <c r="AD66" s="1116"/>
      <c r="AE66" s="1116"/>
      <c r="AF66" s="1116"/>
      <c r="AG66" s="1116"/>
      <c r="AH66" s="1116"/>
      <c r="AI66" s="1116"/>
      <c r="AJ66" s="1116"/>
    </row>
    <row r="67" spans="1:36" ht="12" x14ac:dyDescent="0.25">
      <c r="A67" s="3"/>
      <c r="B67" s="212"/>
      <c r="C67" s="76" t="str">
        <f>C57</f>
        <v xml:space="preserve">     plus</v>
      </c>
      <c r="D67" s="3" t="str">
        <f>D57</f>
        <v>other 1st-year adjustments</v>
      </c>
      <c r="E67" s="3" t="str">
        <f>E65</f>
        <v>$ nominal</v>
      </c>
      <c r="F67" s="389"/>
      <c r="G67" s="455">
        <f t="shared" ref="G67:L67" si="23">G57</f>
        <v>0</v>
      </c>
      <c r="H67" s="455">
        <f t="shared" si="23"/>
        <v>0</v>
      </c>
      <c r="I67" s="455">
        <f t="shared" si="23"/>
        <v>0</v>
      </c>
      <c r="J67" s="455">
        <f t="shared" si="23"/>
        <v>0</v>
      </c>
      <c r="K67" s="455">
        <f t="shared" si="23"/>
        <v>0</v>
      </c>
      <c r="L67" s="455">
        <f t="shared" si="23"/>
        <v>0</v>
      </c>
      <c r="M67" s="455">
        <f t="shared" ref="M67" si="24">M57</f>
        <v>0</v>
      </c>
      <c r="N67" s="840"/>
      <c r="O67" s="390"/>
      <c r="P67" s="214"/>
      <c r="Q67" s="3"/>
      <c r="R67" s="3"/>
      <c r="S67" s="3"/>
      <c r="T67" s="3"/>
      <c r="U67" s="1116"/>
      <c r="V67" s="1116"/>
      <c r="W67" s="1116"/>
      <c r="X67" s="1116"/>
      <c r="Y67" s="1116"/>
      <c r="Z67" s="1116"/>
      <c r="AA67" s="1116"/>
      <c r="AB67" s="1116"/>
      <c r="AC67" s="1116"/>
      <c r="AD67" s="1116"/>
      <c r="AE67" s="1116"/>
      <c r="AF67" s="1116"/>
      <c r="AG67" s="1116"/>
      <c r="AH67" s="1116"/>
      <c r="AI67" s="1116"/>
      <c r="AJ67" s="1116"/>
    </row>
    <row r="68" spans="1:36" ht="12.6" thickBot="1" x14ac:dyDescent="0.3">
      <c r="A68" s="3"/>
      <c r="B68" s="212"/>
      <c r="C68" s="2" t="str">
        <f>CHOOSE('WK1 - Identification'!$S$24,"PGI if only the existing SV/rate peg applied","PGI if only the rate peg applied")</f>
        <v>PGI if only the rate peg applied</v>
      </c>
      <c r="D68" s="3"/>
      <c r="E68" s="3" t="str">
        <f t="shared" ref="E68" si="25">E67</f>
        <v>$ nominal</v>
      </c>
      <c r="F68" s="443">
        <f>F58</f>
        <v>75890108.680906355</v>
      </c>
      <c r="G68" s="835">
        <f t="shared" ref="G68:L68" si="26">SUM(G64:G67)</f>
        <v>78698042.70209989</v>
      </c>
      <c r="H68" s="835">
        <f t="shared" si="26"/>
        <v>80665493.769652382</v>
      </c>
      <c r="I68" s="835">
        <f t="shared" si="26"/>
        <v>82682131.113893688</v>
      </c>
      <c r="J68" s="835">
        <f t="shared" si="26"/>
        <v>84749184.391741037</v>
      </c>
      <c r="K68" s="835">
        <f t="shared" si="26"/>
        <v>86867914.001534566</v>
      </c>
      <c r="L68" s="835">
        <f t="shared" si="26"/>
        <v>89039611.851572931</v>
      </c>
      <c r="M68" s="835">
        <f t="shared" ref="M68" si="27">SUM(M64:M67)</f>
        <v>91265602.147862256</v>
      </c>
      <c r="N68" s="841">
        <f>INDEX(F68:M68,'WK1 - Identification'!$S$31+1)-F68</f>
        <v>8859075.710834682</v>
      </c>
      <c r="O68" s="390">
        <f>IF(F68=0,0,N68/F68)</f>
        <v>0.11673557812499996</v>
      </c>
      <c r="P68" s="214"/>
      <c r="Q68" s="3"/>
      <c r="R68" s="3"/>
      <c r="S68" s="3"/>
      <c r="T68" s="3"/>
      <c r="U68" s="1116"/>
      <c r="V68" s="1116"/>
      <c r="W68" s="1116"/>
      <c r="X68" s="1116"/>
      <c r="Y68" s="1116"/>
      <c r="Z68" s="1116"/>
      <c r="AA68" s="1116"/>
      <c r="AB68" s="1116"/>
      <c r="AC68" s="1116"/>
      <c r="AD68" s="1116"/>
      <c r="AE68" s="1116"/>
      <c r="AF68" s="1116"/>
      <c r="AG68" s="1116"/>
      <c r="AH68" s="1116"/>
      <c r="AI68" s="1116"/>
      <c r="AJ68" s="1116"/>
    </row>
    <row r="69" spans="1:36" ht="12.6" thickTop="1" x14ac:dyDescent="0.25">
      <c r="A69" s="3"/>
      <c r="B69" s="855"/>
      <c r="C69" s="427"/>
      <c r="D69" s="411"/>
      <c r="E69" s="411"/>
      <c r="F69" s="861"/>
      <c r="G69" s="861"/>
      <c r="H69" s="861"/>
      <c r="I69" s="861"/>
      <c r="J69" s="861"/>
      <c r="K69" s="861"/>
      <c r="L69" s="861"/>
      <c r="M69" s="862"/>
      <c r="N69" s="863"/>
      <c r="O69" s="864"/>
      <c r="P69" s="865"/>
      <c r="Q69" s="3"/>
      <c r="R69" s="3"/>
      <c r="S69" s="3"/>
      <c r="T69" s="3"/>
      <c r="U69" s="1116"/>
      <c r="V69" s="1116"/>
      <c r="W69" s="1116"/>
      <c r="X69" s="1116"/>
      <c r="Y69" s="1116"/>
      <c r="Z69" s="1116"/>
      <c r="AA69" s="1116"/>
      <c r="AB69" s="1116"/>
      <c r="AC69" s="1116"/>
      <c r="AD69" s="1116"/>
      <c r="AE69" s="1116"/>
      <c r="AF69" s="1116"/>
      <c r="AG69" s="1116"/>
      <c r="AH69" s="1116"/>
      <c r="AI69" s="1116"/>
      <c r="AJ69" s="1116"/>
    </row>
    <row r="70" spans="1:36" ht="12" x14ac:dyDescent="0.25">
      <c r="A70" s="3"/>
      <c r="B70" s="212"/>
      <c r="C70" s="2"/>
      <c r="D70" s="3"/>
      <c r="E70" s="3"/>
      <c r="F70" s="389"/>
      <c r="G70" s="389"/>
      <c r="H70" s="389"/>
      <c r="I70" s="389"/>
      <c r="J70" s="389"/>
      <c r="K70" s="389"/>
      <c r="L70" s="389"/>
      <c r="M70" s="837"/>
      <c r="N70" s="840"/>
      <c r="O70" s="390"/>
      <c r="P70" s="214"/>
      <c r="Q70" s="3"/>
      <c r="R70" s="3"/>
      <c r="S70" s="3"/>
      <c r="T70" s="3"/>
      <c r="U70" s="1116"/>
      <c r="V70" s="1116"/>
      <c r="W70" s="1116"/>
      <c r="X70" s="1116"/>
      <c r="Y70" s="1116"/>
      <c r="Z70" s="1116"/>
      <c r="AA70" s="1116"/>
      <c r="AB70" s="1116"/>
      <c r="AC70" s="1116"/>
      <c r="AD70" s="1116"/>
      <c r="AE70" s="1116"/>
      <c r="AF70" s="1116"/>
      <c r="AG70" s="1116"/>
      <c r="AH70" s="1116"/>
      <c r="AI70" s="1116"/>
      <c r="AJ70" s="1116"/>
    </row>
    <row r="71" spans="1:36" ht="12" x14ac:dyDescent="0.25">
      <c r="A71" s="3"/>
      <c r="B71" s="212"/>
      <c r="C71" s="122" t="str">
        <f>CHOOSE('WK1 - Identification'!$S$24,"PGI if expiring SV renewed and only existing SV/rate peg applied","PGI if expiring SV renewed and only rate peg applied")</f>
        <v>PGI if expiring SV renewed and only rate peg applied</v>
      </c>
      <c r="D71" s="3"/>
      <c r="E71" s="3"/>
      <c r="F71" s="389"/>
      <c r="G71" s="389"/>
      <c r="H71" s="389"/>
      <c r="I71" s="389"/>
      <c r="J71" s="389"/>
      <c r="K71" s="389"/>
      <c r="L71" s="389"/>
      <c r="M71" s="837"/>
      <c r="N71" s="840"/>
      <c r="O71" s="390"/>
      <c r="P71" s="214"/>
      <c r="Q71" s="3"/>
      <c r="R71" s="3"/>
      <c r="S71" s="3"/>
      <c r="T71" s="3"/>
      <c r="U71" s="1116"/>
      <c r="V71" s="1116"/>
      <c r="W71" s="1116"/>
      <c r="X71" s="1116"/>
      <c r="Y71" s="1116"/>
      <c r="Z71" s="1116"/>
      <c r="AA71" s="1116"/>
      <c r="AB71" s="1116"/>
      <c r="AC71" s="1116"/>
      <c r="AD71" s="1116"/>
      <c r="AE71" s="1116"/>
      <c r="AF71" s="1116"/>
      <c r="AG71" s="1116"/>
      <c r="AH71" s="1116"/>
      <c r="AI71" s="1116"/>
      <c r="AJ71" s="1116"/>
    </row>
    <row r="72" spans="1:36" ht="12" x14ac:dyDescent="0.25">
      <c r="A72" s="3"/>
      <c r="B72" s="212"/>
      <c r="C72" s="3" t="str">
        <f>C62</f>
        <v>Prior year Notional General Income (NGI)</v>
      </c>
      <c r="D72" s="3"/>
      <c r="E72" s="3" t="str">
        <f>$E$45</f>
        <v>$ nominal</v>
      </c>
      <c r="F72" s="389"/>
      <c r="G72" s="455">
        <f t="shared" ref="G72:L72" si="28">IF(G$42=0,0,F76)</f>
        <v>75890108.680906355</v>
      </c>
      <c r="H72" s="455">
        <f t="shared" si="28"/>
        <v>78698042.70209989</v>
      </c>
      <c r="I72" s="455">
        <f t="shared" si="28"/>
        <v>80665493.769652382</v>
      </c>
      <c r="J72" s="455">
        <f t="shared" si="28"/>
        <v>82682131.113893688</v>
      </c>
      <c r="K72" s="455">
        <f t="shared" si="28"/>
        <v>84749184.391741037</v>
      </c>
      <c r="L72" s="455">
        <f t="shared" si="28"/>
        <v>86867914.001534566</v>
      </c>
      <c r="M72" s="455">
        <f>IF(M$42=0,0,L76)</f>
        <v>89039611.851572931</v>
      </c>
      <c r="N72" s="840"/>
      <c r="O72" s="390"/>
      <c r="P72" s="214"/>
      <c r="Q72" s="3"/>
      <c r="R72" s="3"/>
      <c r="S72" s="3"/>
      <c r="T72" s="3"/>
      <c r="U72" s="1116"/>
      <c r="V72" s="1116"/>
      <c r="W72" s="1116"/>
      <c r="X72" s="1116"/>
      <c r="Y72" s="1116"/>
      <c r="Z72" s="1116"/>
      <c r="AA72" s="1116"/>
      <c r="AB72" s="1116"/>
      <c r="AC72" s="1116"/>
      <c r="AD72" s="1116"/>
      <c r="AE72" s="1116"/>
      <c r="AF72" s="1116"/>
      <c r="AG72" s="1116"/>
      <c r="AH72" s="1116"/>
      <c r="AI72" s="1116"/>
      <c r="AJ72" s="1116"/>
    </row>
    <row r="73" spans="1:36" ht="12" x14ac:dyDescent="0.25">
      <c r="A73" s="3"/>
      <c r="B73" s="212"/>
      <c r="C73" s="76" t="str">
        <f t="shared" ref="C73:D75" si="29">C65</f>
        <v xml:space="preserve">     plus</v>
      </c>
      <c r="D73" s="3" t="str">
        <f t="shared" si="29"/>
        <v>rate peg increase</v>
      </c>
      <c r="E73" s="3" t="str">
        <f>E72</f>
        <v>$ nominal</v>
      </c>
      <c r="F73" s="389"/>
      <c r="G73" s="455">
        <f>G$72*'WK1 - Identification'!G62</f>
        <v>2807934.0211935351</v>
      </c>
      <c r="H73" s="455">
        <f>H$72*'WK1 - Identification'!H62</f>
        <v>1967451.0675524974</v>
      </c>
      <c r="I73" s="455">
        <f>I$72*'WK1 - Identification'!I62</f>
        <v>2016637.3442413097</v>
      </c>
      <c r="J73" s="455">
        <f>J$72*'WK1 - Identification'!J62</f>
        <v>2067053.2778473422</v>
      </c>
      <c r="K73" s="455">
        <f>K$72*'WK1 - Identification'!K62</f>
        <v>2118729.6097935261</v>
      </c>
      <c r="L73" s="455">
        <f>L$72*'WK1 - Identification'!L62</f>
        <v>2171697.8500383641</v>
      </c>
      <c r="M73" s="455">
        <f>M$72*'WK1 - Identification'!M62</f>
        <v>2225990.2962893234</v>
      </c>
      <c r="N73" s="840"/>
      <c r="O73" s="390"/>
      <c r="P73" s="214"/>
      <c r="Q73" s="3"/>
      <c r="R73" s="3"/>
      <c r="S73" s="3"/>
      <c r="T73" s="3"/>
      <c r="U73" s="1116"/>
      <c r="V73" s="1116"/>
      <c r="W73" s="1116"/>
      <c r="X73" s="1116"/>
      <c r="Y73" s="1116"/>
      <c r="Z73" s="1116"/>
      <c r="AA73" s="1116"/>
      <c r="AB73" s="1116"/>
      <c r="AC73" s="1116"/>
      <c r="AD73" s="1116"/>
      <c r="AE73" s="1116"/>
      <c r="AF73" s="1116"/>
      <c r="AG73" s="1116"/>
      <c r="AH73" s="1116"/>
      <c r="AI73" s="1116"/>
      <c r="AJ73" s="1116"/>
    </row>
    <row r="74" spans="1:36" ht="12" x14ac:dyDescent="0.25">
      <c r="A74" s="3"/>
      <c r="B74" s="212"/>
      <c r="C74" s="76" t="str">
        <f t="shared" si="29"/>
        <v xml:space="preserve">     plus</v>
      </c>
      <c r="D74" s="3" t="str">
        <f t="shared" si="29"/>
        <v>na</v>
      </c>
      <c r="E74" s="3" t="str">
        <f>E73</f>
        <v>$ nominal</v>
      </c>
      <c r="F74" s="389"/>
      <c r="G74" s="455">
        <f>G$72*'WK1 - Identification'!G63</f>
        <v>0</v>
      </c>
      <c r="H74" s="455">
        <f>H$72*'WK1 - Identification'!H63</f>
        <v>0</v>
      </c>
      <c r="I74" s="455">
        <f>I$72*'WK1 - Identification'!I63</f>
        <v>0</v>
      </c>
      <c r="J74" s="455">
        <f>J$72*'WK1 - Identification'!J63</f>
        <v>0</v>
      </c>
      <c r="K74" s="455">
        <f>K$72*'WK1 - Identification'!K63</f>
        <v>0</v>
      </c>
      <c r="L74" s="455">
        <f>L$72*'WK1 - Identification'!L63</f>
        <v>0</v>
      </c>
      <c r="M74" s="455">
        <f>M$72*'WK1 - Identification'!M63</f>
        <v>0</v>
      </c>
      <c r="N74" s="840"/>
      <c r="O74" s="390"/>
      <c r="P74" s="214"/>
      <c r="Q74" s="3"/>
      <c r="R74" s="3"/>
      <c r="S74" s="3"/>
      <c r="T74" s="3"/>
      <c r="U74" s="1116"/>
      <c r="V74" s="1116"/>
      <c r="W74" s="1116"/>
      <c r="X74" s="1116"/>
      <c r="Y74" s="1116"/>
      <c r="Z74" s="1116"/>
      <c r="AA74" s="1116"/>
      <c r="AB74" s="1116"/>
      <c r="AC74" s="1116"/>
      <c r="AD74" s="1116"/>
      <c r="AE74" s="1116"/>
      <c r="AF74" s="1116"/>
      <c r="AG74" s="1116"/>
      <c r="AH74" s="1116"/>
      <c r="AI74" s="1116"/>
      <c r="AJ74" s="1116"/>
    </row>
    <row r="75" spans="1:36" ht="12" x14ac:dyDescent="0.25">
      <c r="A75" s="3"/>
      <c r="B75" s="212"/>
      <c r="C75" s="76" t="str">
        <f t="shared" si="29"/>
        <v xml:space="preserve">     plus</v>
      </c>
      <c r="D75" s="3" t="str">
        <f t="shared" si="29"/>
        <v>other 1st-year adjustments</v>
      </c>
      <c r="E75" s="3" t="str">
        <f>E73</f>
        <v>$ nominal</v>
      </c>
      <c r="F75" s="389"/>
      <c r="G75" s="455">
        <f t="shared" ref="G75:L75" si="30">G57</f>
        <v>0</v>
      </c>
      <c r="H75" s="455">
        <f t="shared" si="30"/>
        <v>0</v>
      </c>
      <c r="I75" s="455">
        <f t="shared" si="30"/>
        <v>0</v>
      </c>
      <c r="J75" s="455">
        <f t="shared" si="30"/>
        <v>0</v>
      </c>
      <c r="K75" s="455">
        <f t="shared" si="30"/>
        <v>0</v>
      </c>
      <c r="L75" s="455">
        <f t="shared" si="30"/>
        <v>0</v>
      </c>
      <c r="M75" s="455">
        <f t="shared" ref="M75" si="31">M57</f>
        <v>0</v>
      </c>
      <c r="N75" s="840"/>
      <c r="O75" s="390"/>
      <c r="P75" s="214"/>
      <c r="Q75" s="3"/>
      <c r="R75" s="3"/>
      <c r="S75" s="3"/>
      <c r="T75" s="3"/>
      <c r="U75" s="1116"/>
      <c r="V75" s="1116"/>
      <c r="W75" s="1116"/>
      <c r="X75" s="1116"/>
      <c r="Y75" s="1116"/>
      <c r="Z75" s="1116"/>
      <c r="AA75" s="1116"/>
      <c r="AB75" s="1116"/>
      <c r="AC75" s="1116"/>
      <c r="AD75" s="1116"/>
      <c r="AE75" s="1116"/>
      <c r="AF75" s="1116"/>
      <c r="AG75" s="1116"/>
      <c r="AH75" s="1116"/>
      <c r="AI75" s="1116"/>
      <c r="AJ75" s="1116"/>
    </row>
    <row r="76" spans="1:36" ht="12.6" thickBot="1" x14ac:dyDescent="0.3">
      <c r="A76" s="3"/>
      <c r="B76" s="212"/>
      <c r="C76" s="2" t="str">
        <f>C71</f>
        <v>PGI if expiring SV renewed and only rate peg applied</v>
      </c>
      <c r="D76" s="3"/>
      <c r="E76" s="3" t="str">
        <f t="shared" ref="E76" si="32">E75</f>
        <v>$ nominal</v>
      </c>
      <c r="F76" s="443">
        <f>F58</f>
        <v>75890108.680906355</v>
      </c>
      <c r="G76" s="835">
        <f t="shared" ref="G76:L76" si="33">SUM(G72:G75)</f>
        <v>78698042.70209989</v>
      </c>
      <c r="H76" s="835">
        <f t="shared" si="33"/>
        <v>80665493.769652382</v>
      </c>
      <c r="I76" s="835">
        <f t="shared" si="33"/>
        <v>82682131.113893688</v>
      </c>
      <c r="J76" s="835">
        <f t="shared" si="33"/>
        <v>84749184.391741037</v>
      </c>
      <c r="K76" s="835">
        <f t="shared" si="33"/>
        <v>86867914.001534566</v>
      </c>
      <c r="L76" s="835">
        <f t="shared" si="33"/>
        <v>89039611.851572931</v>
      </c>
      <c r="M76" s="835">
        <f t="shared" ref="M76" si="34">SUM(M72:M75)</f>
        <v>91265602.147862256</v>
      </c>
      <c r="N76" s="841">
        <f>INDEX(F76:M76,'WK1 - Identification'!$S$31+1)-F76</f>
        <v>8859075.710834682</v>
      </c>
      <c r="O76" s="390">
        <f>IF(F76=0,0,N76/F76)</f>
        <v>0.11673557812499996</v>
      </c>
      <c r="P76" s="214"/>
      <c r="Q76" s="3"/>
      <c r="R76" s="3"/>
      <c r="S76" s="3"/>
      <c r="T76" s="3"/>
      <c r="U76" s="1116"/>
      <c r="V76" s="1116"/>
      <c r="W76" s="1116"/>
      <c r="X76" s="1116"/>
      <c r="Y76" s="1116"/>
      <c r="Z76" s="1116"/>
      <c r="AA76" s="1116"/>
      <c r="AB76" s="1116"/>
      <c r="AC76" s="1116"/>
      <c r="AD76" s="1116"/>
      <c r="AE76" s="1116"/>
      <c r="AF76" s="1116"/>
      <c r="AG76" s="1116"/>
      <c r="AH76" s="1116"/>
      <c r="AI76" s="1116"/>
      <c r="AJ76" s="1116"/>
    </row>
    <row r="77" spans="1:36" ht="12.6" customHeight="1" thickTop="1" thickBot="1" x14ac:dyDescent="0.3">
      <c r="A77" s="3"/>
      <c r="B77" s="222"/>
      <c r="C77" s="393"/>
      <c r="D77" s="245"/>
      <c r="E77" s="245"/>
      <c r="F77" s="245"/>
      <c r="G77" s="394"/>
      <c r="H77" s="245"/>
      <c r="I77" s="245"/>
      <c r="J77" s="245"/>
      <c r="K77" s="245"/>
      <c r="L77" s="245"/>
      <c r="M77" s="245"/>
      <c r="N77" s="842"/>
      <c r="O77" s="245"/>
      <c r="P77" s="230"/>
      <c r="Q77" s="3"/>
      <c r="R77" s="3"/>
      <c r="S77" s="3"/>
      <c r="T77" s="3"/>
      <c r="U77" s="1116"/>
      <c r="V77" s="1116"/>
      <c r="W77" s="1116"/>
      <c r="X77" s="1116"/>
      <c r="Y77" s="1116"/>
      <c r="Z77" s="1116"/>
      <c r="AA77" s="1116"/>
      <c r="AB77" s="1116"/>
      <c r="AC77" s="1116"/>
      <c r="AD77" s="1116"/>
      <c r="AE77" s="1116"/>
      <c r="AF77" s="1116"/>
      <c r="AG77" s="1116"/>
      <c r="AH77" s="1116"/>
      <c r="AI77" s="1116"/>
      <c r="AJ77" s="1116"/>
    </row>
    <row r="78" spans="1:36" ht="12" x14ac:dyDescent="0.25">
      <c r="A78" s="3"/>
      <c r="B78" s="3"/>
      <c r="C78" s="2"/>
      <c r="D78" s="3"/>
      <c r="E78" s="3"/>
      <c r="F78" s="3"/>
      <c r="G78" s="192"/>
      <c r="H78" s="3"/>
      <c r="I78" s="3"/>
      <c r="J78" s="3"/>
      <c r="K78" s="3"/>
      <c r="L78" s="3"/>
      <c r="M78" s="3"/>
      <c r="N78" s="3"/>
      <c r="O78" s="3"/>
      <c r="P78" s="3"/>
      <c r="Q78" s="3"/>
      <c r="R78" s="3"/>
      <c r="S78" s="3"/>
      <c r="T78" s="3"/>
      <c r="U78" s="1116"/>
      <c r="V78" s="1116"/>
      <c r="W78" s="1116"/>
      <c r="X78" s="1116"/>
      <c r="Y78" s="1116"/>
      <c r="Z78" s="1116"/>
      <c r="AA78" s="1116"/>
      <c r="AB78" s="1116"/>
      <c r="AC78" s="1116"/>
      <c r="AD78" s="1116"/>
      <c r="AE78" s="1116"/>
      <c r="AF78" s="1116"/>
      <c r="AG78" s="1116"/>
      <c r="AH78" s="1116"/>
      <c r="AI78" s="1116"/>
      <c r="AJ78" s="1116"/>
    </row>
    <row r="79" spans="1:36" ht="12" x14ac:dyDescent="0.25">
      <c r="A79" s="3"/>
      <c r="B79" s="3"/>
      <c r="C79" s="2"/>
      <c r="D79" s="3"/>
      <c r="E79" s="3"/>
      <c r="F79" s="3"/>
      <c r="G79" s="192"/>
      <c r="H79" s="3"/>
      <c r="I79" s="3"/>
      <c r="J79" s="3"/>
      <c r="K79" s="192"/>
      <c r="L79" s="192"/>
      <c r="M79" s="3"/>
      <c r="N79" s="3"/>
      <c r="O79" s="3"/>
      <c r="P79" s="3"/>
      <c r="Q79" s="3"/>
      <c r="R79" s="3"/>
      <c r="S79" s="3"/>
      <c r="T79" s="3"/>
      <c r="U79" s="1116"/>
      <c r="V79" s="1116"/>
      <c r="W79" s="1116"/>
      <c r="X79" s="1116"/>
      <c r="Y79" s="1116"/>
      <c r="Z79" s="1116"/>
      <c r="AA79" s="1116"/>
      <c r="AB79" s="1116"/>
      <c r="AC79" s="1116"/>
      <c r="AD79" s="1116"/>
      <c r="AE79" s="1116"/>
      <c r="AF79" s="1116"/>
      <c r="AG79" s="1116"/>
      <c r="AH79" s="1116"/>
      <c r="AI79" s="1116"/>
      <c r="AJ79" s="1116"/>
    </row>
    <row r="80" spans="1:36" ht="12" x14ac:dyDescent="0.25">
      <c r="A80" s="3"/>
      <c r="B80" s="3"/>
      <c r="C80" s="2"/>
      <c r="D80" s="3"/>
      <c r="E80" s="3"/>
      <c r="F80" s="3"/>
      <c r="G80" s="192"/>
      <c r="H80" s="3"/>
      <c r="I80" s="3"/>
      <c r="J80" s="3"/>
      <c r="K80" s="3"/>
      <c r="L80" s="3"/>
      <c r="M80" s="3"/>
      <c r="N80" s="3"/>
      <c r="O80" s="3"/>
      <c r="P80" s="3"/>
      <c r="Q80" s="3"/>
      <c r="R80" s="3"/>
      <c r="S80" s="3"/>
      <c r="T80" s="3"/>
      <c r="U80" s="1116"/>
      <c r="V80" s="1116"/>
      <c r="W80" s="1116"/>
      <c r="X80" s="1116"/>
      <c r="Y80" s="1116"/>
      <c r="Z80" s="1116"/>
      <c r="AA80" s="1116"/>
      <c r="AB80" s="1116"/>
      <c r="AC80" s="1116"/>
      <c r="AD80" s="1116"/>
      <c r="AE80" s="1116"/>
      <c r="AF80" s="1116"/>
      <c r="AG80" s="1116"/>
      <c r="AH80" s="1116"/>
      <c r="AI80" s="1116"/>
      <c r="AJ80" s="1116"/>
    </row>
    <row r="81" spans="1:36" ht="13.8" x14ac:dyDescent="0.25">
      <c r="A81" s="3"/>
      <c r="B81" s="78" t="s">
        <v>773</v>
      </c>
      <c r="C81" s="2"/>
      <c r="D81" s="3"/>
      <c r="E81" s="3"/>
      <c r="F81" s="3"/>
      <c r="G81" s="192"/>
      <c r="H81" s="3"/>
      <c r="I81" s="3"/>
      <c r="J81" s="3"/>
      <c r="K81" s="3"/>
      <c r="L81" s="3"/>
      <c r="M81" s="3"/>
      <c r="N81" s="3"/>
      <c r="O81" s="3"/>
      <c r="P81" s="3"/>
      <c r="Q81" s="3"/>
      <c r="R81" s="3"/>
      <c r="S81" s="3"/>
      <c r="T81" s="3"/>
      <c r="U81" s="1116"/>
      <c r="V81" s="78"/>
      <c r="W81" s="3"/>
      <c r="X81" s="78"/>
      <c r="Y81" s="1116"/>
      <c r="Z81" s="1116"/>
      <c r="AA81" s="1116"/>
      <c r="AB81" s="1116"/>
      <c r="AC81" s="1116"/>
      <c r="AD81" s="1116"/>
      <c r="AE81" s="1116"/>
      <c r="AF81" s="1116"/>
      <c r="AG81" s="1116"/>
      <c r="AH81" s="1116"/>
      <c r="AI81" s="1116"/>
      <c r="AJ81" s="1116"/>
    </row>
    <row r="82" spans="1:36" ht="15" customHeight="1" thickBot="1" x14ac:dyDescent="0.35">
      <c r="A82" s="3"/>
      <c r="B82" s="3" t="str">
        <f>$B$38</f>
        <v>Note: PGI estimates for years beyond proposed and/or exisiting SV period shown in light grey font. PGI beyond a temporary SV period = 0</v>
      </c>
      <c r="C82" s="4"/>
      <c r="D82" s="129"/>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row>
    <row r="83" spans="1:36" ht="12" x14ac:dyDescent="0.25">
      <c r="A83" s="3"/>
      <c r="B83" s="209"/>
      <c r="C83" s="210"/>
      <c r="D83" s="210"/>
      <c r="E83" s="210"/>
      <c r="F83" s="381" t="str">
        <f t="shared" ref="F83:M83" si="35">F$39</f>
        <v>Year 0</v>
      </c>
      <c r="G83" s="381" t="str">
        <f t="shared" si="35"/>
        <v>Year 1</v>
      </c>
      <c r="H83" s="381" t="str">
        <f t="shared" si="35"/>
        <v>Year 2</v>
      </c>
      <c r="I83" s="381" t="str">
        <f t="shared" si="35"/>
        <v>Year 3</v>
      </c>
      <c r="J83" s="381" t="str">
        <f t="shared" si="35"/>
        <v>Year 4</v>
      </c>
      <c r="K83" s="381" t="str">
        <f t="shared" si="35"/>
        <v>Year 5</v>
      </c>
      <c r="L83" s="381" t="str">
        <f t="shared" si="35"/>
        <v>Year 6</v>
      </c>
      <c r="M83" s="381" t="str">
        <f t="shared" si="35"/>
        <v>Year 7</v>
      </c>
      <c r="N83" s="851" t="s">
        <v>761</v>
      </c>
      <c r="O83" s="228" t="s">
        <v>762</v>
      </c>
      <c r="P83" s="211"/>
      <c r="Q83" s="395" t="s">
        <v>127</v>
      </c>
      <c r="R83" s="396"/>
      <c r="S83" s="3"/>
      <c r="T83" s="3"/>
      <c r="U83" s="1116"/>
      <c r="V83" s="1116"/>
      <c r="W83" s="1116"/>
      <c r="X83" s="1116"/>
      <c r="Y83" s="1116"/>
      <c r="Z83" s="1116"/>
      <c r="AA83" s="1116"/>
      <c r="AB83" s="1116"/>
      <c r="AC83" s="1116"/>
      <c r="AD83" s="1116"/>
      <c r="AE83" s="1116"/>
      <c r="AF83" s="1116"/>
      <c r="AG83" s="1116"/>
      <c r="AH83" s="1116"/>
      <c r="AI83" s="1116"/>
      <c r="AJ83" s="1116"/>
    </row>
    <row r="84" spans="1:36" ht="12" x14ac:dyDescent="0.25">
      <c r="A84" s="3"/>
      <c r="B84" s="212"/>
      <c r="C84" s="382" t="str">
        <f>C$40</f>
        <v>Financial year</v>
      </c>
      <c r="D84" s="382"/>
      <c r="E84" s="382"/>
      <c r="F84" s="833" t="str">
        <f t="shared" ref="F84:M84" si="36">F$40</f>
        <v>2022-23</v>
      </c>
      <c r="G84" s="833" t="str">
        <f t="shared" si="36"/>
        <v>2023-24</v>
      </c>
      <c r="H84" s="833" t="str">
        <f t="shared" si="36"/>
        <v>2024-25</v>
      </c>
      <c r="I84" s="833" t="str">
        <f t="shared" si="36"/>
        <v>2025-26</v>
      </c>
      <c r="J84" s="833" t="str">
        <f t="shared" si="36"/>
        <v>2026-27</v>
      </c>
      <c r="K84" s="833" t="str">
        <f t="shared" si="36"/>
        <v>2027-28</v>
      </c>
      <c r="L84" s="833" t="str">
        <f t="shared" si="36"/>
        <v>2028-29</v>
      </c>
      <c r="M84" s="833" t="str">
        <f t="shared" si="36"/>
        <v>2029-30</v>
      </c>
      <c r="N84" s="852" t="str">
        <f>E92</f>
        <v>$ nominal</v>
      </c>
      <c r="O84" s="384" t="s">
        <v>7</v>
      </c>
      <c r="P84" s="214"/>
      <c r="Q84" s="395"/>
      <c r="R84" s="395"/>
      <c r="S84" s="3"/>
      <c r="T84" s="3"/>
      <c r="U84" s="1116"/>
      <c r="V84" s="1116"/>
      <c r="W84" s="1116"/>
      <c r="X84" s="1116"/>
      <c r="Y84" s="1116"/>
      <c r="Z84" s="1116"/>
      <c r="AA84" s="1116"/>
      <c r="AB84" s="1116"/>
      <c r="AC84" s="1116"/>
      <c r="AD84" s="1116"/>
      <c r="AE84" s="1116"/>
      <c r="AF84" s="1116"/>
      <c r="AG84" s="1116"/>
      <c r="AH84" s="1116"/>
      <c r="AI84" s="1116"/>
      <c r="AJ84" s="1116"/>
    </row>
    <row r="85" spans="1:36" ht="12" x14ac:dyDescent="0.25">
      <c r="A85" s="3"/>
      <c r="B85" s="212"/>
      <c r="C85" s="928"/>
      <c r="D85" s="815"/>
      <c r="E85" s="815"/>
      <c r="F85" s="815"/>
      <c r="G85" s="1171"/>
      <c r="H85" s="816"/>
      <c r="I85" s="816"/>
      <c r="J85" s="816"/>
      <c r="K85" s="816"/>
      <c r="L85" s="816"/>
      <c r="M85" s="816"/>
      <c r="N85" s="1231"/>
      <c r="O85" s="815"/>
      <c r="P85" s="214"/>
      <c r="Q85" s="80"/>
      <c r="R85" s="3"/>
      <c r="S85" s="3"/>
      <c r="T85" s="3"/>
      <c r="U85" s="1116"/>
      <c r="V85" s="1116"/>
      <c r="W85" s="1116"/>
      <c r="X85" s="1116"/>
      <c r="Y85" s="1116"/>
      <c r="Z85" s="1116"/>
      <c r="AA85" s="1116"/>
      <c r="AB85" s="1116"/>
      <c r="AC85" s="1116"/>
      <c r="AD85" s="1116"/>
      <c r="AE85" s="1116"/>
      <c r="AF85" s="1116"/>
      <c r="AG85" s="1116"/>
      <c r="AH85" s="1116"/>
      <c r="AI85" s="1116"/>
      <c r="AJ85" s="1116"/>
    </row>
    <row r="86" spans="1:36" ht="12" x14ac:dyDescent="0.25">
      <c r="A86" s="3"/>
      <c r="B86" s="212"/>
      <c r="C86" s="122" t="s">
        <v>774</v>
      </c>
      <c r="D86" s="3"/>
      <c r="E86" s="3"/>
      <c r="F86" s="3"/>
      <c r="G86" s="77"/>
      <c r="H86" s="77"/>
      <c r="I86" s="77"/>
      <c r="J86" s="77"/>
      <c r="K86" s="77"/>
      <c r="L86" s="77"/>
      <c r="M86" s="77"/>
      <c r="N86" s="838"/>
      <c r="O86" s="3"/>
      <c r="P86" s="214"/>
      <c r="Q86" s="3"/>
      <c r="R86" s="3"/>
      <c r="S86" s="3"/>
      <c r="T86" s="3"/>
      <c r="U86" s="1116"/>
      <c r="V86" s="1116"/>
      <c r="W86" s="1116"/>
      <c r="X86" s="1116"/>
      <c r="Y86" s="1116"/>
      <c r="Z86" s="1116"/>
      <c r="AA86" s="1116"/>
      <c r="AB86" s="1116"/>
      <c r="AC86" s="1116"/>
      <c r="AD86" s="1116"/>
      <c r="AE86" s="1116"/>
      <c r="AF86" s="1116"/>
      <c r="AG86" s="1116"/>
      <c r="AH86" s="1116"/>
      <c r="AI86" s="1116"/>
      <c r="AJ86" s="1116"/>
    </row>
    <row r="87" spans="1:36" ht="11.25" customHeight="1" x14ac:dyDescent="0.2">
      <c r="A87" s="3"/>
      <c r="B87" s="212"/>
      <c r="C87" s="3" t="str">
        <f>$C$58</f>
        <v>PGI with proposed SV</v>
      </c>
      <c r="D87" s="3"/>
      <c r="E87" s="3" t="s">
        <v>7</v>
      </c>
      <c r="F87" s="192"/>
      <c r="G87" s="252">
        <f>IF(F$58=0,0,G92/F$58)</f>
        <v>8.5000000000000006E-2</v>
      </c>
      <c r="H87" s="252">
        <f t="shared" ref="H87" si="37">IF(G$58=0,0,H92/G$58)</f>
        <v>7.5000000000000025E-2</v>
      </c>
      <c r="I87" s="252">
        <f t="shared" ref="I87:J87" si="38">IF(H$58=0,0,I92/H$58)</f>
        <v>6.4999999999999961E-2</v>
      </c>
      <c r="J87" s="252">
        <f t="shared" si="38"/>
        <v>5.5000000000000063E-2</v>
      </c>
      <c r="K87" s="252">
        <f>IF(J$58=0,0,K92/J$58)</f>
        <v>2.4999999999999998E-2</v>
      </c>
      <c r="L87" s="252">
        <f t="shared" ref="L87" si="39">IF(K$58=0,0,L92/K$58)</f>
        <v>2.4999999999999991E-2</v>
      </c>
      <c r="M87" s="252">
        <f t="shared" ref="M87" si="40">IF(L$58=0,0,M92/L$58)</f>
        <v>2.5000000000000036E-2</v>
      </c>
      <c r="N87" s="853"/>
      <c r="O87" s="372">
        <f>O58</f>
        <v>0.31050979062500006</v>
      </c>
      <c r="P87" s="214"/>
      <c r="Q87" s="3"/>
      <c r="R87" s="3"/>
      <c r="S87" s="3"/>
      <c r="T87" s="3"/>
      <c r="U87" s="1116"/>
      <c r="V87" s="1116"/>
      <c r="W87" s="1116"/>
      <c r="X87" s="1116"/>
      <c r="Y87" s="1116"/>
      <c r="Z87" s="1116"/>
      <c r="AA87" s="1116"/>
      <c r="AB87" s="1116"/>
      <c r="AC87" s="1116"/>
      <c r="AD87" s="1116"/>
      <c r="AE87" s="1116"/>
      <c r="AF87" s="1116"/>
      <c r="AG87" s="1116"/>
      <c r="AH87" s="1116"/>
      <c r="AI87" s="1116"/>
      <c r="AJ87" s="1116"/>
    </row>
    <row r="88" spans="1:36" x14ac:dyDescent="0.2">
      <c r="A88" s="3"/>
      <c r="B88" s="212"/>
      <c r="C88" s="3" t="str">
        <f>$C$68</f>
        <v>PGI if only the rate peg applied</v>
      </c>
      <c r="D88" s="3"/>
      <c r="E88" s="3" t="str">
        <f>E87</f>
        <v>%</v>
      </c>
      <c r="F88" s="399"/>
      <c r="G88" s="252">
        <f>IF(F$58=0,0,G93/F$58)</f>
        <v>3.6999999999999984E-2</v>
      </c>
      <c r="H88" s="252">
        <f>IF(G$68=0,0,H93/G$68)</f>
        <v>2.4999999999999932E-2</v>
      </c>
      <c r="I88" s="252">
        <f>IF(H$68=0,0,I93/H$68)</f>
        <v>2.499999999999996E-2</v>
      </c>
      <c r="J88" s="252">
        <f t="shared" ref="J88" si="41">IF(I$68=0,0,J93/I$68)</f>
        <v>2.5000000000000092E-2</v>
      </c>
      <c r="K88" s="252">
        <f>IF(J$68=0,0,K93/J$68)</f>
        <v>2.5000000000000036E-2</v>
      </c>
      <c r="L88" s="252">
        <f>IF(K$68=0,0,L93/K$68)</f>
        <v>2.5000000000000005E-2</v>
      </c>
      <c r="M88" s="252">
        <f>IF(L$68=0,0,M93/L$68)</f>
        <v>2.5000000000000015E-2</v>
      </c>
      <c r="N88" s="853"/>
      <c r="O88" s="372">
        <f>O68</f>
        <v>0.11673557812499996</v>
      </c>
      <c r="P88" s="214"/>
      <c r="Q88" s="80"/>
      <c r="R88" s="3"/>
      <c r="S88" s="3"/>
      <c r="T88" s="3"/>
      <c r="U88" s="1116"/>
      <c r="V88" s="1116"/>
      <c r="W88" s="1116"/>
      <c r="X88" s="1116"/>
      <c r="Y88" s="1116"/>
      <c r="Z88" s="1116"/>
      <c r="AA88" s="1116"/>
      <c r="AB88" s="1116"/>
      <c r="AC88" s="1116"/>
      <c r="AD88" s="1116"/>
      <c r="AE88" s="1116"/>
      <c r="AF88" s="1116"/>
      <c r="AG88" s="1116"/>
      <c r="AH88" s="1116"/>
      <c r="AI88" s="1116"/>
      <c r="AJ88" s="1116"/>
    </row>
    <row r="89" spans="1:36" x14ac:dyDescent="0.2">
      <c r="A89" s="3"/>
      <c r="B89" s="212"/>
      <c r="C89" s="3" t="str">
        <f>C76</f>
        <v>PGI if expiring SV renewed and only rate peg applied</v>
      </c>
      <c r="D89" s="3"/>
      <c r="E89" s="3" t="str">
        <f>E88</f>
        <v>%</v>
      </c>
      <c r="F89" s="399"/>
      <c r="G89" s="252">
        <f>IF(F$58=0,0,G94/F$58)</f>
        <v>3.6999999999999984E-2</v>
      </c>
      <c r="H89" s="252">
        <f t="shared" ref="H89:M89" si="42">IF(G$76=0,0,H94/G$76)</f>
        <v>2.4999999999999932E-2</v>
      </c>
      <c r="I89" s="252">
        <f t="shared" si="42"/>
        <v>2.499999999999996E-2</v>
      </c>
      <c r="J89" s="252">
        <f t="shared" si="42"/>
        <v>2.5000000000000092E-2</v>
      </c>
      <c r="K89" s="252">
        <f t="shared" si="42"/>
        <v>2.5000000000000036E-2</v>
      </c>
      <c r="L89" s="252">
        <f t="shared" si="42"/>
        <v>2.5000000000000005E-2</v>
      </c>
      <c r="M89" s="252">
        <f t="shared" si="42"/>
        <v>2.5000000000000015E-2</v>
      </c>
      <c r="N89" s="841"/>
      <c r="O89" s="372">
        <f>O76</f>
        <v>0.11673557812499996</v>
      </c>
      <c r="P89" s="214"/>
      <c r="Q89" s="80"/>
      <c r="R89" s="3"/>
      <c r="S89" s="3"/>
      <c r="T89" s="3"/>
      <c r="U89" s="1116"/>
      <c r="V89" s="1116"/>
      <c r="W89" s="1116"/>
      <c r="X89" s="1116"/>
      <c r="Y89" s="1116"/>
      <c r="Z89" s="1116"/>
      <c r="AA89" s="1116"/>
      <c r="AB89" s="1116"/>
      <c r="AC89" s="1116"/>
      <c r="AD89" s="1116"/>
      <c r="AE89" s="1116"/>
      <c r="AF89" s="1116"/>
      <c r="AG89" s="1116"/>
      <c r="AH89" s="1116"/>
      <c r="AI89" s="1116"/>
      <c r="AJ89" s="1116"/>
    </row>
    <row r="90" spans="1:36" ht="12" x14ac:dyDescent="0.25">
      <c r="A90" s="3"/>
      <c r="B90" s="212"/>
      <c r="C90" s="2"/>
      <c r="D90" s="3"/>
      <c r="E90" s="3"/>
      <c r="F90" s="3"/>
      <c r="G90" s="455"/>
      <c r="H90" s="77"/>
      <c r="I90" s="77"/>
      <c r="J90" s="77"/>
      <c r="K90" s="77"/>
      <c r="L90" s="77"/>
      <c r="M90" s="77"/>
      <c r="N90" s="838"/>
      <c r="O90" s="3"/>
      <c r="P90" s="214"/>
      <c r="Q90" s="80"/>
      <c r="R90" s="3"/>
      <c r="S90" s="3"/>
      <c r="T90" s="3"/>
      <c r="U90" s="1116"/>
      <c r="V90" s="1116"/>
      <c r="W90" s="1116"/>
      <c r="X90" s="1116"/>
      <c r="Y90" s="1116"/>
      <c r="Z90" s="1116"/>
      <c r="AA90" s="1116"/>
      <c r="AB90" s="1116"/>
      <c r="AC90" s="1116"/>
      <c r="AD90" s="1116"/>
      <c r="AE90" s="1116"/>
      <c r="AF90" s="1116"/>
      <c r="AG90" s="1116"/>
      <c r="AH90" s="1116"/>
      <c r="AI90" s="1116"/>
      <c r="AJ90" s="1116"/>
    </row>
    <row r="91" spans="1:36" ht="12" x14ac:dyDescent="0.25">
      <c r="A91" s="3"/>
      <c r="B91" s="212"/>
      <c r="C91" s="122" t="s">
        <v>775</v>
      </c>
      <c r="D91" s="3"/>
      <c r="E91" s="3"/>
      <c r="F91" s="3"/>
      <c r="G91" s="455"/>
      <c r="H91" s="77"/>
      <c r="I91" s="77"/>
      <c r="J91" s="77"/>
      <c r="K91" s="77"/>
      <c r="L91" s="77"/>
      <c r="M91" s="77"/>
      <c r="N91" s="838"/>
      <c r="O91" s="3"/>
      <c r="P91" s="214"/>
      <c r="Q91" s="80"/>
      <c r="R91" s="3"/>
      <c r="S91" s="3"/>
      <c r="T91" s="3"/>
      <c r="U91" s="1116"/>
      <c r="V91" s="1116"/>
      <c r="W91" s="1116"/>
      <c r="X91" s="1116"/>
      <c r="Y91" s="1116"/>
      <c r="Z91" s="1116"/>
      <c r="AA91" s="1116"/>
      <c r="AB91" s="1116"/>
      <c r="AC91" s="1116"/>
      <c r="AD91" s="1116"/>
      <c r="AE91" s="1116"/>
      <c r="AF91" s="1116"/>
      <c r="AG91" s="1116"/>
      <c r="AH91" s="1116"/>
      <c r="AI91" s="1116"/>
      <c r="AJ91" s="1116"/>
    </row>
    <row r="92" spans="1:36" ht="12" x14ac:dyDescent="0.25">
      <c r="A92" s="3"/>
      <c r="B92" s="212"/>
      <c r="C92" s="3" t="str">
        <f>C87</f>
        <v>PGI with proposed SV</v>
      </c>
      <c r="D92" s="3"/>
      <c r="E92" s="3" t="str">
        <f>$E$45</f>
        <v>$ nominal</v>
      </c>
      <c r="F92" s="192"/>
      <c r="G92" s="455">
        <f t="shared" ref="G92:M92" si="43">IF(G$42=0,0,G58-F58)</f>
        <v>6450659.2378770411</v>
      </c>
      <c r="H92" s="455">
        <f t="shared" si="43"/>
        <v>6175557.593908757</v>
      </c>
      <c r="I92" s="455">
        <f t="shared" si="43"/>
        <v>5753561.1583249867</v>
      </c>
      <c r="J92" s="455">
        <f t="shared" si="43"/>
        <v>5184843.7669059485</v>
      </c>
      <c r="K92" s="455">
        <f t="shared" si="43"/>
        <v>2486368.2609480768</v>
      </c>
      <c r="L92" s="455">
        <f t="shared" si="43"/>
        <v>2548527.4674717784</v>
      </c>
      <c r="M92" s="455">
        <f t="shared" si="43"/>
        <v>2612240.6541585773</v>
      </c>
      <c r="N92" s="840">
        <f>SUMPRODUCT(G92:M92,'WK1 - Identification'!$G$57:$M$57)</f>
        <v>23564621.757016733</v>
      </c>
      <c r="O92" s="400">
        <f>IF($F$58=0,0,N92/$F$58)</f>
        <v>0.31050979062500006</v>
      </c>
      <c r="P92" s="214"/>
      <c r="Q92" s="401">
        <f>N92-N58</f>
        <v>0</v>
      </c>
      <c r="R92" s="3"/>
      <c r="S92" s="3"/>
      <c r="T92" s="3"/>
      <c r="U92" s="1116"/>
      <c r="V92" s="1116"/>
      <c r="W92" s="1116"/>
      <c r="X92" s="1116"/>
      <c r="Y92" s="1116"/>
      <c r="Z92" s="1116"/>
      <c r="AA92" s="1116"/>
      <c r="AB92" s="1116"/>
      <c r="AC92" s="1116"/>
      <c r="AD92" s="1116"/>
      <c r="AE92" s="1116"/>
      <c r="AF92" s="1116"/>
      <c r="AG92" s="1116"/>
      <c r="AH92" s="1116"/>
      <c r="AI92" s="1116"/>
      <c r="AJ92" s="1116"/>
    </row>
    <row r="93" spans="1:36" x14ac:dyDescent="0.2">
      <c r="A93" s="3"/>
      <c r="B93" s="212"/>
      <c r="C93" s="3" t="str">
        <f>C88</f>
        <v>PGI if only the rate peg applied</v>
      </c>
      <c r="D93" s="3"/>
      <c r="E93" s="3" t="str">
        <f>E92</f>
        <v>$ nominal</v>
      </c>
      <c r="F93" s="399"/>
      <c r="G93" s="455">
        <f t="shared" ref="G93:L93" si="44">IF(G$42=0,0,G68-F68)</f>
        <v>2807934.0211935341</v>
      </c>
      <c r="H93" s="455">
        <f t="shared" si="44"/>
        <v>1967451.067552492</v>
      </c>
      <c r="I93" s="455">
        <f t="shared" si="44"/>
        <v>2016637.3442413062</v>
      </c>
      <c r="J93" s="455">
        <f t="shared" si="44"/>
        <v>2067053.2778473496</v>
      </c>
      <c r="K93" s="455">
        <f t="shared" si="44"/>
        <v>2118729.6097935289</v>
      </c>
      <c r="L93" s="455">
        <f t="shared" si="44"/>
        <v>2171697.8500383645</v>
      </c>
      <c r="M93" s="455">
        <f>IF(M$42=0,0,M68-L68)</f>
        <v>2225990.2962893248</v>
      </c>
      <c r="N93" s="841">
        <f>SUMPRODUCT(G93:M93,'WK1 - Identification'!$G$57:$M$57)</f>
        <v>8859075.710834682</v>
      </c>
      <c r="O93" s="402">
        <f t="shared" ref="O93:O94" si="45">IF($F$58=0,0,N93/$F$58)</f>
        <v>0.11673557812499996</v>
      </c>
      <c r="P93" s="214"/>
      <c r="Q93" s="401">
        <f>N93-N68</f>
        <v>0</v>
      </c>
      <c r="R93" s="3"/>
      <c r="S93" s="192"/>
      <c r="T93" s="3"/>
      <c r="U93" s="1116"/>
      <c r="V93" s="1116"/>
      <c r="W93" s="1116"/>
      <c r="X93" s="1116"/>
      <c r="Y93" s="1116"/>
      <c r="Z93" s="1116"/>
      <c r="AA93" s="1116"/>
      <c r="AB93" s="1116"/>
      <c r="AC93" s="1116"/>
      <c r="AD93" s="1116"/>
      <c r="AE93" s="1116"/>
      <c r="AF93" s="1116"/>
      <c r="AG93" s="1116"/>
      <c r="AH93" s="1116"/>
      <c r="AI93" s="1116"/>
      <c r="AJ93" s="1116"/>
    </row>
    <row r="94" spans="1:36" x14ac:dyDescent="0.2">
      <c r="A94" s="3"/>
      <c r="B94" s="212"/>
      <c r="C94" s="3" t="str">
        <f>C89</f>
        <v>PGI if expiring SV renewed and only rate peg applied</v>
      </c>
      <c r="D94" s="3"/>
      <c r="E94" s="3" t="str">
        <f t="shared" ref="E94" si="46">E93</f>
        <v>$ nominal</v>
      </c>
      <c r="F94" s="399"/>
      <c r="G94" s="455">
        <f t="shared" ref="G94:L94" si="47">IF(G$42=0,0,G76-F76)</f>
        <v>2807934.0211935341</v>
      </c>
      <c r="H94" s="455">
        <f t="shared" si="47"/>
        <v>1967451.067552492</v>
      </c>
      <c r="I94" s="455">
        <f t="shared" si="47"/>
        <v>2016637.3442413062</v>
      </c>
      <c r="J94" s="455">
        <f t="shared" si="47"/>
        <v>2067053.2778473496</v>
      </c>
      <c r="K94" s="455">
        <f t="shared" si="47"/>
        <v>2118729.6097935289</v>
      </c>
      <c r="L94" s="455">
        <f t="shared" si="47"/>
        <v>2171697.8500383645</v>
      </c>
      <c r="M94" s="455">
        <f>IF(M$42=0,0,M76-L76)</f>
        <v>2225990.2962893248</v>
      </c>
      <c r="N94" s="841">
        <f>SUMPRODUCT(G94:M94,'WK1 - Identification'!$G$57:$M$57)</f>
        <v>8859075.710834682</v>
      </c>
      <c r="O94" s="402">
        <f t="shared" si="45"/>
        <v>0.11673557812499996</v>
      </c>
      <c r="P94" s="214"/>
      <c r="Q94" s="401">
        <f>N94-N76</f>
        <v>0</v>
      </c>
      <c r="R94" s="3"/>
      <c r="S94" s="192"/>
      <c r="T94" s="3"/>
      <c r="U94" s="1116"/>
      <c r="V94" s="1116"/>
      <c r="W94" s="1116"/>
      <c r="X94" s="1116"/>
      <c r="Y94" s="1116"/>
      <c r="Z94" s="1116"/>
      <c r="AA94" s="1116"/>
      <c r="AB94" s="1116"/>
      <c r="AC94" s="1116"/>
      <c r="AD94" s="1116"/>
      <c r="AE94" s="1116"/>
      <c r="AF94" s="1116"/>
      <c r="AG94" s="1116"/>
      <c r="AH94" s="1116"/>
      <c r="AI94" s="1116"/>
      <c r="AJ94" s="1116"/>
    </row>
    <row r="95" spans="1:36" x14ac:dyDescent="0.2">
      <c r="A95" s="3"/>
      <c r="B95" s="212"/>
      <c r="C95" s="3"/>
      <c r="D95" s="3"/>
      <c r="E95" s="3"/>
      <c r="F95" s="399"/>
      <c r="G95" s="456"/>
      <c r="H95" s="456"/>
      <c r="I95" s="456"/>
      <c r="J95" s="456"/>
      <c r="K95" s="456"/>
      <c r="L95" s="456"/>
      <c r="M95" s="456"/>
      <c r="N95" s="841"/>
      <c r="O95" s="390"/>
      <c r="P95" s="214"/>
      <c r="Q95" s="401"/>
      <c r="R95" s="3"/>
      <c r="S95" s="3"/>
      <c r="T95" s="3"/>
      <c r="U95" s="1116"/>
      <c r="V95" s="1116"/>
      <c r="W95" s="1116"/>
      <c r="X95" s="1116"/>
      <c r="Y95" s="1116"/>
      <c r="Z95" s="1116"/>
      <c r="AA95" s="1116"/>
      <c r="AB95" s="1116"/>
      <c r="AC95" s="1116"/>
      <c r="AD95" s="1116"/>
      <c r="AE95" s="1116"/>
      <c r="AF95" s="1116"/>
      <c r="AG95" s="1116"/>
      <c r="AH95" s="1116"/>
      <c r="AI95" s="1116"/>
      <c r="AJ95" s="1116"/>
    </row>
    <row r="96" spans="1:36" ht="12" x14ac:dyDescent="0.25">
      <c r="A96" s="3"/>
      <c r="B96" s="212"/>
      <c r="C96" s="122" t="s">
        <v>776</v>
      </c>
      <c r="D96" s="3"/>
      <c r="E96" s="3"/>
      <c r="F96" s="399"/>
      <c r="G96" s="456"/>
      <c r="H96" s="456"/>
      <c r="I96" s="456"/>
      <c r="J96" s="456"/>
      <c r="K96" s="456"/>
      <c r="L96" s="456"/>
      <c r="M96" s="456"/>
      <c r="N96" s="841"/>
      <c r="O96" s="390"/>
      <c r="P96" s="214"/>
      <c r="Q96" s="401"/>
      <c r="R96" s="3"/>
      <c r="S96" s="3"/>
      <c r="T96" s="3"/>
      <c r="U96" s="1116"/>
      <c r="V96" s="1116"/>
      <c r="W96" s="1116"/>
      <c r="X96" s="1116"/>
      <c r="Y96" s="1116"/>
      <c r="Z96" s="1116"/>
      <c r="AA96" s="1116"/>
      <c r="AB96" s="1116"/>
      <c r="AC96" s="1116"/>
      <c r="AD96" s="1116"/>
      <c r="AE96" s="1116"/>
      <c r="AF96" s="1116"/>
      <c r="AG96" s="1116"/>
      <c r="AH96" s="1116"/>
      <c r="AI96" s="1116"/>
      <c r="AJ96" s="1116"/>
    </row>
    <row r="97" spans="1:36" x14ac:dyDescent="0.2">
      <c r="A97" s="3"/>
      <c r="B97" s="212"/>
      <c r="C97" s="3" t="str">
        <f>C88</f>
        <v>PGI if only the rate peg applied</v>
      </c>
      <c r="D97" s="3"/>
      <c r="E97" s="3" t="str">
        <f>$E$45</f>
        <v>$ nominal</v>
      </c>
      <c r="F97" s="192"/>
      <c r="G97" s="455">
        <f t="shared" ref="G97:L97" si="48">G92-G93</f>
        <v>3642725.216683507</v>
      </c>
      <c r="H97" s="455">
        <f t="shared" si="48"/>
        <v>4208106.5263562649</v>
      </c>
      <c r="I97" s="455">
        <f t="shared" si="48"/>
        <v>3736923.8140836805</v>
      </c>
      <c r="J97" s="455">
        <f>J92-J93</f>
        <v>3117790.4890585989</v>
      </c>
      <c r="K97" s="455">
        <f t="shared" si="48"/>
        <v>367638.65115454793</v>
      </c>
      <c r="L97" s="455">
        <f t="shared" si="48"/>
        <v>376829.61743341386</v>
      </c>
      <c r="M97" s="455">
        <f>M92-M93</f>
        <v>386250.35786925256</v>
      </c>
      <c r="N97" s="841">
        <f>SUMPRODUCT(G97:M97,'WK1 - Identification'!$G$57:$M$57)</f>
        <v>14705546.046182051</v>
      </c>
      <c r="O97" s="372">
        <f>O92-O93</f>
        <v>0.1937742125000001</v>
      </c>
      <c r="P97" s="214"/>
      <c r="Q97" s="403">
        <f>IF(F68=0,0,(N58-N68)/F68-O97)</f>
        <v>2.7755575615628914E-17</v>
      </c>
      <c r="R97" s="3"/>
      <c r="S97" s="3"/>
      <c r="T97" s="3"/>
      <c r="U97" s="1116"/>
      <c r="V97" s="1116"/>
      <c r="W97" s="1116"/>
      <c r="X97" s="1116"/>
      <c r="Y97" s="1116"/>
      <c r="Z97" s="1116"/>
      <c r="AA97" s="1116"/>
      <c r="AB97" s="1116"/>
      <c r="AC97" s="1116"/>
      <c r="AD97" s="1116"/>
      <c r="AE97" s="1116"/>
      <c r="AF97" s="1116"/>
      <c r="AG97" s="1116"/>
      <c r="AH97" s="1116"/>
      <c r="AI97" s="1116"/>
      <c r="AJ97" s="1116"/>
    </row>
    <row r="98" spans="1:36" x14ac:dyDescent="0.2">
      <c r="A98" s="3"/>
      <c r="B98" s="212"/>
      <c r="C98" s="3" t="str">
        <f>C89</f>
        <v>PGI if expiring SV renewed and only rate peg applied</v>
      </c>
      <c r="D98" s="3"/>
      <c r="E98" s="3" t="str">
        <f>E97</f>
        <v>$ nominal</v>
      </c>
      <c r="F98" s="3"/>
      <c r="G98" s="455">
        <f t="shared" ref="G98:L98" si="49">G92-G94</f>
        <v>3642725.216683507</v>
      </c>
      <c r="H98" s="455">
        <f t="shared" si="49"/>
        <v>4208106.5263562649</v>
      </c>
      <c r="I98" s="455">
        <f t="shared" si="49"/>
        <v>3736923.8140836805</v>
      </c>
      <c r="J98" s="455">
        <f>J92-J94</f>
        <v>3117790.4890585989</v>
      </c>
      <c r="K98" s="455">
        <f t="shared" si="49"/>
        <v>367638.65115454793</v>
      </c>
      <c r="L98" s="455">
        <f t="shared" si="49"/>
        <v>376829.61743341386</v>
      </c>
      <c r="M98" s="455">
        <f>M92-M94</f>
        <v>386250.35786925256</v>
      </c>
      <c r="N98" s="841">
        <f>SUMPRODUCT(G98:M98,'WK1 - Identification'!$G$57:$M$57)</f>
        <v>14705546.046182051</v>
      </c>
      <c r="O98" s="372">
        <f>O92-O94</f>
        <v>0.1937742125000001</v>
      </c>
      <c r="P98" s="214"/>
      <c r="Q98" s="403">
        <f>IF(F76=0,0,(N58-N76)/F76-O98)</f>
        <v>2.7755575615628914E-17</v>
      </c>
      <c r="R98" s="3"/>
      <c r="S98" s="3"/>
      <c r="T98" s="3"/>
      <c r="U98" s="1116"/>
      <c r="V98" s="1116"/>
      <c r="W98" s="1116"/>
      <c r="X98" s="1116"/>
      <c r="Y98" s="1116"/>
      <c r="Z98" s="1116"/>
      <c r="AA98" s="1116"/>
      <c r="AB98" s="1116"/>
      <c r="AC98" s="1116"/>
      <c r="AD98" s="1116"/>
      <c r="AE98" s="1116"/>
      <c r="AF98" s="1116"/>
      <c r="AG98" s="1116"/>
      <c r="AH98" s="1116"/>
      <c r="AI98" s="1116"/>
      <c r="AJ98" s="1116"/>
    </row>
    <row r="99" spans="1:36" x14ac:dyDescent="0.2">
      <c r="A99" s="3"/>
      <c r="B99" s="212"/>
      <c r="C99" s="3"/>
      <c r="D99" s="3"/>
      <c r="E99" s="3"/>
      <c r="F99" s="399"/>
      <c r="G99" s="454"/>
      <c r="H99" s="454"/>
      <c r="I99" s="454"/>
      <c r="J99" s="454"/>
      <c r="K99" s="454"/>
      <c r="L99" s="454"/>
      <c r="M99" s="454"/>
      <c r="N99" s="841"/>
      <c r="O99" s="3"/>
      <c r="P99" s="214"/>
      <c r="Q99" s="401">
        <f>N93-N92+N97</f>
        <v>0</v>
      </c>
      <c r="R99" s="3"/>
      <c r="S99" s="3"/>
      <c r="T99" s="3"/>
      <c r="U99" s="1116"/>
      <c r="V99" s="1116"/>
      <c r="W99" s="1116"/>
      <c r="X99" s="1116"/>
      <c r="Y99" s="1116"/>
      <c r="Z99" s="1116"/>
      <c r="AA99" s="1116"/>
      <c r="AB99" s="1116"/>
      <c r="AC99" s="1116"/>
      <c r="AD99" s="1116"/>
      <c r="AE99" s="1116"/>
      <c r="AF99" s="1116"/>
      <c r="AG99" s="1116"/>
      <c r="AH99" s="1116"/>
      <c r="AI99" s="1116"/>
      <c r="AJ99" s="1116"/>
    </row>
    <row r="100" spans="1:36" ht="12" x14ac:dyDescent="0.25">
      <c r="A100" s="3"/>
      <c r="B100" s="212"/>
      <c r="C100" s="122" t="s">
        <v>777</v>
      </c>
      <c r="D100" s="3"/>
      <c r="E100" s="3"/>
      <c r="F100" s="399"/>
      <c r="G100" s="454"/>
      <c r="H100" s="454"/>
      <c r="I100" s="454"/>
      <c r="J100" s="454"/>
      <c r="K100" s="454"/>
      <c r="L100" s="454"/>
      <c r="M100" s="454"/>
      <c r="N100" s="841"/>
      <c r="O100" s="372"/>
      <c r="P100" s="214"/>
      <c r="Q100" s="401">
        <f>N94-N92+N98</f>
        <v>0</v>
      </c>
      <c r="R100" s="3"/>
      <c r="S100" s="3"/>
      <c r="T100" s="3"/>
      <c r="U100" s="1116"/>
      <c r="V100" s="1116"/>
      <c r="W100" s="1116"/>
      <c r="X100" s="1116"/>
      <c r="Y100" s="1116"/>
      <c r="Z100" s="1116"/>
      <c r="AA100" s="1116"/>
      <c r="AB100" s="1116"/>
      <c r="AC100" s="1116"/>
      <c r="AD100" s="1116"/>
      <c r="AE100" s="1116"/>
      <c r="AF100" s="1116"/>
      <c r="AG100" s="1116"/>
      <c r="AH100" s="1116"/>
      <c r="AI100" s="1116"/>
      <c r="AJ100" s="1116"/>
    </row>
    <row r="101" spans="1:36" x14ac:dyDescent="0.2">
      <c r="A101" s="3"/>
      <c r="B101" s="212"/>
      <c r="C101" s="3" t="str">
        <f>$C$58</f>
        <v>PGI with proposed SV</v>
      </c>
      <c r="D101" s="3"/>
      <c r="E101" s="3" t="str">
        <f>E98</f>
        <v>$ nominal</v>
      </c>
      <c r="F101" s="399"/>
      <c r="G101" s="455">
        <f>IF(G$42=0,0,SUM($G58:G58))</f>
        <v>82340767.918783396</v>
      </c>
      <c r="H101" s="455">
        <f>IF(H$42=0,0,SUM($G58:H58))</f>
        <v>170857093.43147555</v>
      </c>
      <c r="I101" s="455">
        <f>IF(I$42=0,0,SUM($G58:I58))</f>
        <v>265126980.10249269</v>
      </c>
      <c r="J101" s="455">
        <f>IF(J$42=0,0,SUM($G58:J58))</f>
        <v>364581710.54041576</v>
      </c>
      <c r="K101" s="455">
        <f>IF(K$42=0,0,SUM($G58:K58))</f>
        <v>466522809.2392869</v>
      </c>
      <c r="L101" s="455">
        <f>IF(L$42=0,0,SUM($G58:L58))</f>
        <v>571012435.40562987</v>
      </c>
      <c r="M101" s="455">
        <f>IF(M$42=0,0,SUM($G58:M58))</f>
        <v>678114302.22613144</v>
      </c>
      <c r="N101" s="841">
        <f>SUMPRODUCT(G101:M101,'WK1 - Identification'!$G$57:$M$57)</f>
        <v>882906551.9931674</v>
      </c>
      <c r="O101" s="372"/>
      <c r="P101" s="214"/>
      <c r="Q101" s="80"/>
      <c r="R101" s="3"/>
      <c r="S101" s="3"/>
      <c r="T101" s="3"/>
      <c r="U101" s="1116"/>
      <c r="V101" s="1116"/>
      <c r="W101" s="1116"/>
      <c r="X101" s="1116"/>
      <c r="Y101" s="1116"/>
      <c r="Z101" s="1116"/>
      <c r="AA101" s="1116"/>
      <c r="AB101" s="1116"/>
      <c r="AC101" s="1116"/>
      <c r="AD101" s="1116"/>
      <c r="AE101" s="1116"/>
      <c r="AF101" s="1116"/>
      <c r="AG101" s="1116"/>
      <c r="AH101" s="1116"/>
      <c r="AI101" s="1116"/>
      <c r="AJ101" s="1116"/>
    </row>
    <row r="102" spans="1:36" x14ac:dyDescent="0.2">
      <c r="A102" s="3"/>
      <c r="B102" s="212"/>
      <c r="C102" s="3" t="str">
        <f>$C$68</f>
        <v>PGI if only the rate peg applied</v>
      </c>
      <c r="D102" s="3"/>
      <c r="E102" s="3" t="str">
        <f>E101</f>
        <v>$ nominal</v>
      </c>
      <c r="F102" s="399"/>
      <c r="G102" s="455">
        <f>IF(G$42=0,0,SUM($G68:G68))</f>
        <v>78698042.70209989</v>
      </c>
      <c r="H102" s="455">
        <f>IF(H$42=0,0,SUM($G68:H68))</f>
        <v>159363536.47175229</v>
      </c>
      <c r="I102" s="455">
        <f>IF(I$42=0,0,SUM($G68:I68))</f>
        <v>242045667.58564597</v>
      </c>
      <c r="J102" s="455">
        <f>IF(J$42=0,0,SUM($G68:J68))</f>
        <v>326794851.97738701</v>
      </c>
      <c r="K102" s="455">
        <f>IF(K$42=0,0,SUM($G68:K68))</f>
        <v>413662765.97892159</v>
      </c>
      <c r="L102" s="455">
        <f>IF(L$42=0,0,SUM($G68:L68))</f>
        <v>502702377.83049452</v>
      </c>
      <c r="M102" s="455">
        <f>IF(M$42=0,0,SUM($G68:M68))</f>
        <v>593967979.97835684</v>
      </c>
      <c r="N102" s="841">
        <f>SUMPRODUCT(G102:M102,'WK1 - Identification'!$G$57:$M$57)</f>
        <v>806902098.73688507</v>
      </c>
      <c r="O102" s="372"/>
      <c r="P102" s="214"/>
      <c r="Q102" s="80"/>
      <c r="R102" s="3"/>
      <c r="S102" s="3"/>
      <c r="T102" s="3"/>
      <c r="U102" s="1116"/>
      <c r="V102" s="1116"/>
      <c r="W102" s="1116"/>
      <c r="X102" s="1116"/>
      <c r="Y102" s="1116"/>
      <c r="Z102" s="1116"/>
      <c r="AA102" s="1116"/>
      <c r="AB102" s="1116"/>
      <c r="AC102" s="1116"/>
      <c r="AD102" s="1116"/>
      <c r="AE102" s="1116"/>
      <c r="AF102" s="1116"/>
      <c r="AG102" s="1116"/>
      <c r="AH102" s="1116"/>
      <c r="AI102" s="1116"/>
      <c r="AJ102" s="1116"/>
    </row>
    <row r="103" spans="1:36" x14ac:dyDescent="0.2">
      <c r="A103" s="3"/>
      <c r="B103" s="212"/>
      <c r="C103" s="3" t="str">
        <f>C94</f>
        <v>PGI if expiring SV renewed and only rate peg applied</v>
      </c>
      <c r="D103" s="3"/>
      <c r="E103" s="3" t="str">
        <f>E102</f>
        <v>$ nominal</v>
      </c>
      <c r="F103" s="399"/>
      <c r="G103" s="455">
        <f>IF(G$42=0,0,SUM($G76:G76))</f>
        <v>78698042.70209989</v>
      </c>
      <c r="H103" s="455">
        <f>IF(H$42=0,0,SUM($G76:H76))</f>
        <v>159363536.47175229</v>
      </c>
      <c r="I103" s="455">
        <f>IF(I$42=0,0,SUM($G76:I76))</f>
        <v>242045667.58564597</v>
      </c>
      <c r="J103" s="455">
        <f>IF(J$42=0,0,SUM($G76:J76))</f>
        <v>326794851.97738701</v>
      </c>
      <c r="K103" s="455">
        <f>IF(K$42=0,0,SUM($G76:K76))</f>
        <v>413662765.97892159</v>
      </c>
      <c r="L103" s="455">
        <f>IF(L$42=0,0,SUM($G76:L76))</f>
        <v>502702377.83049452</v>
      </c>
      <c r="M103" s="455">
        <f>IF(M$42=0,0,SUM($G76:M76))</f>
        <v>593967979.97835684</v>
      </c>
      <c r="N103" s="841">
        <f>SUMPRODUCT(G103:M103,'WK1 - Identification'!$G$57:$M$57)</f>
        <v>806902098.73688507</v>
      </c>
      <c r="O103" s="372"/>
      <c r="P103" s="214"/>
      <c r="Q103" s="80"/>
      <c r="R103" s="3"/>
      <c r="S103" s="3"/>
      <c r="T103" s="3"/>
      <c r="U103" s="1116"/>
      <c r="V103" s="1116"/>
      <c r="W103" s="1116"/>
      <c r="X103" s="1116"/>
      <c r="Y103" s="1116"/>
      <c r="Z103" s="1116"/>
      <c r="AA103" s="1116"/>
      <c r="AB103" s="1116"/>
      <c r="AC103" s="1116"/>
      <c r="AD103" s="1116"/>
      <c r="AE103" s="1116"/>
      <c r="AF103" s="1116"/>
      <c r="AG103" s="1116"/>
      <c r="AH103" s="1116"/>
      <c r="AI103" s="1116"/>
      <c r="AJ103" s="1116"/>
    </row>
    <row r="104" spans="1:36" x14ac:dyDescent="0.2">
      <c r="A104" s="3"/>
      <c r="B104" s="212"/>
      <c r="C104" s="3"/>
      <c r="D104" s="3"/>
      <c r="E104" s="3"/>
      <c r="F104" s="399"/>
      <c r="G104" s="454"/>
      <c r="H104" s="454"/>
      <c r="I104" s="454"/>
      <c r="J104" s="454"/>
      <c r="K104" s="454"/>
      <c r="L104" s="454"/>
      <c r="M104" s="454"/>
      <c r="N104" s="841"/>
      <c r="O104" s="372"/>
      <c r="P104" s="214"/>
      <c r="Q104" s="80"/>
      <c r="R104" s="3"/>
      <c r="S104" s="3"/>
      <c r="T104" s="3"/>
      <c r="U104" s="1116"/>
      <c r="V104" s="1116"/>
      <c r="W104" s="1116"/>
      <c r="X104" s="1116"/>
      <c r="Y104" s="1116"/>
      <c r="Z104" s="1116"/>
      <c r="AA104" s="1116"/>
      <c r="AB104" s="1116"/>
      <c r="AC104" s="1116"/>
      <c r="AD104" s="1116"/>
      <c r="AE104" s="1116"/>
      <c r="AF104" s="1116"/>
      <c r="AG104" s="1116"/>
      <c r="AH104" s="1116"/>
      <c r="AI104" s="1116"/>
      <c r="AJ104" s="1116"/>
    </row>
    <row r="105" spans="1:36" ht="12" x14ac:dyDescent="0.25">
      <c r="A105" s="3"/>
      <c r="B105" s="212"/>
      <c r="C105" s="122" t="s">
        <v>778</v>
      </c>
      <c r="D105" s="3"/>
      <c r="E105" s="3"/>
      <c r="F105" s="399"/>
      <c r="G105" s="454"/>
      <c r="H105" s="454"/>
      <c r="I105" s="454"/>
      <c r="J105" s="454"/>
      <c r="K105" s="454"/>
      <c r="L105" s="454"/>
      <c r="M105" s="454"/>
      <c r="N105" s="841"/>
      <c r="O105" s="3"/>
      <c r="P105" s="214"/>
      <c r="Q105" s="3"/>
      <c r="R105" s="3"/>
      <c r="S105" s="3"/>
      <c r="T105" s="3"/>
      <c r="U105" s="1116"/>
      <c r="V105" s="1116"/>
      <c r="W105" s="1116"/>
      <c r="X105" s="1116"/>
      <c r="Y105" s="1116"/>
      <c r="Z105" s="1116"/>
      <c r="AA105" s="1116"/>
      <c r="AB105" s="1116"/>
      <c r="AC105" s="1116"/>
      <c r="AD105" s="1116"/>
      <c r="AE105" s="1116"/>
      <c r="AF105" s="1116"/>
      <c r="AG105" s="1116"/>
      <c r="AH105" s="1116"/>
      <c r="AI105" s="1116"/>
      <c r="AJ105" s="1116"/>
    </row>
    <row r="106" spans="1:36" x14ac:dyDescent="0.2">
      <c r="A106" s="3"/>
      <c r="B106" s="212"/>
      <c r="C106" s="3" t="str">
        <f>C88</f>
        <v>PGI if only the rate peg applied</v>
      </c>
      <c r="D106" s="3"/>
      <c r="E106" s="3" t="str">
        <f>$E$45</f>
        <v>$ nominal</v>
      </c>
      <c r="F106" s="399"/>
      <c r="G106" s="455">
        <f t="shared" ref="G106:L106" si="50">G$101-G102</f>
        <v>3642725.216683507</v>
      </c>
      <c r="H106" s="455">
        <f t="shared" si="50"/>
        <v>11493556.959723264</v>
      </c>
      <c r="I106" s="455">
        <f t="shared" si="50"/>
        <v>23081312.516846716</v>
      </c>
      <c r="J106" s="455">
        <f t="shared" si="50"/>
        <v>37786858.563028753</v>
      </c>
      <c r="K106" s="455">
        <f t="shared" si="50"/>
        <v>52860043.260365307</v>
      </c>
      <c r="L106" s="455">
        <f t="shared" si="50"/>
        <v>68310057.57513535</v>
      </c>
      <c r="M106" s="455">
        <f t="shared" ref="M106" si="51">M$101-M102</f>
        <v>84146322.247774601</v>
      </c>
      <c r="N106" s="841">
        <f>SUMPRODUCT(G106:M106,'WK1 - Identification'!$G$57:$M$57)</f>
        <v>76004453.25628224</v>
      </c>
      <c r="O106" s="390">
        <f>IF(N102=0,0,N106/N102)</f>
        <v>9.4192905651452274E-2</v>
      </c>
      <c r="P106" s="214"/>
      <c r="Q106" s="401">
        <f>N101-N102-N106</f>
        <v>0</v>
      </c>
      <c r="R106" s="3"/>
      <c r="S106" s="3"/>
      <c r="T106" s="3"/>
      <c r="U106" s="1116"/>
      <c r="V106" s="1116"/>
      <c r="W106" s="1116"/>
      <c r="X106" s="1116"/>
      <c r="Y106" s="1116"/>
      <c r="Z106" s="1116"/>
      <c r="AA106" s="1116"/>
      <c r="AB106" s="1116"/>
      <c r="AC106" s="1116"/>
      <c r="AD106" s="1116"/>
      <c r="AE106" s="1116"/>
      <c r="AF106" s="1116"/>
      <c r="AG106" s="1116"/>
      <c r="AH106" s="1116"/>
      <c r="AI106" s="1116"/>
      <c r="AJ106" s="1116"/>
    </row>
    <row r="107" spans="1:36" x14ac:dyDescent="0.2">
      <c r="A107" s="3"/>
      <c r="B107" s="212"/>
      <c r="C107" s="3" t="str">
        <f>C89</f>
        <v>PGI if expiring SV renewed and only rate peg applied</v>
      </c>
      <c r="D107" s="3"/>
      <c r="E107" s="3" t="str">
        <f>E106</f>
        <v>$ nominal</v>
      </c>
      <c r="F107" s="399"/>
      <c r="G107" s="455">
        <f t="shared" ref="G107:L107" si="52">G$101-G103</f>
        <v>3642725.216683507</v>
      </c>
      <c r="H107" s="455">
        <f t="shared" si="52"/>
        <v>11493556.959723264</v>
      </c>
      <c r="I107" s="455">
        <f t="shared" si="52"/>
        <v>23081312.516846716</v>
      </c>
      <c r="J107" s="455">
        <f t="shared" si="52"/>
        <v>37786858.563028753</v>
      </c>
      <c r="K107" s="455">
        <f t="shared" si="52"/>
        <v>52860043.260365307</v>
      </c>
      <c r="L107" s="455">
        <f t="shared" si="52"/>
        <v>68310057.57513535</v>
      </c>
      <c r="M107" s="455">
        <f t="shared" ref="M107" si="53">M$101-M103</f>
        <v>84146322.247774601</v>
      </c>
      <c r="N107" s="841">
        <f>SUMPRODUCT(G107:M107,'WK1 - Identification'!$G$57:$M$57)</f>
        <v>76004453.25628224</v>
      </c>
      <c r="O107" s="390">
        <f>IF(N103=0,0,N107/N103)</f>
        <v>9.4192905651452274E-2</v>
      </c>
      <c r="P107" s="214"/>
      <c r="Q107" s="401">
        <f>N101-N103-N107</f>
        <v>0</v>
      </c>
      <c r="R107" s="3"/>
      <c r="S107" s="3"/>
      <c r="T107" s="3"/>
      <c r="U107" s="1116"/>
      <c r="V107" s="1116"/>
      <c r="W107" s="1116"/>
      <c r="X107" s="1116"/>
      <c r="Y107" s="1116"/>
      <c r="Z107" s="1116"/>
      <c r="AA107" s="1116"/>
      <c r="AB107" s="1116"/>
      <c r="AC107" s="1116"/>
      <c r="AD107" s="1116"/>
      <c r="AE107" s="1116"/>
      <c r="AF107" s="1116"/>
      <c r="AG107" s="1116"/>
      <c r="AH107" s="1116"/>
      <c r="AI107" s="1116"/>
      <c r="AJ107" s="1116"/>
    </row>
    <row r="108" spans="1:36" ht="7.5" customHeight="1" thickBot="1" x14ac:dyDescent="0.3">
      <c r="A108" s="3"/>
      <c r="B108" s="222"/>
      <c r="C108" s="393"/>
      <c r="D108" s="245"/>
      <c r="E108" s="245"/>
      <c r="F108" s="245"/>
      <c r="G108" s="394"/>
      <c r="H108" s="245"/>
      <c r="I108" s="245"/>
      <c r="J108" s="245"/>
      <c r="K108" s="245"/>
      <c r="L108" s="245"/>
      <c r="M108" s="245"/>
      <c r="N108" s="842"/>
      <c r="O108" s="245"/>
      <c r="P108" s="230"/>
      <c r="Q108" s="3"/>
      <c r="R108" s="3"/>
      <c r="S108" s="3"/>
      <c r="T108" s="3"/>
      <c r="U108" s="1116"/>
      <c r="V108" s="1116"/>
      <c r="W108" s="1116"/>
      <c r="X108" s="1116"/>
      <c r="Y108" s="1116"/>
      <c r="Z108" s="1116"/>
      <c r="AA108" s="1116"/>
      <c r="AB108" s="1116"/>
      <c r="AC108" s="1116"/>
      <c r="AD108" s="1116"/>
      <c r="AE108" s="1116"/>
      <c r="AF108" s="1116"/>
      <c r="AG108" s="1116"/>
      <c r="AH108" s="1116"/>
      <c r="AI108" s="1116"/>
      <c r="AJ108" s="1116"/>
    </row>
    <row r="109" spans="1:36"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row>
    <row r="110" spans="1:36"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row>
    <row r="111" spans="1:36"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row>
    <row r="112" spans="1:36"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row>
    <row r="113" spans="1:36"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row>
    <row r="114" spans="1:36"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row>
    <row r="115" spans="1:36"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row>
    <row r="116" spans="1:36"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row>
    <row r="117" spans="1:36"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row>
    <row r="118" spans="1:36"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row>
    <row r="119" spans="1:36"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row>
    <row r="120" spans="1:36"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row>
    <row r="121" spans="1:36"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row>
    <row r="122" spans="1:36"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row>
    <row r="123" spans="1:36"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row>
    <row r="124" spans="1:36"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row>
    <row r="125" spans="1:36"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row>
    <row r="126" spans="1:36"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6"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6"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1:36"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1:36"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1:36"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1:36"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1:36"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sheetData>
  <sheetProtection algorithmName="SHA-512" hashValue="tAQUuDsBFwj7ni0mxIttzQnJ++nBbXZWG+50d8Hyur7Tu6TujsIlXpaEUDSFX8HCA4BdfeHYi2TqCi2QPf103g==" saltValue="8RhqiHXD4Z41HAeE9TY1pg==" spinCount="100000" sheet="1" formatColumns="0" formatRows="0"/>
  <phoneticPr fontId="16" type="noConversion"/>
  <conditionalFormatting sqref="C3">
    <cfRule type="cellIs" dxfId="16" priority="32" operator="equal">
      <formula>0</formula>
    </cfRule>
  </conditionalFormatting>
  <dataValidations xWindow="719" yWindow="627" count="7">
    <dataValidation type="whole" allowBlank="1" showErrorMessage="1" errorTitle="Invalid number" error="Please round your entry to the nearest whole number." promptTitle="Income Adjustment" prompt="Crown Land adjustment claimed plus income lost due to the 20% Farmland limit, recovered as an income adjustmenmt." sqref="H28 H30" xr:uid="{00000000-0002-0000-0700-000000000000}">
      <formula1>0</formula1>
      <formula2>100000000</formula2>
    </dataValidation>
    <dataValidation allowBlank="1" showInputMessage="1" showErrorMessage="1" errorTitle="Invalid number" error="Please round your entry to the nearest whole number." promptTitle="Income Adjustment" sqref="H29" xr:uid="{00000000-0002-0000-0700-000001000000}"/>
    <dataValidation type="whole" allowBlank="1" showInputMessage="1" showErrorMessage="1" errorTitle="Invalid number" error="Please round your entry to the nearest whole number." sqref="H25" xr:uid="{00000000-0002-0000-0700-000002000000}">
      <formula1>-10000000</formula1>
      <formula2>100000000</formula2>
    </dataValidation>
    <dataValidation type="whole" allowBlank="1" showInputMessage="1" showErrorMessage="1" errorTitle="Invalid number" error="This amount must be a negative whole number." sqref="H26" xr:uid="{00000000-0002-0000-0700-000003000000}">
      <formula1>-10000000</formula1>
      <formula2>0</formula2>
    </dataValidation>
    <dataValidation type="whole" allowBlank="1" showInputMessage="1" showErrorMessage="1" errorTitle="Invalid number" error="The amount must be a negative whole number." sqref="H12:H13" xr:uid="{00000000-0002-0000-0700-000004000000}">
      <formula1>-100000000</formula1>
      <formula2>0</formula2>
    </dataValidation>
    <dataValidation allowBlank="1" showInputMessage="1" showErrorMessage="1" promptTitle="Permissible GI vs Notional GI" prompt="Permissable General Income (PGI) reflects the impact of catchups or excess amounts that councils must adjust their income for. PGI may not match the level of Notional General Income (NGI) calculated on WK 3. NGI should be equal to or less than the PGI. " sqref="H31" xr:uid="{00000000-0002-0000-0700-000005000000}"/>
    <dataValidation errorStyle="warning" allowBlank="1" showInputMessage="1" showErrorMessage="1" errorTitle="Expiring variation amount" error="The expiring variation amount must be entered as a whole negative number." sqref="G99:M100 G56:M56 G104:M108 G87:M89" xr:uid="{00000000-0002-0000-0700-000006000000}"/>
  </dataValidations>
  <printOptions horizontalCentered="1"/>
  <pageMargins left="0.70866141732283472" right="0.74803149606299213" top="0.77" bottom="0.98425196850393704" header="0.51181102362204722" footer="0.51181102362204722"/>
  <pageSetup paperSize="9" scale="87" fitToWidth="0" fitToHeight="0" orientation="landscape" r:id="rId1"/>
  <headerFooter alignWithMargins="0"/>
  <rowBreaks count="1" manualBreakCount="1">
    <brk id="80" min="1" max="15" man="1"/>
  </rowBreaks>
  <cellWatches>
    <cellWatch r="H12"/>
  </cellWatches>
  <extLst>
    <ext xmlns:x14="http://schemas.microsoft.com/office/spreadsheetml/2009/9/main" uri="{78C0D931-6437-407d-A8EE-F0AAD7539E65}">
      <x14:conditionalFormattings>
        <x14:conditionalFormatting xmlns:xm="http://schemas.microsoft.com/office/excel/2006/main">
          <x14:cfRule type="expression" priority="31" id="{1C5CED54-9602-4C06-9D85-933EE1456B21}">
            <xm:f>'WK1 - Identification'!F$57+'WK1 - Identification'!F$60=0</xm:f>
            <x14:dxf>
              <font>
                <color theme="0" tint="-0.34998626667073579"/>
              </font>
            </x14:dxf>
          </x14:cfRule>
          <xm:sqref>F83:M84 G92:M94 G97:M98 G101:M103 G106:M107 G87:M89 G72:M76 F65:F66 G62:M68 H57:M57 F42:M42 F39:M40 G41:M41 G45:M56</xm:sqref>
        </x14:conditionalFormatting>
        <x14:conditionalFormatting xmlns:xm="http://schemas.microsoft.com/office/excel/2006/main">
          <x14:cfRule type="expression" priority="2" id="{F4CB230C-7093-4622-9E86-BBE4CEA39D35}">
            <xm:f>'WK1 - Identification'!G$57+'WK1 - Identification'!G$60=0</xm:f>
            <x14:dxf>
              <font>
                <b/>
                <i val="0"/>
                <strike val="0"/>
                <color theme="0" tint="-0.24994659260841701"/>
              </font>
              <fill>
                <patternFill>
                  <bgColor theme="0"/>
                </patternFill>
              </fill>
            </x14:dxf>
          </x14:cfRule>
          <xm:sqref>G58:M58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BF2AB42C94F34EBFC82EDDF0A78AA4" ma:contentTypeVersion="10" ma:contentTypeDescription="Create a new document." ma:contentTypeScope="" ma:versionID="d48f74827b2ec0050c6101b9b047734b">
  <xsd:schema xmlns:xsd="http://www.w3.org/2001/XMLSchema" xmlns:xs="http://www.w3.org/2001/XMLSchema" xmlns:p="http://schemas.microsoft.com/office/2006/metadata/properties" xmlns:ns2="b2b51d69-a8b9-4540-b830-e792bd5dbcf6" xmlns:ns3="7e386423-3c53-4241-b0b4-f4d7bae690b8" targetNamespace="http://schemas.microsoft.com/office/2006/metadata/properties" ma:root="true" ma:fieldsID="8959c28c380a3fd64d347a6af525ad23" ns2:_="" ns3:_="">
    <xsd:import namespace="b2b51d69-a8b9-4540-b830-e792bd5dbcf6"/>
    <xsd:import namespace="7e386423-3c53-4241-b0b4-f4d7bae690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b51d69-a8b9-4540-b830-e792bd5dbc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1c469ee-23b7-4832-870e-4410ecd4426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386423-3c53-4241-b0b4-f4d7bae690b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2df6087-6cca-4729-9191-5c40461a094a}" ma:internalName="TaxCatchAll" ma:showField="CatchAllData" ma:web="7e386423-3c53-4241-b0b4-f4d7bae690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e386423-3c53-4241-b0b4-f4d7bae690b8" xsi:nil="true"/>
    <lcf76f155ced4ddcb4097134ff3c332f xmlns="b2b51d69-a8b9-4540-b830-e792bd5dbcf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FEEA40-6CFF-4291-9DD0-47FA4B699F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b51d69-a8b9-4540-b830-e792bd5dbcf6"/>
    <ds:schemaRef ds:uri="7e386423-3c53-4241-b0b4-f4d7bae690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E28F74-CA1E-43AD-9FCF-DBF0A725D844}">
  <ds:schemaRefs>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7e386423-3c53-4241-b0b4-f4d7bae690b8"/>
    <ds:schemaRef ds:uri="b2b51d69-a8b9-4540-b830-e792bd5dbcf6"/>
    <ds:schemaRef ds:uri="http://purl.org/dc/dcmitype/"/>
    <ds:schemaRef ds:uri="http://purl.org/dc/terms/"/>
    <ds:schemaRef ds:uri="http://purl.org/dc/elements/1.1/"/>
  </ds:schemaRefs>
</ds:datastoreItem>
</file>

<file path=customXml/itemProps3.xml><?xml version="1.0" encoding="utf-8"?>
<ds:datastoreItem xmlns:ds="http://schemas.openxmlformats.org/officeDocument/2006/customXml" ds:itemID="{906DD743-A952-41DC-857A-F8D66B4964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Examples</vt:lpstr>
      <vt:lpstr>Other QA scope</vt:lpstr>
      <vt:lpstr>Export</vt:lpstr>
      <vt:lpstr>WK0 - Input data</vt:lpstr>
      <vt:lpstr>Instructions</vt:lpstr>
      <vt:lpstr>WK1 - Identification</vt:lpstr>
      <vt:lpstr>WK2 - Notional General Income</vt:lpstr>
      <vt:lpstr>WK3 - Notional GI Yr1 YIELD</vt:lpstr>
      <vt:lpstr>WK4 - PGI summary</vt:lpstr>
      <vt:lpstr>WK5a - Impact on Rates</vt:lpstr>
      <vt:lpstr>WK6 - Expenditure Program</vt:lpstr>
      <vt:lpstr>WK7 - Financials</vt:lpstr>
      <vt:lpstr>WK8 - LTFP</vt:lpstr>
      <vt:lpstr>WK9 - Ratios</vt:lpstr>
      <vt:lpstr>No</vt:lpstr>
      <vt:lpstr>Instructions!Print_Area</vt:lpstr>
      <vt:lpstr>'Other QA scope'!Print_Area</vt:lpstr>
      <vt:lpstr>'WK1 - Identification'!Print_Area</vt:lpstr>
      <vt:lpstr>'WK2 - Notional General Income'!Print_Area</vt:lpstr>
      <vt:lpstr>'WK3 - Notional GI Yr1 YIELD'!Print_Area</vt:lpstr>
      <vt:lpstr>'WK4 - PGI summary'!Print_Area</vt:lpstr>
      <vt:lpstr>'WK5a - Impact on Rates'!Print_Area</vt:lpstr>
      <vt:lpstr>'WK6 - Expenditure Program'!Print_Area</vt:lpstr>
      <vt:lpstr>'WK7 - Financials'!Print_Area</vt:lpstr>
      <vt:lpstr>'WK8 - LTFP'!Print_Area</vt:lpstr>
      <vt:lpstr>'WK9 - Ratios'!Print_Area</vt:lpstr>
      <vt:lpstr>Year0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Haddock</dc:creator>
  <cp:keywords/>
  <dc:description/>
  <cp:lastModifiedBy>Lindy Riese</cp:lastModifiedBy>
  <cp:revision/>
  <cp:lastPrinted>2023-02-08T01:14:20Z</cp:lastPrinted>
  <dcterms:created xsi:type="dcterms:W3CDTF">1998-01-08T05:01:38Z</dcterms:created>
  <dcterms:modified xsi:type="dcterms:W3CDTF">2023-02-08T02:13:12Z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0x010100DCBF2AB42C94F34EBFC82EDDF0A78AA4</vt:lpwstr>
  </property>
  <property fmtid="{D5CDD505-2E9C-101B-9397-08002B2CF9AE}" pid="3" name="MediaServiceImageTags">
    <vt:lpwstr/>
  </property>
</Properties>
</file>